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-Com\"/>
    </mc:Choice>
  </mc:AlternateContent>
  <xr:revisionPtr revIDLastSave="0" documentId="13_ncr:1_{9B619FC9-047E-4DB3-9767-D5E341C78980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Main" sheetId="1" r:id="rId1"/>
    <sheet name="Model" sheetId="2" r:id="rId2"/>
    <sheet name="Model Graph" sheetId="5" r:id="rId3"/>
    <sheet name="KPIs" sheetId="3" r:id="rId4"/>
    <sheet name="DoR" sheetId="4" r:id="rId5"/>
  </sheets>
  <externalReferences>
    <externalReference r:id="rId6"/>
  </externalReferences>
  <definedNames>
    <definedName name="_xlchart.v1.0" hidden="1">[1]Model!$B$6</definedName>
    <definedName name="_xlchart.v1.1" hidden="1">[1]Model!$B$7</definedName>
    <definedName name="_xlchart.v1.2" hidden="1">[1]Model!$L$2:$X$2</definedName>
    <definedName name="_xlchart.v1.3" hidden="1">[1]Model!$L$6:$X$6</definedName>
    <definedName name="_xlchart.v1.4" hidden="1">[1]Model!$L$7:$X$7</definedName>
    <definedName name="_xlchart.v1.5" hidden="1">[1]Model!$B$25</definedName>
    <definedName name="_xlchart.v1.6" hidden="1">[1]Model!$B$26</definedName>
    <definedName name="_xlchart.v1.7" hidden="1">[1]Model!$L$25:$X$25</definedName>
    <definedName name="_xlchart.v1.8" hidden="1">[1]Model!$L$26:$X$26</definedName>
    <definedName name="_xlchart.v1.9" hidden="1">[1]Model!$L$2:$X$2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3" l="1"/>
  <c r="P13" i="3"/>
  <c r="P14" i="3"/>
  <c r="P15" i="3"/>
  <c r="P9" i="3"/>
  <c r="Y34" i="2"/>
  <c r="Y41" i="2"/>
  <c r="Y23" i="2"/>
  <c r="Y66" i="2"/>
  <c r="Y70" i="2" s="1"/>
  <c r="Y57" i="2"/>
  <c r="Y62" i="2" s="1"/>
  <c r="Y52" i="2"/>
  <c r="Y44" i="2"/>
  <c r="Y45" i="2"/>
  <c r="Y46" i="2"/>
  <c r="Y47" i="2"/>
  <c r="Y48" i="2"/>
  <c r="Y49" i="2"/>
  <c r="Y10" i="2"/>
  <c r="Y18" i="2" s="1"/>
  <c r="Y22" i="2" s="1"/>
  <c r="C21" i="1"/>
  <c r="C17" i="1"/>
  <c r="C15" i="1"/>
  <c r="C14" i="1"/>
  <c r="C10" i="1"/>
  <c r="C9" i="1"/>
  <c r="C7" i="1"/>
  <c r="O9" i="3"/>
  <c r="N9" i="3"/>
  <c r="N12" i="3"/>
  <c r="O12" i="3"/>
  <c r="N13" i="3"/>
  <c r="O13" i="3"/>
  <c r="N14" i="3"/>
  <c r="O14" i="3"/>
  <c r="N15" i="3"/>
  <c r="O15" i="3"/>
  <c r="X34" i="2"/>
  <c r="X41" i="2"/>
  <c r="X10" i="2"/>
  <c r="X38" i="2" s="1"/>
  <c r="AL33" i="2"/>
  <c r="AJ45" i="2"/>
  <c r="C41" i="2"/>
  <c r="D41" i="2"/>
  <c r="E41" i="2"/>
  <c r="G41" i="2"/>
  <c r="H41" i="2"/>
  <c r="I41" i="2"/>
  <c r="K41" i="2"/>
  <c r="L41" i="2"/>
  <c r="M41" i="2"/>
  <c r="O41" i="2"/>
  <c r="P41" i="2"/>
  <c r="Q41" i="2"/>
  <c r="S41" i="2"/>
  <c r="T41" i="2"/>
  <c r="U41" i="2"/>
  <c r="W41" i="2"/>
  <c r="AD41" i="2"/>
  <c r="AE41" i="2"/>
  <c r="AF41" i="2"/>
  <c r="AG41" i="2"/>
  <c r="AH41" i="2"/>
  <c r="AI41" i="2"/>
  <c r="AJ41" i="2"/>
  <c r="W23" i="2"/>
  <c r="W10" i="2"/>
  <c r="W18" i="2" s="1"/>
  <c r="W22" i="2" s="1"/>
  <c r="D44" i="2"/>
  <c r="D69" i="4"/>
  <c r="D70" i="4"/>
  <c r="D71" i="4"/>
  <c r="D72" i="4"/>
  <c r="D73" i="4"/>
  <c r="D74" i="4"/>
  <c r="D75" i="4"/>
  <c r="D76" i="4"/>
  <c r="I24" i="4" s="1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C8" i="1"/>
  <c r="D68" i="4"/>
  <c r="D67" i="4"/>
  <c r="D66" i="4"/>
  <c r="I65" i="4"/>
  <c r="D65" i="4"/>
  <c r="I64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J36" i="4"/>
  <c r="D36" i="4"/>
  <c r="J35" i="4"/>
  <c r="I35" i="4"/>
  <c r="D35" i="4"/>
  <c r="J34" i="4"/>
  <c r="I34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W38" i="2" l="1"/>
  <c r="X32" i="2"/>
  <c r="Y32" i="2"/>
  <c r="Y39" i="2"/>
  <c r="Y38" i="2"/>
  <c r="Y24" i="2"/>
  <c r="Y37" i="2"/>
  <c r="W39" i="2"/>
  <c r="X39" i="2"/>
  <c r="Y71" i="2"/>
  <c r="C12" i="1"/>
  <c r="W32" i="2"/>
  <c r="W24" i="2"/>
  <c r="W29" i="2" s="1"/>
  <c r="I58" i="4"/>
  <c r="I20" i="4"/>
  <c r="M44" i="4"/>
  <c r="M46" i="4"/>
  <c r="M48" i="4"/>
  <c r="M50" i="4"/>
  <c r="M52" i="4"/>
  <c r="M54" i="4"/>
  <c r="I25" i="4"/>
  <c r="I21" i="4"/>
  <c r="I30" i="4"/>
  <c r="I57" i="4"/>
  <c r="K45" i="4"/>
  <c r="K47" i="4"/>
  <c r="K49" i="4"/>
  <c r="K51" i="4"/>
  <c r="K53" i="4"/>
  <c r="K55" i="4"/>
  <c r="M57" i="4"/>
  <c r="I45" i="4"/>
  <c r="I47" i="4"/>
  <c r="I49" i="4"/>
  <c r="I51" i="4"/>
  <c r="I53" i="4"/>
  <c r="I55" i="4"/>
  <c r="I26" i="4"/>
  <c r="M45" i="4"/>
  <c r="M49" i="4"/>
  <c r="M53" i="4"/>
  <c r="M55" i="4"/>
  <c r="I22" i="4"/>
  <c r="M47" i="4"/>
  <c r="M51" i="4"/>
  <c r="I31" i="4"/>
  <c r="K36" i="4" s="1"/>
  <c r="L36" i="4" s="1"/>
  <c r="I28" i="4"/>
  <c r="I44" i="4"/>
  <c r="I46" i="4"/>
  <c r="I48" i="4"/>
  <c r="I50" i="4"/>
  <c r="I52" i="4"/>
  <c r="I54" i="4"/>
  <c r="I56" i="4"/>
  <c r="M58" i="4"/>
  <c r="K44" i="4"/>
  <c r="K46" i="4"/>
  <c r="K48" i="4"/>
  <c r="K50" i="4"/>
  <c r="K52" i="4"/>
  <c r="K54" i="4"/>
  <c r="K56" i="4"/>
  <c r="I29" i="4"/>
  <c r="I27" i="4" s="1"/>
  <c r="M56" i="4"/>
  <c r="C11" i="1"/>
  <c r="C19" i="1"/>
  <c r="K34" i="4"/>
  <c r="L34" i="4" s="1"/>
  <c r="I19" i="4"/>
  <c r="I23" i="4"/>
  <c r="Y35" i="2" l="1"/>
  <c r="Y29" i="2"/>
  <c r="K35" i="4"/>
  <c r="L35" i="4" s="1"/>
  <c r="I40" i="4"/>
  <c r="H7" i="4"/>
  <c r="J41" i="4"/>
  <c r="I41" i="4"/>
  <c r="H8" i="4"/>
  <c r="H9" i="4"/>
  <c r="H10" i="4"/>
  <c r="H11" i="4"/>
  <c r="H6" i="4"/>
  <c r="J39" i="4"/>
  <c r="I39" i="4"/>
  <c r="H12" i="4"/>
  <c r="H4" i="4"/>
  <c r="J40" i="4"/>
  <c r="H13" i="4"/>
  <c r="H5" i="4"/>
  <c r="H14" i="4"/>
  <c r="K41" i="4" l="1"/>
  <c r="L41" i="4" s="1"/>
  <c r="J10" i="4"/>
  <c r="L10" i="4" s="1"/>
  <c r="K11" i="4"/>
  <c r="I10" i="4"/>
  <c r="K6" i="4"/>
  <c r="J5" i="4"/>
  <c r="L5" i="4" s="1"/>
  <c r="I5" i="4"/>
  <c r="I8" i="4"/>
  <c r="K9" i="4"/>
  <c r="J8" i="4"/>
  <c r="L8" i="4" s="1"/>
  <c r="K12" i="4"/>
  <c r="J11" i="4"/>
  <c r="L11" i="4" s="1"/>
  <c r="I11" i="4"/>
  <c r="K4" i="4"/>
  <c r="K5" i="4"/>
  <c r="J4" i="4"/>
  <c r="L4" i="4" s="1"/>
  <c r="M4" i="4" s="1"/>
  <c r="I4" i="4"/>
  <c r="K13" i="4"/>
  <c r="J12" i="4"/>
  <c r="L12" i="4" s="1"/>
  <c r="I12" i="4"/>
  <c r="K39" i="4"/>
  <c r="L39" i="4" s="1"/>
  <c r="K8" i="4"/>
  <c r="J7" i="4"/>
  <c r="L7" i="4" s="1"/>
  <c r="I7" i="4"/>
  <c r="K14" i="4"/>
  <c r="J13" i="4"/>
  <c r="L13" i="4" s="1"/>
  <c r="I13" i="4"/>
  <c r="K10" i="4"/>
  <c r="J9" i="4"/>
  <c r="L9" i="4" s="1"/>
  <c r="I9" i="4"/>
  <c r="J15" i="4"/>
  <c r="L15" i="4" s="1"/>
  <c r="J14" i="4"/>
  <c r="L14" i="4" s="1"/>
  <c r="I14" i="4"/>
  <c r="K15" i="4"/>
  <c r="K7" i="4"/>
  <c r="J6" i="4"/>
  <c r="L6" i="4" s="1"/>
  <c r="I6" i="4"/>
  <c r="K40" i="4"/>
  <c r="L40" i="4" s="1"/>
  <c r="M5" i="4" l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3" i="3" l="1"/>
  <c r="M4" i="3"/>
  <c r="M5" i="3"/>
  <c r="M6" i="3"/>
  <c r="M7" i="3"/>
  <c r="M8" i="3"/>
  <c r="M2" i="3"/>
  <c r="Z12" i="3"/>
  <c r="Z13" i="3"/>
  <c r="Z14" i="3"/>
  <c r="Z15" i="3"/>
  <c r="V27" i="2"/>
  <c r="V26" i="2"/>
  <c r="V25" i="2"/>
  <c r="V6" i="2"/>
  <c r="V5" i="2"/>
  <c r="V4" i="2"/>
  <c r="AJ46" i="2"/>
  <c r="L9" i="3"/>
  <c r="L12" i="3"/>
  <c r="L13" i="3"/>
  <c r="L14" i="3"/>
  <c r="L15" i="3"/>
  <c r="V28" i="2"/>
  <c r="V21" i="2"/>
  <c r="V20" i="2"/>
  <c r="V19" i="2"/>
  <c r="V17" i="2"/>
  <c r="V16" i="2"/>
  <c r="V15" i="2"/>
  <c r="V14" i="2"/>
  <c r="V13" i="2"/>
  <c r="V12" i="2"/>
  <c r="V9" i="2"/>
  <c r="V8" i="2"/>
  <c r="AJ49" i="2"/>
  <c r="AJ48" i="2"/>
  <c r="AJ47" i="2"/>
  <c r="AJ34" i="2"/>
  <c r="AJ10" i="2"/>
  <c r="U23" i="2"/>
  <c r="V39" i="2" l="1"/>
  <c r="C20" i="1"/>
  <c r="AK33" i="2"/>
  <c r="AJ38" i="2"/>
  <c r="AJ39" i="2"/>
  <c r="M9" i="3"/>
  <c r="V41" i="2"/>
  <c r="AJ44" i="2"/>
  <c r="AJ18" i="2"/>
  <c r="U44" i="2"/>
  <c r="V44" i="2"/>
  <c r="W44" i="2"/>
  <c r="X44" i="2"/>
  <c r="U45" i="2"/>
  <c r="V45" i="2"/>
  <c r="W45" i="2"/>
  <c r="X45" i="2"/>
  <c r="U46" i="2"/>
  <c r="V46" i="2"/>
  <c r="W46" i="2"/>
  <c r="X46" i="2"/>
  <c r="U47" i="2"/>
  <c r="V47" i="2"/>
  <c r="W47" i="2"/>
  <c r="X47" i="2"/>
  <c r="U48" i="2"/>
  <c r="V48" i="2"/>
  <c r="W48" i="2"/>
  <c r="X48" i="2"/>
  <c r="U49" i="2"/>
  <c r="V49" i="2"/>
  <c r="W49" i="2"/>
  <c r="X49" i="2"/>
  <c r="T34" i="2"/>
  <c r="U34" i="2"/>
  <c r="W34" i="2"/>
  <c r="U10" i="2"/>
  <c r="V10" i="2"/>
  <c r="V18" i="2" s="1"/>
  <c r="V22" i="2" s="1"/>
  <c r="T10" i="2"/>
  <c r="AJ69" i="2"/>
  <c r="AJ68" i="2"/>
  <c r="AJ67" i="2"/>
  <c r="AJ65" i="2"/>
  <c r="AJ64" i="2"/>
  <c r="AJ63" i="2"/>
  <c r="AJ61" i="2"/>
  <c r="AJ60" i="2"/>
  <c r="AJ59" i="2"/>
  <c r="AJ58" i="2"/>
  <c r="AJ56" i="2"/>
  <c r="AJ55" i="2"/>
  <c r="AJ54" i="2"/>
  <c r="AJ53" i="2"/>
  <c r="U66" i="2"/>
  <c r="U70" i="2" s="1"/>
  <c r="V66" i="2"/>
  <c r="V70" i="2" s="1"/>
  <c r="W66" i="2"/>
  <c r="W70" i="2" s="1"/>
  <c r="X66" i="2"/>
  <c r="X70" i="2" s="1"/>
  <c r="U57" i="2"/>
  <c r="U62" i="2" s="1"/>
  <c r="V57" i="2"/>
  <c r="V62" i="2" s="1"/>
  <c r="W57" i="2"/>
  <c r="W62" i="2" s="1"/>
  <c r="X57" i="2"/>
  <c r="X62" i="2" s="1"/>
  <c r="X71" i="2" s="1"/>
  <c r="C27" i="1" s="1"/>
  <c r="U52" i="2"/>
  <c r="V52" i="2"/>
  <c r="W52" i="2"/>
  <c r="X52" i="2"/>
  <c r="S66" i="2"/>
  <c r="S70" i="2" s="1"/>
  <c r="R66" i="2"/>
  <c r="R70" i="2" s="1"/>
  <c r="Q66" i="2"/>
  <c r="Q70" i="2" s="1"/>
  <c r="P66" i="2"/>
  <c r="P70" i="2" s="1"/>
  <c r="O66" i="2"/>
  <c r="O70" i="2" s="1"/>
  <c r="N66" i="2"/>
  <c r="N70" i="2" s="1"/>
  <c r="M66" i="2"/>
  <c r="M70" i="2" s="1"/>
  <c r="L66" i="2"/>
  <c r="L70" i="2" s="1"/>
  <c r="K66" i="2"/>
  <c r="K70" i="2" s="1"/>
  <c r="J66" i="2"/>
  <c r="J70" i="2" s="1"/>
  <c r="I66" i="2"/>
  <c r="I70" i="2" s="1"/>
  <c r="H66" i="2"/>
  <c r="H70" i="2" s="1"/>
  <c r="G66" i="2"/>
  <c r="G70" i="2" s="1"/>
  <c r="F66" i="2"/>
  <c r="F70" i="2" s="1"/>
  <c r="E66" i="2"/>
  <c r="E70" i="2" s="1"/>
  <c r="D66" i="2"/>
  <c r="D70" i="2" s="1"/>
  <c r="C66" i="2"/>
  <c r="C70" i="2" s="1"/>
  <c r="AI66" i="2"/>
  <c r="AI70" i="2" s="1"/>
  <c r="AH66" i="2"/>
  <c r="AH70" i="2" s="1"/>
  <c r="AG66" i="2"/>
  <c r="AG70" i="2" s="1"/>
  <c r="AF66" i="2"/>
  <c r="AF70" i="2" s="1"/>
  <c r="AE66" i="2"/>
  <c r="AE70" i="2" s="1"/>
  <c r="T66" i="2"/>
  <c r="T70" i="2" s="1"/>
  <c r="AI57" i="2"/>
  <c r="AI62" i="2" s="1"/>
  <c r="AH57" i="2"/>
  <c r="AH62" i="2" s="1"/>
  <c r="AG57" i="2"/>
  <c r="AG62" i="2" s="1"/>
  <c r="AF57" i="2"/>
  <c r="AF62" i="2" s="1"/>
  <c r="AE57" i="2"/>
  <c r="AE62" i="2" s="1"/>
  <c r="S57" i="2"/>
  <c r="S62" i="2" s="1"/>
  <c r="R57" i="2"/>
  <c r="R62" i="2" s="1"/>
  <c r="Q57" i="2"/>
  <c r="Q62" i="2" s="1"/>
  <c r="P57" i="2"/>
  <c r="P62" i="2" s="1"/>
  <c r="O57" i="2"/>
  <c r="O62" i="2" s="1"/>
  <c r="N57" i="2"/>
  <c r="N62" i="2" s="1"/>
  <c r="M57" i="2"/>
  <c r="M62" i="2" s="1"/>
  <c r="L57" i="2"/>
  <c r="L62" i="2" s="1"/>
  <c r="K57" i="2"/>
  <c r="K62" i="2" s="1"/>
  <c r="J57" i="2"/>
  <c r="J62" i="2" s="1"/>
  <c r="I57" i="2"/>
  <c r="I62" i="2" s="1"/>
  <c r="H57" i="2"/>
  <c r="H62" i="2" s="1"/>
  <c r="G57" i="2"/>
  <c r="G62" i="2" s="1"/>
  <c r="F57" i="2"/>
  <c r="F62" i="2" s="1"/>
  <c r="E57" i="2"/>
  <c r="E62" i="2" s="1"/>
  <c r="D57" i="2"/>
  <c r="D62" i="2" s="1"/>
  <c r="C57" i="2"/>
  <c r="C62" i="2" s="1"/>
  <c r="T57" i="2"/>
  <c r="T62" i="2" s="1"/>
  <c r="S52" i="2"/>
  <c r="T49" i="2"/>
  <c r="T44" i="2"/>
  <c r="T52" i="2"/>
  <c r="P98" i="2"/>
  <c r="J52" i="2"/>
  <c r="N52" i="2"/>
  <c r="R52" i="2"/>
  <c r="AE52" i="2"/>
  <c r="AF52" i="2"/>
  <c r="AG52" i="2"/>
  <c r="AH52" i="2"/>
  <c r="AI52" i="2"/>
  <c r="T32" i="2" l="1"/>
  <c r="T38" i="2"/>
  <c r="T39" i="2"/>
  <c r="X33" i="2"/>
  <c r="U32" i="2"/>
  <c r="U39" i="2"/>
  <c r="U38" i="2"/>
  <c r="Y33" i="2"/>
  <c r="W71" i="2"/>
  <c r="AJ22" i="2"/>
  <c r="C22" i="1"/>
  <c r="V38" i="2"/>
  <c r="V32" i="2"/>
  <c r="V71" i="2"/>
  <c r="U71" i="2"/>
  <c r="AJ57" i="2"/>
  <c r="AJ62" i="2" s="1"/>
  <c r="AJ52" i="2"/>
  <c r="U18" i="2"/>
  <c r="U22" i="2" s="1"/>
  <c r="X18" i="2"/>
  <c r="X22" i="2" s="1"/>
  <c r="AJ37" i="2"/>
  <c r="AJ66" i="2"/>
  <c r="AJ70" i="2" s="1"/>
  <c r="T74" i="2"/>
  <c r="S74" i="2"/>
  <c r="R74" i="2"/>
  <c r="P99" i="2"/>
  <c r="Q74" i="2" s="1"/>
  <c r="T98" i="2"/>
  <c r="K9" i="3"/>
  <c r="K15" i="3"/>
  <c r="K14" i="3"/>
  <c r="K13" i="3"/>
  <c r="K12" i="3"/>
  <c r="T48" i="2"/>
  <c r="T47" i="2"/>
  <c r="T46" i="2"/>
  <c r="T45" i="2"/>
  <c r="T23" i="2"/>
  <c r="T18" i="2"/>
  <c r="T22" i="2" s="1"/>
  <c r="I45" i="2"/>
  <c r="J6" i="2"/>
  <c r="J5" i="2"/>
  <c r="J4" i="2"/>
  <c r="F6" i="2"/>
  <c r="F5" i="2"/>
  <c r="F4" i="2"/>
  <c r="F8" i="2"/>
  <c r="F9" i="2"/>
  <c r="F12" i="2"/>
  <c r="F13" i="2"/>
  <c r="F14" i="2"/>
  <c r="F15" i="2"/>
  <c r="F16" i="2"/>
  <c r="F17" i="2"/>
  <c r="F19" i="2"/>
  <c r="F20" i="2"/>
  <c r="F21" i="2"/>
  <c r="F27" i="2"/>
  <c r="F26" i="2"/>
  <c r="F25" i="2"/>
  <c r="J27" i="2"/>
  <c r="J26" i="2"/>
  <c r="J25" i="2"/>
  <c r="G34" i="2"/>
  <c r="H34" i="2"/>
  <c r="I34" i="2"/>
  <c r="E3" i="3"/>
  <c r="E4" i="3"/>
  <c r="E5" i="3"/>
  <c r="E6" i="3"/>
  <c r="E7" i="3"/>
  <c r="E8" i="3"/>
  <c r="E2" i="3"/>
  <c r="I3" i="3"/>
  <c r="I4" i="3"/>
  <c r="M15" i="3" s="1"/>
  <c r="I5" i="3"/>
  <c r="I6" i="3"/>
  <c r="M13" i="3" s="1"/>
  <c r="I7" i="3"/>
  <c r="M14" i="3" s="1"/>
  <c r="I8" i="3"/>
  <c r="I2" i="3"/>
  <c r="M12" i="3" s="1"/>
  <c r="U12" i="3"/>
  <c r="V12" i="3"/>
  <c r="W12" i="3"/>
  <c r="U14" i="3"/>
  <c r="V14" i="3"/>
  <c r="W14" i="3"/>
  <c r="U15" i="3"/>
  <c r="V15" i="3"/>
  <c r="W15" i="3"/>
  <c r="Y12" i="3"/>
  <c r="Y13" i="3"/>
  <c r="Y14" i="3"/>
  <c r="Y15" i="3"/>
  <c r="X15" i="3"/>
  <c r="X14" i="3"/>
  <c r="X13" i="3"/>
  <c r="X12" i="3"/>
  <c r="Z9" i="3"/>
  <c r="Y9" i="3"/>
  <c r="X9" i="3"/>
  <c r="W9" i="3"/>
  <c r="V9" i="3"/>
  <c r="U9" i="3"/>
  <c r="T9" i="3"/>
  <c r="N27" i="2"/>
  <c r="N26" i="2"/>
  <c r="N25" i="2"/>
  <c r="R27" i="2"/>
  <c r="R26" i="2"/>
  <c r="R25" i="2"/>
  <c r="R6" i="2"/>
  <c r="V34" i="2" s="1"/>
  <c r="R5" i="2"/>
  <c r="R4" i="2"/>
  <c r="N5" i="2"/>
  <c r="N48" i="2" s="1"/>
  <c r="N6" i="2"/>
  <c r="N4" i="2"/>
  <c r="D9" i="3"/>
  <c r="H9" i="3"/>
  <c r="K34" i="2"/>
  <c r="L34" i="2"/>
  <c r="M34" i="2"/>
  <c r="C9" i="3"/>
  <c r="G9" i="3"/>
  <c r="G12" i="3"/>
  <c r="H12" i="3"/>
  <c r="J12" i="3"/>
  <c r="F12" i="3"/>
  <c r="G15" i="3"/>
  <c r="H15" i="3"/>
  <c r="J15" i="3"/>
  <c r="F15" i="3"/>
  <c r="G14" i="3"/>
  <c r="H14" i="3"/>
  <c r="J14" i="3"/>
  <c r="F14" i="3"/>
  <c r="J13" i="3"/>
  <c r="H13" i="3"/>
  <c r="G13" i="3"/>
  <c r="F13" i="3"/>
  <c r="J9" i="3"/>
  <c r="O34" i="2"/>
  <c r="B9" i="3"/>
  <c r="F9" i="3"/>
  <c r="S34" i="2"/>
  <c r="P34" i="2"/>
  <c r="Q34" i="2"/>
  <c r="AF34" i="2"/>
  <c r="AG34" i="2"/>
  <c r="AH34" i="2"/>
  <c r="AI34" i="2"/>
  <c r="AE34" i="2"/>
  <c r="AD23" i="2"/>
  <c r="AD10" i="2"/>
  <c r="AE23" i="2"/>
  <c r="AF23" i="2"/>
  <c r="AE10" i="2"/>
  <c r="AF10" i="2"/>
  <c r="C44" i="2"/>
  <c r="E44" i="2"/>
  <c r="G44" i="2"/>
  <c r="H44" i="2"/>
  <c r="I44" i="2"/>
  <c r="K44" i="2"/>
  <c r="L44" i="2"/>
  <c r="M44" i="2"/>
  <c r="O44" i="2"/>
  <c r="P44" i="2"/>
  <c r="Q44" i="2"/>
  <c r="S44" i="2"/>
  <c r="C45" i="2"/>
  <c r="D45" i="2"/>
  <c r="E45" i="2"/>
  <c r="G45" i="2"/>
  <c r="H45" i="2"/>
  <c r="K45" i="2"/>
  <c r="L45" i="2"/>
  <c r="M45" i="2"/>
  <c r="O45" i="2"/>
  <c r="P45" i="2"/>
  <c r="Q45" i="2"/>
  <c r="S45" i="2"/>
  <c r="C46" i="2"/>
  <c r="D46" i="2"/>
  <c r="E46" i="2"/>
  <c r="G46" i="2"/>
  <c r="H46" i="2"/>
  <c r="I46" i="2"/>
  <c r="K46" i="2"/>
  <c r="L46" i="2"/>
  <c r="M46" i="2"/>
  <c r="O46" i="2"/>
  <c r="P46" i="2"/>
  <c r="Q46" i="2"/>
  <c r="S46" i="2"/>
  <c r="C47" i="2"/>
  <c r="D47" i="2"/>
  <c r="E47" i="2"/>
  <c r="G47" i="2"/>
  <c r="H47" i="2"/>
  <c r="I47" i="2"/>
  <c r="K47" i="2"/>
  <c r="L47" i="2"/>
  <c r="M47" i="2"/>
  <c r="O47" i="2"/>
  <c r="P47" i="2"/>
  <c r="Q47" i="2"/>
  <c r="S47" i="2"/>
  <c r="C48" i="2"/>
  <c r="D48" i="2"/>
  <c r="E48" i="2"/>
  <c r="G48" i="2"/>
  <c r="H48" i="2"/>
  <c r="I48" i="2"/>
  <c r="K48" i="2"/>
  <c r="L48" i="2"/>
  <c r="M48" i="2"/>
  <c r="O48" i="2"/>
  <c r="P48" i="2"/>
  <c r="Q48" i="2"/>
  <c r="S48" i="2"/>
  <c r="C49" i="2"/>
  <c r="D49" i="2"/>
  <c r="E49" i="2"/>
  <c r="G49" i="2"/>
  <c r="H49" i="2"/>
  <c r="I49" i="2"/>
  <c r="K49" i="2"/>
  <c r="L49" i="2"/>
  <c r="M49" i="2"/>
  <c r="O49" i="2"/>
  <c r="P49" i="2"/>
  <c r="Q49" i="2"/>
  <c r="S49" i="2"/>
  <c r="AH47" i="2"/>
  <c r="AI47" i="2"/>
  <c r="AH48" i="2"/>
  <c r="AI48" i="2"/>
  <c r="AG47" i="2"/>
  <c r="AG48" i="2"/>
  <c r="AF48" i="2"/>
  <c r="AE48" i="2"/>
  <c r="AF47" i="2"/>
  <c r="AE47" i="2"/>
  <c r="AI49" i="2"/>
  <c r="AH49" i="2"/>
  <c r="AG49" i="2"/>
  <c r="AF49" i="2"/>
  <c r="AE49" i="2"/>
  <c r="AI44" i="2"/>
  <c r="AI45" i="2"/>
  <c r="AI46" i="2"/>
  <c r="AH44" i="2"/>
  <c r="AH45" i="2"/>
  <c r="AH46" i="2"/>
  <c r="AG44" i="2"/>
  <c r="AG45" i="2"/>
  <c r="AG46" i="2"/>
  <c r="AF46" i="2"/>
  <c r="AF45" i="2"/>
  <c r="AF44" i="2"/>
  <c r="AE46" i="2"/>
  <c r="AE45" i="2"/>
  <c r="AE44" i="2"/>
  <c r="J21" i="2"/>
  <c r="J20" i="2"/>
  <c r="J19" i="2"/>
  <c r="J17" i="2"/>
  <c r="J16" i="2"/>
  <c r="J15" i="2"/>
  <c r="J14" i="2"/>
  <c r="J13" i="2"/>
  <c r="J12" i="2"/>
  <c r="J9" i="2"/>
  <c r="J8" i="2"/>
  <c r="E23" i="2"/>
  <c r="E10" i="2"/>
  <c r="C23" i="2"/>
  <c r="C10" i="2"/>
  <c r="H23" i="2"/>
  <c r="D23" i="2"/>
  <c r="D10" i="2"/>
  <c r="H10" i="2"/>
  <c r="G23" i="2"/>
  <c r="G10" i="2"/>
  <c r="N28" i="2"/>
  <c r="N21" i="2"/>
  <c r="N20" i="2"/>
  <c r="N19" i="2"/>
  <c r="N17" i="2"/>
  <c r="N16" i="2"/>
  <c r="N15" i="2"/>
  <c r="N14" i="2"/>
  <c r="N13" i="2"/>
  <c r="N12" i="2"/>
  <c r="N9" i="2"/>
  <c r="N8" i="2"/>
  <c r="K23" i="2"/>
  <c r="K10" i="2"/>
  <c r="I23" i="2"/>
  <c r="I10" i="2"/>
  <c r="R21" i="2"/>
  <c r="R19" i="2"/>
  <c r="R13" i="2"/>
  <c r="R14" i="2"/>
  <c r="R15" i="2"/>
  <c r="R16" i="2"/>
  <c r="R17" i="2"/>
  <c r="R12" i="2"/>
  <c r="R9" i="2"/>
  <c r="R8" i="2"/>
  <c r="L10" i="2"/>
  <c r="P23" i="2"/>
  <c r="P10" i="2"/>
  <c r="AH23" i="2"/>
  <c r="AG10" i="2"/>
  <c r="AH10" i="2"/>
  <c r="AI23" i="2"/>
  <c r="AI20" i="2"/>
  <c r="R20" i="2" s="1"/>
  <c r="AI10" i="2"/>
  <c r="M10" i="2"/>
  <c r="Q23" i="2"/>
  <c r="Q10" i="2"/>
  <c r="O10" i="2"/>
  <c r="S23" i="2"/>
  <c r="S10" i="2"/>
  <c r="AI38" i="2" l="1"/>
  <c r="AI39" i="2"/>
  <c r="L38" i="2"/>
  <c r="L39" i="2"/>
  <c r="C39" i="2"/>
  <c r="C38" i="2"/>
  <c r="AF18" i="2"/>
  <c r="AF22" i="2" s="1"/>
  <c r="AF24" i="2" s="1"/>
  <c r="AF39" i="2"/>
  <c r="AF38" i="2"/>
  <c r="AE18" i="2"/>
  <c r="AE22" i="2" s="1"/>
  <c r="AE38" i="2"/>
  <c r="AE39" i="2"/>
  <c r="R41" i="2"/>
  <c r="M39" i="2"/>
  <c r="M38" i="2"/>
  <c r="O39" i="2"/>
  <c r="O38" i="2"/>
  <c r="N38" i="2"/>
  <c r="X37" i="2"/>
  <c r="X24" i="2"/>
  <c r="S32" i="2"/>
  <c r="S38" i="2"/>
  <c r="S39" i="2"/>
  <c r="AH18" i="2"/>
  <c r="AH22" i="2" s="1"/>
  <c r="AH39" i="2"/>
  <c r="AH38" i="2"/>
  <c r="E38" i="2"/>
  <c r="E39" i="2"/>
  <c r="AG18" i="2"/>
  <c r="AG22" i="2" s="1"/>
  <c r="AG24" i="2" s="1"/>
  <c r="AG39" i="2"/>
  <c r="AG38" i="2"/>
  <c r="Q39" i="2"/>
  <c r="Q38" i="2"/>
  <c r="K38" i="2"/>
  <c r="K39" i="2"/>
  <c r="H39" i="2"/>
  <c r="H38" i="2"/>
  <c r="AJ24" i="2"/>
  <c r="C23" i="1"/>
  <c r="C26" i="1" s="1"/>
  <c r="I38" i="2"/>
  <c r="I39" i="2"/>
  <c r="G39" i="2"/>
  <c r="G38" i="2"/>
  <c r="P38" i="2"/>
  <c r="P39" i="2"/>
  <c r="D38" i="2"/>
  <c r="D39" i="2"/>
  <c r="AD18" i="2"/>
  <c r="AD22" i="2" s="1"/>
  <c r="AD39" i="2"/>
  <c r="AD38" i="2"/>
  <c r="F41" i="2"/>
  <c r="N41" i="2"/>
  <c r="J41" i="2"/>
  <c r="I18" i="2"/>
  <c r="I22" i="2" s="1"/>
  <c r="I37" i="2" s="1"/>
  <c r="I32" i="2"/>
  <c r="G18" i="2"/>
  <c r="G22" i="2" s="1"/>
  <c r="G37" i="2" s="1"/>
  <c r="G32" i="2"/>
  <c r="O18" i="2"/>
  <c r="O22" i="2" s="1"/>
  <c r="O24" i="2" s="1"/>
  <c r="O29" i="2" s="1"/>
  <c r="O32" i="2"/>
  <c r="K18" i="2"/>
  <c r="K22" i="2" s="1"/>
  <c r="K37" i="2" s="1"/>
  <c r="K32" i="2"/>
  <c r="E18" i="2"/>
  <c r="E22" i="2" s="1"/>
  <c r="E24" i="2" s="1"/>
  <c r="E35" i="2" s="1"/>
  <c r="E32" i="2"/>
  <c r="U33" i="2"/>
  <c r="Q32" i="2"/>
  <c r="H18" i="2"/>
  <c r="H22" i="2" s="1"/>
  <c r="H24" i="2" s="1"/>
  <c r="H32" i="2"/>
  <c r="P18" i="2"/>
  <c r="P22" i="2" s="1"/>
  <c r="P24" i="2" s="1"/>
  <c r="P32" i="2"/>
  <c r="D18" i="2"/>
  <c r="D22" i="2" s="1"/>
  <c r="D24" i="2" s="1"/>
  <c r="D32" i="2"/>
  <c r="L18" i="2"/>
  <c r="L22" i="2" s="1"/>
  <c r="L24" i="2" s="1"/>
  <c r="L29" i="2" s="1"/>
  <c r="L32" i="2"/>
  <c r="M18" i="2"/>
  <c r="M22" i="2" s="1"/>
  <c r="M37" i="2" s="1"/>
  <c r="M32" i="2"/>
  <c r="C18" i="2"/>
  <c r="C22" i="2" s="1"/>
  <c r="C24" i="2" s="1"/>
  <c r="C35" i="2" s="1"/>
  <c r="C32" i="2"/>
  <c r="S18" i="2"/>
  <c r="S22" i="2" s="1"/>
  <c r="S37" i="2" s="1"/>
  <c r="W33" i="2"/>
  <c r="AG35" i="2"/>
  <c r="W37" i="2"/>
  <c r="AI18" i="2"/>
  <c r="AI22" i="2" s="1"/>
  <c r="AI37" i="2" s="1"/>
  <c r="AJ33" i="2"/>
  <c r="C24" i="1" s="1"/>
  <c r="V23" i="2"/>
  <c r="I13" i="3"/>
  <c r="I14" i="3"/>
  <c r="E9" i="3"/>
  <c r="U37" i="2"/>
  <c r="U24" i="2"/>
  <c r="Y36" i="2" s="1"/>
  <c r="AJ71" i="2"/>
  <c r="T99" i="2"/>
  <c r="R49" i="2"/>
  <c r="F23" i="2"/>
  <c r="F49" i="2"/>
  <c r="J45" i="2"/>
  <c r="T24" i="2"/>
  <c r="T35" i="2" s="1"/>
  <c r="T37" i="2"/>
  <c r="J46" i="2"/>
  <c r="F10" i="2"/>
  <c r="F18" i="2" s="1"/>
  <c r="F22" i="2" s="1"/>
  <c r="T33" i="2"/>
  <c r="F45" i="2"/>
  <c r="I15" i="3"/>
  <c r="I12" i="3"/>
  <c r="AD24" i="2"/>
  <c r="R34" i="2"/>
  <c r="R48" i="2"/>
  <c r="F48" i="2"/>
  <c r="AE37" i="2"/>
  <c r="J44" i="2"/>
  <c r="F44" i="2"/>
  <c r="AE33" i="2"/>
  <c r="J49" i="2"/>
  <c r="N49" i="2"/>
  <c r="N34" i="2"/>
  <c r="J34" i="2"/>
  <c r="J48" i="2"/>
  <c r="J47" i="2"/>
  <c r="F46" i="2"/>
  <c r="F47" i="2"/>
  <c r="I9" i="3"/>
  <c r="R44" i="2"/>
  <c r="R46" i="2"/>
  <c r="R45" i="2"/>
  <c r="R47" i="2"/>
  <c r="N44" i="2"/>
  <c r="N45" i="2"/>
  <c r="N46" i="2"/>
  <c r="N47" i="2"/>
  <c r="AG33" i="2"/>
  <c r="AF33" i="2"/>
  <c r="AE24" i="2"/>
  <c r="G24" i="2"/>
  <c r="AG29" i="2"/>
  <c r="R23" i="2"/>
  <c r="R10" i="2"/>
  <c r="R32" i="2" s="1"/>
  <c r="J23" i="2"/>
  <c r="N10" i="2"/>
  <c r="N32" i="2" s="1"/>
  <c r="N23" i="2"/>
  <c r="S33" i="2"/>
  <c r="Q33" i="2"/>
  <c r="AH37" i="2"/>
  <c r="AH33" i="2"/>
  <c r="AI33" i="2"/>
  <c r="M33" i="2"/>
  <c r="K33" i="2"/>
  <c r="P33" i="2"/>
  <c r="J10" i="2"/>
  <c r="J18" i="2" s="1"/>
  <c r="J22" i="2" s="1"/>
  <c r="I33" i="2"/>
  <c r="G33" i="2"/>
  <c r="L33" i="2"/>
  <c r="H33" i="2"/>
  <c r="O33" i="2"/>
  <c r="AG37" i="2"/>
  <c r="AH24" i="2"/>
  <c r="Q18" i="2"/>
  <c r="Q22" i="2" s="1"/>
  <c r="Q24" i="2" s="1"/>
  <c r="Q35" i="2" s="1"/>
  <c r="X36" i="2" l="1"/>
  <c r="X35" i="2"/>
  <c r="J38" i="2"/>
  <c r="R39" i="2"/>
  <c r="R38" i="2"/>
  <c r="AJ35" i="2"/>
  <c r="C25" i="1" s="1"/>
  <c r="AJ29" i="2"/>
  <c r="J39" i="2"/>
  <c r="AF37" i="2"/>
  <c r="F39" i="2"/>
  <c r="N39" i="2"/>
  <c r="F38" i="2"/>
  <c r="O37" i="2"/>
  <c r="L35" i="2"/>
  <c r="P37" i="2"/>
  <c r="L37" i="2"/>
  <c r="J32" i="2"/>
  <c r="H37" i="2"/>
  <c r="M24" i="2"/>
  <c r="M35" i="2" s="1"/>
  <c r="K24" i="2"/>
  <c r="K35" i="2" s="1"/>
  <c r="F32" i="2"/>
  <c r="I24" i="2"/>
  <c r="I29" i="2" s="1"/>
  <c r="O35" i="2"/>
  <c r="S24" i="2"/>
  <c r="S35" i="2" s="1"/>
  <c r="AH35" i="2"/>
  <c r="AD29" i="2"/>
  <c r="V24" i="2"/>
  <c r="V37" i="2"/>
  <c r="W35" i="2"/>
  <c r="X29" i="2"/>
  <c r="R18" i="2"/>
  <c r="R22" i="2" s="1"/>
  <c r="R37" i="2" s="1"/>
  <c r="V33" i="2"/>
  <c r="U29" i="2"/>
  <c r="U36" i="2"/>
  <c r="U35" i="2"/>
  <c r="T29" i="2"/>
  <c r="F24" i="2"/>
  <c r="F29" i="2" s="1"/>
  <c r="T36" i="2"/>
  <c r="AD35" i="2"/>
  <c r="AG36" i="2"/>
  <c r="AF29" i="2"/>
  <c r="AE29" i="2"/>
  <c r="AE36" i="2"/>
  <c r="AF35" i="2"/>
  <c r="AF36" i="2"/>
  <c r="AE35" i="2"/>
  <c r="P29" i="2"/>
  <c r="P35" i="2"/>
  <c r="D29" i="2"/>
  <c r="D35" i="2"/>
  <c r="G29" i="2"/>
  <c r="G35" i="2"/>
  <c r="H29" i="2"/>
  <c r="H35" i="2"/>
  <c r="AI24" i="2"/>
  <c r="J24" i="2"/>
  <c r="P36" i="2"/>
  <c r="G36" i="2"/>
  <c r="C29" i="2"/>
  <c r="R33" i="2"/>
  <c r="J37" i="2"/>
  <c r="N18" i="2"/>
  <c r="N22" i="2" s="1"/>
  <c r="N37" i="2" s="1"/>
  <c r="E29" i="2"/>
  <c r="AH29" i="2"/>
  <c r="AH36" i="2"/>
  <c r="N33" i="2"/>
  <c r="J33" i="2"/>
  <c r="L36" i="2"/>
  <c r="H36" i="2"/>
  <c r="K29" i="2"/>
  <c r="Q37" i="2"/>
  <c r="Q29" i="2"/>
  <c r="C13" i="1" l="1"/>
  <c r="C16" i="1"/>
  <c r="C18" i="1" s="1"/>
  <c r="M36" i="2"/>
  <c r="K36" i="2"/>
  <c r="Q36" i="2"/>
  <c r="M29" i="2"/>
  <c r="I35" i="2"/>
  <c r="O36" i="2"/>
  <c r="I36" i="2"/>
  <c r="S36" i="2"/>
  <c r="W36" i="2"/>
  <c r="S29" i="2"/>
  <c r="AI36" i="2"/>
  <c r="AJ36" i="2"/>
  <c r="V35" i="2"/>
  <c r="V29" i="2"/>
  <c r="F35" i="2"/>
  <c r="J36" i="2"/>
  <c r="J35" i="2"/>
  <c r="AI29" i="2"/>
  <c r="R29" i="2" s="1"/>
  <c r="AI35" i="2"/>
  <c r="R24" i="2"/>
  <c r="N24" i="2"/>
  <c r="N35" i="2" s="1"/>
  <c r="R35" i="2" l="1"/>
  <c r="V36" i="2"/>
  <c r="R36" i="2"/>
  <c r="N29" i="2"/>
  <c r="N36" i="2"/>
  <c r="J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35C617E1-DFE4-4227-AE04-AB29E3D8805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B2DB0A8B-3610-47AA-BDC0-C712AC4494E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F5F506D9-A54B-4255-89B9-C71FFDABFCC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6FB2CE71-D7F3-4739-BB81-F3B425E579F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9D1A8B48-0604-41F2-8B62-D4F5E652320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47FA9190-F3A3-4028-B0DB-3B8934CDE4E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E9EFF593-0313-476B-BBFD-7C790DA35D0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020FAEC3-94E4-443C-802C-2A64BC71472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E0E2F635-23EE-4AE8-8906-F2E2FD5B2A6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4F8A5DCA-DC76-4075-8FF1-442CD4D847C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<sst xmlns="http://schemas.openxmlformats.org/spreadsheetml/2006/main" count="297" uniqueCount="256">
  <si>
    <t>Price</t>
  </si>
  <si>
    <t>Shares</t>
  </si>
  <si>
    <t>MC</t>
  </si>
  <si>
    <t>Cash</t>
  </si>
  <si>
    <t>Net Cash</t>
  </si>
  <si>
    <t>EV</t>
  </si>
  <si>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</si>
  <si>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</si>
  <si>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</si>
  <si>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</si>
  <si>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</si>
  <si>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</si>
  <si>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</si>
  <si>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</si>
  <si>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</si>
  <si>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</si>
  <si>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</si>
  <si>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FY21</t>
  </si>
  <si>
    <t>FY22</t>
  </si>
  <si>
    <t>FY23</t>
  </si>
  <si>
    <t>FY24</t>
  </si>
  <si>
    <t>FY20</t>
  </si>
  <si>
    <t>FY19</t>
  </si>
  <si>
    <t>FY18</t>
  </si>
  <si>
    <t>Q319</t>
  </si>
  <si>
    <t>Q419</t>
  </si>
  <si>
    <t>Q120</t>
  </si>
  <si>
    <t>Q220</t>
  </si>
  <si>
    <t>Q320</t>
  </si>
  <si>
    <t>Q420</t>
  </si>
  <si>
    <t>Q119</t>
  </si>
  <si>
    <t>Q219</t>
  </si>
  <si>
    <t>Net Product Sales</t>
  </si>
  <si>
    <t>Net Service Sales</t>
  </si>
  <si>
    <t>Total Net Sales</t>
  </si>
  <si>
    <t>Fulfillment</t>
  </si>
  <si>
    <t>Tech</t>
  </si>
  <si>
    <t>S&amp;M</t>
  </si>
  <si>
    <t>G&amp;A</t>
  </si>
  <si>
    <t>Other</t>
  </si>
  <si>
    <t>Opinc</t>
  </si>
  <si>
    <t>Interest Inc</t>
  </si>
  <si>
    <t>Interest Exp</t>
  </si>
  <si>
    <t>Other inc</t>
  </si>
  <si>
    <t>Income Tax</t>
  </si>
  <si>
    <t>EBITDA</t>
  </si>
  <si>
    <t>Net Income</t>
  </si>
  <si>
    <t>EPS</t>
  </si>
  <si>
    <t>Revenue y/y</t>
  </si>
  <si>
    <t>Net Income y/y</t>
  </si>
  <si>
    <t>Tax Rate</t>
  </si>
  <si>
    <t>Management</t>
  </si>
  <si>
    <t>Employees</t>
  </si>
  <si>
    <t xml:space="preserve"> </t>
  </si>
  <si>
    <t>International</t>
  </si>
  <si>
    <t>AWS</t>
  </si>
  <si>
    <t>US %</t>
  </si>
  <si>
    <t>International %</t>
  </si>
  <si>
    <t>AWS %</t>
  </si>
  <si>
    <t>US</t>
  </si>
  <si>
    <t>Net Margin</t>
  </si>
  <si>
    <t>US Margin</t>
  </si>
  <si>
    <t>Internation Margin</t>
  </si>
  <si>
    <t>AWS Margin</t>
  </si>
  <si>
    <t>FY17</t>
  </si>
  <si>
    <t>MS</t>
  </si>
  <si>
    <t>Inventories</t>
  </si>
  <si>
    <t>AR</t>
  </si>
  <si>
    <t>PP&amp;E</t>
  </si>
  <si>
    <t>Operating Leases</t>
  </si>
  <si>
    <t>Goodwill</t>
  </si>
  <si>
    <t>AP</t>
  </si>
  <si>
    <t>Accrued Exp.</t>
  </si>
  <si>
    <t>Unearned Rev</t>
  </si>
  <si>
    <t>Long-term Lease</t>
  </si>
  <si>
    <t>Long-Term Debt</t>
  </si>
  <si>
    <t>Other ltl</t>
  </si>
  <si>
    <t>S/E</t>
  </si>
  <si>
    <t>Net Sales</t>
  </si>
  <si>
    <t>Online Stores</t>
  </si>
  <si>
    <t>Physical Stores</t>
  </si>
  <si>
    <t>Third-Party Seller Services</t>
  </si>
  <si>
    <t>Subsciption Services</t>
  </si>
  <si>
    <t>Advertising Services</t>
  </si>
  <si>
    <t>AWS Growth y/y</t>
  </si>
  <si>
    <t>ads y/y</t>
  </si>
  <si>
    <t>aws y/y</t>
  </si>
  <si>
    <t>3rd party y/y</t>
  </si>
  <si>
    <t>Online y/y</t>
  </si>
  <si>
    <t>Net Inc</t>
  </si>
  <si>
    <t>Depreciation</t>
  </si>
  <si>
    <t>SBC</t>
  </si>
  <si>
    <t>Non Opex Exp</t>
  </si>
  <si>
    <t>Deff Income Tax</t>
  </si>
  <si>
    <t>Aex &amp; Other</t>
  </si>
  <si>
    <t>Property</t>
  </si>
  <si>
    <t>Proceeds</t>
  </si>
  <si>
    <t>Aquisitions</t>
  </si>
  <si>
    <t>Sales MS</t>
  </si>
  <si>
    <t>Purch MS</t>
  </si>
  <si>
    <t>Stock repurchase</t>
  </si>
  <si>
    <t>Repay STD</t>
  </si>
  <si>
    <t>Proceeds STD</t>
  </si>
  <si>
    <t>Proceeds LTD</t>
  </si>
  <si>
    <t>Repay LTD</t>
  </si>
  <si>
    <t>Finance Obl.</t>
  </si>
  <si>
    <t>FX</t>
  </si>
  <si>
    <t>Net Change CCC</t>
  </si>
  <si>
    <t>Cash EOP</t>
  </si>
  <si>
    <t>Finance Leases</t>
  </si>
  <si>
    <t>Current Assets</t>
  </si>
  <si>
    <t>Current Liabilities</t>
  </si>
  <si>
    <t>Total Assets</t>
  </si>
  <si>
    <t>Total Liabilities</t>
  </si>
  <si>
    <t>Q323</t>
  </si>
  <si>
    <t>Q423</t>
  </si>
  <si>
    <t>Q124</t>
  </si>
  <si>
    <t>Q224</t>
  </si>
  <si>
    <t>COGS</t>
  </si>
  <si>
    <t>AWS NI Dominance</t>
  </si>
  <si>
    <t>PE0</t>
  </si>
  <si>
    <t>PE1</t>
  </si>
  <si>
    <t>PE2</t>
  </si>
  <si>
    <t>EG1</t>
  </si>
  <si>
    <t>EG2</t>
  </si>
  <si>
    <t>PEG1</t>
  </si>
  <si>
    <t>PEG2</t>
  </si>
  <si>
    <t>Date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</si>
  <si>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</si>
  <si>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</si>
  <si>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</si>
  <si>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</si>
  <si>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</si>
  <si>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</si>
  <si>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</si>
  <si>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</si>
  <si>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</si>
  <si>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</si>
  <si>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</si>
  <si>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</si>
  <si>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</si>
  <si>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</si>
  <si>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</si>
  <si>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</si>
  <si>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</si>
  <si>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</si>
  <si>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</si>
  <si>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</si>
  <si>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</si>
  <si>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</si>
  <si>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</si>
  <si>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</si>
  <si>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</si>
  <si>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</si>
  <si>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</si>
  <si>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</si>
  <si>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</si>
  <si>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</si>
  <si>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</si>
  <si>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</si>
  <si>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</si>
  <si>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</si>
  <si>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</si>
  <si>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</si>
  <si>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</si>
  <si>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</si>
  <si>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</si>
  <si>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</si>
  <si>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Shareholders</t>
  </si>
  <si>
    <t>% Out</t>
  </si>
  <si>
    <t>Insiders</t>
  </si>
  <si>
    <t>Role</t>
  </si>
  <si>
    <t>Comment</t>
  </si>
  <si>
    <t>Last Update</t>
  </si>
  <si>
    <t>CASH</t>
  </si>
  <si>
    <t>DEBT</t>
  </si>
  <si>
    <t>Net CASH</t>
  </si>
  <si>
    <t>Driving business factors:</t>
  </si>
  <si>
    <t>RG1</t>
  </si>
  <si>
    <t>RG2</t>
  </si>
  <si>
    <t>EBIT</t>
  </si>
  <si>
    <t>Gross Margin</t>
  </si>
  <si>
    <t>EV/EBITDA</t>
  </si>
  <si>
    <t>Debt to Equity Ratio</t>
  </si>
  <si>
    <t>Notes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</si>
  <si>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</si>
  <si>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</si>
  <si>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</si>
  <si>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</si>
  <si>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</si>
  <si>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</si>
  <si>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</si>
  <si>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</si>
  <si>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</si>
  <si>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AMZN</t>
  </si>
  <si>
    <t>Mr. Andrew R. Jassy</t>
  </si>
  <si>
    <t>President, CEO &amp; Director</t>
  </si>
  <si>
    <t>Mr. Brian T. Olsavsky</t>
  </si>
  <si>
    <t>Senior VP &amp; CFO</t>
  </si>
  <si>
    <t>Mr. David A. Zapolsky</t>
  </si>
  <si>
    <t>Senior VP of Global Public Policy &amp; General Counsel</t>
  </si>
  <si>
    <t>Mr. Douglas J. Herrington</t>
  </si>
  <si>
    <t>Chief Executive Officer of Worldwide Amazon Stores</t>
  </si>
  <si>
    <t>Mr. Adam N. Selipsky</t>
  </si>
  <si>
    <t>Chief Executive Officer of Amazon Web Services, Inc.</t>
  </si>
  <si>
    <t>Mr. Jeffrey P. Bezos</t>
  </si>
  <si>
    <t>Founder &amp; Executive Chairman</t>
  </si>
  <si>
    <t>Ms. Shelley L. Reynolds</t>
  </si>
  <si>
    <t>VP, Worldwide Controller &amp; Principal Accounting Officer</t>
  </si>
  <si>
    <t>Dr. Werner Vogels</t>
  </si>
  <si>
    <t>Chief Technology Officer</t>
  </si>
  <si>
    <t>Mr. Dave Fildes</t>
  </si>
  <si>
    <t>Director of Investor Relations</t>
  </si>
  <si>
    <t>Ms. Anuradha Aggarwal</t>
  </si>
  <si>
    <t>CMO &amp; Director of User Growth</t>
  </si>
  <si>
    <t>Vanguard Group Inc</t>
  </si>
  <si>
    <t>7.42%</t>
  </si>
  <si>
    <t>Blackrock Inc.</t>
  </si>
  <si>
    <t>6.04%</t>
  </si>
  <si>
    <t>State Street Corporation</t>
  </si>
  <si>
    <t>3.32%</t>
  </si>
  <si>
    <t>FMR, LLC</t>
  </si>
  <si>
    <t>3.04%</t>
  </si>
  <si>
    <t>Price (T.Rowe) Associates Inc</t>
  </si>
  <si>
    <t>1.85%</t>
  </si>
  <si>
    <t>Geode Capital Management, LLC</t>
  </si>
  <si>
    <t>1.74%</t>
  </si>
  <si>
    <t>JP Morgan Chase &amp; Company</t>
  </si>
  <si>
    <t>1.58%</t>
  </si>
  <si>
    <t>Morgan Stanley</t>
  </si>
  <si>
    <t>1.53%</t>
  </si>
  <si>
    <t>Norges Bank Investment Management</t>
  </si>
  <si>
    <t>1.12%</t>
  </si>
  <si>
    <t>Northern Trust Corporation</t>
  </si>
  <si>
    <t>0.86%</t>
  </si>
  <si>
    <t>BEZOS JEFFREY P</t>
  </si>
  <si>
    <t>HERRINGTON DOUGLAS J</t>
  </si>
  <si>
    <t>JASSY ANDREW R.</t>
  </si>
  <si>
    <t>MCGRATH JUDITH A</t>
  </si>
  <si>
    <t>OLSAVSKY BRIAN T.</t>
  </si>
  <si>
    <t>REYNOLDS SHELLEY L</t>
  </si>
  <si>
    <t>RUBINSTEIN JONATHAN J</t>
  </si>
  <si>
    <t>SELIPSKY ADAM NO</t>
  </si>
  <si>
    <t>WEEKS WENDELL P.</t>
  </si>
  <si>
    <t>ZAPOLSKY DAVID</t>
  </si>
  <si>
    <t>FY25</t>
  </si>
  <si>
    <t>Sale exp.</t>
  </si>
  <si>
    <t>Q324</t>
  </si>
  <si>
    <t>Q424</t>
  </si>
  <si>
    <t>Opinc US</t>
  </si>
  <si>
    <t>Opinc Int.</t>
  </si>
  <si>
    <t>Opinc AWS</t>
  </si>
  <si>
    <t>S&amp;M / Rev</t>
  </si>
  <si>
    <t>G&amp;A / ev</t>
  </si>
  <si>
    <t>EPS exp.</t>
  </si>
  <si>
    <t>Shares (basic)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</si>
</sst>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6" fillId="3" borderId="1" applyNumberFormat="0" applyAlignment="0" applyProtection="0"/>
  </cellStyleXfs>
  <cellXfs count="140">
    <xf numFmtId="0" fontId="0" fillId="0" borderId="0" xfId="0"/>
    <xf numFmtId="3" fontId="0" fillId="0" borderId="0" xfId="0" applyNumberFormat="1"/>
    <xf numFmtId="0" fontId="2" fillId="0" borderId="0" xfId="1"/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0" fillId="0" borderId="0" xfId="0" applyNumberFormat="1"/>
    <xf numFmtId="9" fontId="0" fillId="0" borderId="0" xfId="0" applyNumberFormat="1"/>
    <xf numFmtId="3" fontId="0" fillId="2" borderId="0" xfId="0" applyNumberFormat="1" applyFill="1"/>
    <xf numFmtId="14" fontId="0" fillId="0" borderId="0" xfId="0" applyNumberFormat="1"/>
    <xf numFmtId="3" fontId="4" fillId="0" borderId="0" xfId="0" applyNumberFormat="1" applyFont="1"/>
    <xf numFmtId="0" fontId="4" fillId="0" borderId="0" xfId="0" applyFont="1"/>
    <xf numFmtId="9" fontId="0" fillId="0" borderId="0" xfId="2" applyFont="1"/>
    <xf numFmtId="0" fontId="8" fillId="5" borderId="5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0" fontId="9" fillId="5" borderId="9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8" fillId="5" borderId="11" xfId="0" applyFont="1" applyFill="1" applyBorder="1"/>
    <xf numFmtId="0" fontId="8" fillId="5" borderId="12" xfId="0" applyFont="1" applyFill="1" applyBorder="1"/>
    <xf numFmtId="165" fontId="8" fillId="5" borderId="13" xfId="0" applyNumberFormat="1" applyFont="1" applyFill="1" applyBorder="1"/>
    <xf numFmtId="165" fontId="8" fillId="5" borderId="14" xfId="0" applyNumberFormat="1" applyFont="1" applyFill="1" applyBorder="1"/>
    <xf numFmtId="0" fontId="8" fillId="5" borderId="14" xfId="0" applyFont="1" applyFill="1" applyBorder="1"/>
    <xf numFmtId="10" fontId="8" fillId="5" borderId="14" xfId="0" applyNumberFormat="1" applyFont="1" applyFill="1" applyBorder="1"/>
    <xf numFmtId="10" fontId="8" fillId="5" borderId="15" xfId="0" applyNumberFormat="1" applyFont="1" applyFill="1" applyBorder="1"/>
    <xf numFmtId="165" fontId="8" fillId="5" borderId="16" xfId="0" applyNumberFormat="1" applyFont="1" applyFill="1" applyBorder="1"/>
    <xf numFmtId="165" fontId="8" fillId="5" borderId="17" xfId="0" applyNumberFormat="1" applyFont="1" applyFill="1" applyBorder="1"/>
    <xf numFmtId="0" fontId="8" fillId="5" borderId="17" xfId="0" applyFont="1" applyFill="1" applyBorder="1"/>
    <xf numFmtId="0" fontId="8" fillId="5" borderId="17" xfId="0" quotePrefix="1" applyFont="1" applyFill="1" applyBorder="1"/>
    <xf numFmtId="10" fontId="8" fillId="5" borderId="17" xfId="0" applyNumberFormat="1" applyFont="1" applyFill="1" applyBorder="1"/>
    <xf numFmtId="10" fontId="8" fillId="5" borderId="18" xfId="0" applyNumberFormat="1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10" fontId="8" fillId="5" borderId="21" xfId="0" applyNumberFormat="1" applyFont="1" applyFill="1" applyBorder="1"/>
    <xf numFmtId="165" fontId="8" fillId="5" borderId="22" xfId="0" applyNumberFormat="1" applyFont="1" applyFill="1" applyBorder="1"/>
    <xf numFmtId="0" fontId="8" fillId="5" borderId="23" xfId="0" applyFont="1" applyFill="1" applyBorder="1"/>
    <xf numFmtId="165" fontId="8" fillId="5" borderId="28" xfId="0" applyNumberFormat="1" applyFont="1" applyFill="1" applyBorder="1"/>
    <xf numFmtId="166" fontId="8" fillId="5" borderId="23" xfId="0" applyNumberFormat="1" applyFont="1" applyFill="1" applyBorder="1"/>
    <xf numFmtId="2" fontId="8" fillId="5" borderId="23" xfId="0" applyNumberFormat="1" applyFont="1" applyFill="1" applyBorder="1"/>
    <xf numFmtId="165" fontId="8" fillId="5" borderId="5" xfId="0" applyNumberFormat="1" applyFont="1" applyFill="1" applyBorder="1"/>
    <xf numFmtId="165" fontId="8" fillId="5" borderId="29" xfId="0" applyNumberFormat="1" applyFont="1" applyFill="1" applyBorder="1"/>
    <xf numFmtId="165" fontId="8" fillId="5" borderId="30" xfId="0" applyNumberFormat="1" applyFont="1" applyFill="1" applyBorder="1"/>
    <xf numFmtId="0" fontId="10" fillId="5" borderId="14" xfId="0" applyFont="1" applyFill="1" applyBorder="1"/>
    <xf numFmtId="0" fontId="10" fillId="5" borderId="15" xfId="0" applyFont="1" applyFill="1" applyBorder="1"/>
    <xf numFmtId="165" fontId="10" fillId="5" borderId="16" xfId="0" applyNumberFormat="1" applyFont="1" applyFill="1" applyBorder="1"/>
    <xf numFmtId="165" fontId="10" fillId="5" borderId="22" xfId="0" applyNumberFormat="1" applyFont="1" applyFill="1" applyBorder="1"/>
    <xf numFmtId="10" fontId="8" fillId="5" borderId="20" xfId="0" applyNumberFormat="1" applyFont="1" applyFill="1" applyBorder="1"/>
    <xf numFmtId="0" fontId="8" fillId="5" borderId="0" xfId="0" applyFont="1" applyFill="1"/>
    <xf numFmtId="1" fontId="8" fillId="5" borderId="16" xfId="0" applyNumberFormat="1" applyFont="1" applyFill="1" applyBorder="1"/>
    <xf numFmtId="10" fontId="8" fillId="5" borderId="31" xfId="0" applyNumberFormat="1" applyFont="1" applyFill="1" applyBorder="1"/>
    <xf numFmtId="9" fontId="10" fillId="5" borderId="32" xfId="0" applyNumberFormat="1" applyFont="1" applyFill="1" applyBorder="1"/>
    <xf numFmtId="10" fontId="0" fillId="5" borderId="34" xfId="0" applyNumberFormat="1" applyFill="1" applyBorder="1" applyAlignment="1">
      <alignment horizontal="centerContinuous"/>
    </xf>
    <xf numFmtId="9" fontId="10" fillId="5" borderId="35" xfId="0" applyNumberFormat="1" applyFont="1" applyFill="1" applyBorder="1"/>
    <xf numFmtId="10" fontId="0" fillId="5" borderId="33" xfId="0" applyNumberFormat="1" applyFill="1" applyBorder="1" applyAlignment="1">
      <alignment horizontal="centerContinuous"/>
    </xf>
    <xf numFmtId="9" fontId="10" fillId="5" borderId="28" xfId="0" applyNumberFormat="1" applyFont="1" applyFill="1" applyBorder="1"/>
    <xf numFmtId="10" fontId="0" fillId="5" borderId="36" xfId="0" applyNumberFormat="1" applyFill="1" applyBorder="1" applyAlignment="1">
      <alignment horizontal="centerContinuous"/>
    </xf>
    <xf numFmtId="9" fontId="10" fillId="5" borderId="37" xfId="0" applyNumberFormat="1" applyFont="1" applyFill="1" applyBorder="1"/>
    <xf numFmtId="10" fontId="0" fillId="5" borderId="23" xfId="0" applyNumberFormat="1" applyFill="1" applyBorder="1" applyAlignment="1">
      <alignment horizontal="centerContinuous"/>
    </xf>
    <xf numFmtId="9" fontId="10" fillId="5" borderId="5" xfId="0" applyNumberFormat="1" applyFont="1" applyFill="1" applyBorder="1"/>
    <xf numFmtId="10" fontId="0" fillId="5" borderId="38" xfId="0" applyNumberFormat="1" applyFill="1" applyBorder="1" applyAlignment="1">
      <alignment horizontal="centerContinuous"/>
    </xf>
    <xf numFmtId="0" fontId="8" fillId="5" borderId="39" xfId="0" applyFont="1" applyFill="1" applyBorder="1"/>
    <xf numFmtId="0" fontId="0" fillId="5" borderId="38" xfId="0" applyFill="1" applyBorder="1"/>
    <xf numFmtId="9" fontId="10" fillId="5" borderId="39" xfId="0" applyNumberFormat="1" applyFont="1" applyFill="1" applyBorder="1"/>
    <xf numFmtId="10" fontId="0" fillId="5" borderId="7" xfId="0" applyNumberFormat="1" applyFill="1" applyBorder="1" applyAlignment="1">
      <alignment horizontal="centerContinuous"/>
    </xf>
    <xf numFmtId="0" fontId="10" fillId="0" borderId="13" xfId="0" applyFont="1" applyBorder="1"/>
    <xf numFmtId="9" fontId="6" fillId="3" borderId="15" xfId="3" applyNumberFormat="1" applyBorder="1"/>
    <xf numFmtId="0" fontId="10" fillId="0" borderId="19" xfId="0" applyFont="1" applyBorder="1"/>
    <xf numFmtId="9" fontId="6" fillId="3" borderId="21" xfId="3" applyNumberFormat="1" applyBorder="1"/>
    <xf numFmtId="0" fontId="8" fillId="0" borderId="0" xfId="0" applyFont="1"/>
    <xf numFmtId="2" fontId="6" fillId="3" borderId="15" xfId="3" applyNumberFormat="1" applyBorder="1"/>
    <xf numFmtId="0" fontId="10" fillId="0" borderId="16" xfId="0" applyFont="1" applyBorder="1"/>
    <xf numFmtId="2" fontId="0" fillId="0" borderId="18" xfId="0" applyNumberFormat="1" applyBorder="1"/>
    <xf numFmtId="2" fontId="0" fillId="0" borderId="21" xfId="0" applyNumberFormat="1" applyBorder="1"/>
    <xf numFmtId="0" fontId="0" fillId="6" borderId="40" xfId="0" applyFill="1" applyBorder="1"/>
    <xf numFmtId="0" fontId="0" fillId="0" borderId="41" xfId="0" applyBorder="1"/>
    <xf numFmtId="0" fontId="0" fillId="7" borderId="40" xfId="0" applyFill="1" applyBorder="1"/>
    <xf numFmtId="0" fontId="0" fillId="7" borderId="42" xfId="0" applyFill="1" applyBorder="1" applyAlignment="1">
      <alignment horizontal="right"/>
    </xf>
    <xf numFmtId="0" fontId="0" fillId="0" borderId="42" xfId="0" applyBorder="1"/>
    <xf numFmtId="0" fontId="0" fillId="7" borderId="42" xfId="0" applyFill="1" applyBorder="1"/>
    <xf numFmtId="0" fontId="0" fillId="7" borderId="41" xfId="0" applyFill="1" applyBorder="1"/>
    <xf numFmtId="0" fontId="0" fillId="8" borderId="40" xfId="0" applyFill="1" applyBorder="1"/>
    <xf numFmtId="0" fontId="0" fillId="8" borderId="42" xfId="0" applyFill="1" applyBorder="1"/>
    <xf numFmtId="0" fontId="0" fillId="8" borderId="41" xfId="0" applyFill="1" applyBorder="1"/>
    <xf numFmtId="0" fontId="0" fillId="0" borderId="37" xfId="0" applyBorder="1"/>
    <xf numFmtId="14" fontId="0" fillId="0" borderId="36" xfId="0" applyNumberFormat="1" applyBorder="1"/>
    <xf numFmtId="0" fontId="0" fillId="0" borderId="0" xfId="0" applyAlignment="1">
      <alignment horizontal="right"/>
    </xf>
    <xf numFmtId="166" fontId="0" fillId="0" borderId="36" xfId="2" applyNumberFormat="1" applyFont="1" applyBorder="1"/>
    <xf numFmtId="0" fontId="0" fillId="0" borderId="36" xfId="0" applyBorder="1" applyAlignment="1">
      <alignment wrapText="1"/>
    </xf>
    <xf numFmtId="20" fontId="0" fillId="0" borderId="36" xfId="0" applyNumberFormat="1" applyBorder="1"/>
    <xf numFmtId="0" fontId="0" fillId="0" borderId="36" xfId="0" applyBorder="1"/>
    <xf numFmtId="3" fontId="0" fillId="0" borderId="36" xfId="0" applyNumberFormat="1" applyBorder="1"/>
    <xf numFmtId="164" fontId="0" fillId="0" borderId="36" xfId="0" applyNumberForma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9" fontId="0" fillId="0" borderId="36" xfId="2" applyFont="1" applyBorder="1"/>
    <xf numFmtId="0" fontId="0" fillId="9" borderId="0" xfId="0" applyFill="1"/>
    <xf numFmtId="2" fontId="0" fillId="0" borderId="36" xfId="0" applyNumberFormat="1" applyBorder="1"/>
    <xf numFmtId="9" fontId="0" fillId="0" borderId="36" xfId="0" applyNumberFormat="1" applyBorder="1"/>
    <xf numFmtId="2" fontId="0" fillId="0" borderId="36" xfId="2" applyNumberFormat="1" applyFont="1" applyBorder="1"/>
    <xf numFmtId="10" fontId="0" fillId="0" borderId="0" xfId="2" applyNumberFormat="1" applyFont="1"/>
    <xf numFmtId="0" fontId="1" fillId="0" borderId="36" xfId="0" applyFont="1" applyBorder="1"/>
    <xf numFmtId="3" fontId="1" fillId="0" borderId="36" xfId="0" applyNumberFormat="1" applyFont="1" applyBorder="1"/>
    <xf numFmtId="3" fontId="4" fillId="0" borderId="36" xfId="0" applyNumberFormat="1" applyFont="1" applyBorder="1"/>
    <xf numFmtId="2" fontId="1" fillId="0" borderId="0" xfId="0" applyNumberFormat="1" applyFont="1"/>
    <xf numFmtId="2" fontId="1" fillId="0" borderId="36" xfId="0" applyNumberFormat="1" applyFont="1" applyBorder="1"/>
    <xf numFmtId="9" fontId="0" fillId="0" borderId="0" xfId="2" applyFont="1" applyBorder="1"/>
    <xf numFmtId="2" fontId="4" fillId="0" borderId="0" xfId="0" applyNumberFormat="1" applyFont="1"/>
    <xf numFmtId="2" fontId="4" fillId="0" borderId="36" xfId="0" applyNumberFormat="1" applyFont="1" applyBorder="1"/>
    <xf numFmtId="10" fontId="0" fillId="0" borderId="36" xfId="0" applyNumberFormat="1" applyBorder="1"/>
    <xf numFmtId="0" fontId="0" fillId="10" borderId="40" xfId="0" applyFill="1" applyBorder="1" applyAlignment="1">
      <alignment horizontal="center" vertical="center" wrapText="1"/>
    </xf>
    <xf numFmtId="0" fontId="0" fillId="10" borderId="42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65" fontId="8" fillId="5" borderId="24" xfId="0" applyNumberFormat="1" applyFont="1" applyFill="1" applyBorder="1" applyAlignment="1">
      <alignment horizontal="center"/>
    </xf>
    <xf numFmtId="165" fontId="8" fillId="5" borderId="25" xfId="0" applyNumberFormat="1" applyFont="1" applyFill="1" applyBorder="1" applyAlignment="1">
      <alignment horizontal="center"/>
    </xf>
    <xf numFmtId="165" fontId="8" fillId="5" borderId="26" xfId="0" applyNumberFormat="1" applyFont="1" applyFill="1" applyBorder="1" applyAlignment="1">
      <alignment horizontal="center"/>
    </xf>
    <xf numFmtId="165" fontId="8" fillId="5" borderId="27" xfId="0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3" fontId="0" fillId="0" borderId="0" xfId="0" applyNumberFormat="1" applyBorder="1"/>
    <xf numFmtId="3" fontId="1" fillId="0" borderId="0" xfId="0" applyNumberFormat="1" applyFont="1" applyBorder="1"/>
    <xf numFmtId="3" fontId="4" fillId="0" borderId="0" xfId="0" applyNumberFormat="1" applyFont="1" applyBorder="1"/>
    <xf numFmtId="2" fontId="1" fillId="0" borderId="0" xfId="0" applyNumberFormat="1" applyFont="1" applyBorder="1"/>
    <xf numFmtId="2" fontId="4" fillId="0" borderId="0" xfId="0" applyNumberFormat="1" applyFont="1" applyBorder="1"/>
    <xf numFmtId="9" fontId="0" fillId="0" borderId="0" xfId="0" applyNumberFormat="1" applyBorder="1"/>
    <xf numFmtId="10" fontId="0" fillId="0" borderId="0" xfId="0" applyNumberFormat="1" applyBorder="1"/>
    <xf numFmtId="3" fontId="4" fillId="7" borderId="36" xfId="0" applyNumberFormat="1" applyFont="1" applyFill="1" applyBorder="1"/>
  </cellXfs>
  <cellStyles count="4">
    <cellStyle name="Hyperlink" xfId="1" builtinId="8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Model!$B$10</c:f>
              <c:strCache>
                <c:ptCount val="1"/>
                <c:pt idx="0">
                  <c:v>Total 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FAF-4D3C-A03C-0ABC6F95F6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Model!$K$10:$X$10</c:f>
              <c:numCache>
                <c:formatCode>#,##0</c:formatCode>
                <c:ptCount val="14"/>
                <c:pt idx="0">
                  <c:v>108518</c:v>
                </c:pt>
                <c:pt idx="1">
                  <c:v>113080</c:v>
                </c:pt>
                <c:pt idx="2">
                  <c:v>110812</c:v>
                </c:pt>
                <c:pt idx="3">
                  <c:v>137412</c:v>
                </c:pt>
                <c:pt idx="4">
                  <c:v>116444</c:v>
                </c:pt>
                <c:pt idx="5">
                  <c:v>121234</c:v>
                </c:pt>
                <c:pt idx="6">
                  <c:v>127101</c:v>
                </c:pt>
                <c:pt idx="7">
                  <c:v>149204</c:v>
                </c:pt>
                <c:pt idx="8">
                  <c:v>127358</c:v>
                </c:pt>
                <c:pt idx="9">
                  <c:v>134383</c:v>
                </c:pt>
                <c:pt idx="10">
                  <c:v>143083</c:v>
                </c:pt>
                <c:pt idx="11">
                  <c:v>169961</c:v>
                </c:pt>
                <c:pt idx="12">
                  <c:v>143313</c:v>
                </c:pt>
                <c:pt idx="13">
                  <c:v>147977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AF-4D3C-A03C-0ABC6F95F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Revenue Growth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Model!$K$33:$X$33</c:f>
              <c:numCache>
                <c:formatCode>0%</c:formatCode>
                <c:ptCount val="14"/>
                <c:pt idx="0">
                  <c:v>0.43823888034777081</c:v>
                </c:pt>
                <c:pt idx="1">
                  <c:v>0.27181932697498645</c:v>
                </c:pt>
                <c:pt idx="2">
                  <c:v>0.15255083467679031</c:v>
                </c:pt>
                <c:pt idx="3">
                  <c:v>9.4436701047349692E-2</c:v>
                </c:pt>
                <c:pt idx="4">
                  <c:v>7.3038574245747334E-2</c:v>
                </c:pt>
                <c:pt idx="5">
                  <c:v>7.2108241952600016E-2</c:v>
                </c:pt>
                <c:pt idx="6">
                  <c:v>0.14699671515720314</c:v>
                </c:pt>
                <c:pt idx="7">
                  <c:v>8.5814921549791867E-2</c:v>
                </c:pt>
                <c:pt idx="8">
                  <c:v>9.3727456975026602E-2</c:v>
                </c:pt>
                <c:pt idx="9">
                  <c:v>0.10845967302901816</c:v>
                </c:pt>
                <c:pt idx="10">
                  <c:v>0.125742519728405</c:v>
                </c:pt>
                <c:pt idx="11">
                  <c:v>0.13911825420230017</c:v>
                </c:pt>
                <c:pt idx="12">
                  <c:v>0.12527677884388888</c:v>
                </c:pt>
                <c:pt idx="13">
                  <c:v>0.10115862869559389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AF-4D3C-A03C-0ABC6F95F6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Model!$B$10</c:f>
              <c:strCache>
                <c:ptCount val="1"/>
                <c:pt idx="0">
                  <c:v>Total 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Model!$AD$2:$AL$2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Model!$AD$10:$AL$10</c:f>
              <c:numCache>
                <c:formatCode>#,##0</c:formatCode>
                <c:ptCount val="9"/>
                <c:pt idx="0">
                  <c:v>177866</c:v>
                </c:pt>
                <c:pt idx="1">
                  <c:v>232887</c:v>
                </c:pt>
                <c:pt idx="2">
                  <c:v>280522</c:v>
                </c:pt>
                <c:pt idx="3">
                  <c:v>386064</c:v>
                </c:pt>
                <c:pt idx="4">
                  <c:v>469822</c:v>
                </c:pt>
                <c:pt idx="5">
                  <c:v>513983</c:v>
                </c:pt>
                <c:pt idx="6">
                  <c:v>574785</c:v>
                </c:pt>
                <c:pt idx="7">
                  <c:v>637560</c:v>
                </c:pt>
                <c:pt idx="8">
                  <c:v>706200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A-48AE-9463-ABA715D75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Revenue Growth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Model!$AD$33:$AL$33</c:f>
              <c:numCache>
                <c:formatCode>0%</c:formatCode>
                <c:ptCount val="9"/>
                <c:pt idx="1">
                  <c:v>0.3093396152159491</c:v>
                </c:pt>
                <c:pt idx="2">
                  <c:v>0.20454125820676983</c:v>
                </c:pt>
                <c:pt idx="3">
                  <c:v>0.37623430604373276</c:v>
                </c:pt>
                <c:pt idx="4">
                  <c:v>0.21695366571345676</c:v>
                </c:pt>
                <c:pt idx="5">
                  <c:v>9.399517263985091E-2</c:v>
                </c:pt>
                <c:pt idx="6">
                  <c:v>0.1182957412988368</c:v>
                </c:pt>
                <c:pt idx="7">
                  <c:v>0.10921474986299229</c:v>
                </c:pt>
                <c:pt idx="8">
                  <c:v>0.10766045548654235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A-48AE-9463-ABA715D7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88-4B5E-B8F4-ACB2969E45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Model!$K$24:$X$24</c:f>
              <c:numCache>
                <c:formatCode>#,##0</c:formatCode>
                <c:ptCount val="14"/>
                <c:pt idx="0">
                  <c:v>8107</c:v>
                </c:pt>
                <c:pt idx="1">
                  <c:v>7766</c:v>
                </c:pt>
                <c:pt idx="2">
                  <c:v>3160</c:v>
                </c:pt>
                <c:pt idx="3">
                  <c:v>14331</c:v>
                </c:pt>
                <c:pt idx="4">
                  <c:v>-3843</c:v>
                </c:pt>
                <c:pt idx="5">
                  <c:v>-2028</c:v>
                </c:pt>
                <c:pt idx="6">
                  <c:v>2872</c:v>
                </c:pt>
                <c:pt idx="7">
                  <c:v>277</c:v>
                </c:pt>
                <c:pt idx="8">
                  <c:v>3172</c:v>
                </c:pt>
                <c:pt idx="9">
                  <c:v>6750</c:v>
                </c:pt>
                <c:pt idx="10">
                  <c:v>9879</c:v>
                </c:pt>
                <c:pt idx="11">
                  <c:v>10636</c:v>
                </c:pt>
                <c:pt idx="12">
                  <c:v>10431</c:v>
                </c:pt>
                <c:pt idx="13">
                  <c:v>13478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88-4B5E-B8F4-ACB2969E4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Net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Model!$K$35:$X$35</c:f>
              <c:numCache>
                <c:formatCode>0%</c:formatCode>
                <c:ptCount val="14"/>
                <c:pt idx="0">
                  <c:v>7.470650030409702E-2</c:v>
                </c:pt>
                <c:pt idx="1">
                  <c:v>6.8677042801556426E-2</c:v>
                </c:pt>
                <c:pt idx="2">
                  <c:v>2.8516767137133161E-2</c:v>
                </c:pt>
                <c:pt idx="3">
                  <c:v>0.10429220155444939</c:v>
                </c:pt>
                <c:pt idx="4">
                  <c:v>-3.3002988561025043E-2</c:v>
                </c:pt>
                <c:pt idx="5">
                  <c:v>-1.6727980599501788E-2</c:v>
                </c:pt>
                <c:pt idx="6">
                  <c:v>2.2596203019645794E-2</c:v>
                </c:pt>
                <c:pt idx="7">
                  <c:v>1.8565185919948526E-3</c:v>
                </c:pt>
                <c:pt idx="8">
                  <c:v>2.4906170008951147E-2</c:v>
                </c:pt>
                <c:pt idx="9">
                  <c:v>5.0229567728060844E-2</c:v>
                </c:pt>
                <c:pt idx="10">
                  <c:v>6.9043841686293975E-2</c:v>
                </c:pt>
                <c:pt idx="11">
                  <c:v>6.2579062255458603E-2</c:v>
                </c:pt>
                <c:pt idx="12">
                  <c:v>7.2784743882271671E-2</c:v>
                </c:pt>
                <c:pt idx="13">
                  <c:v>9.1081722159524786E-2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8-4B5E-B8F4-ACB2969E4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Model!$AD$2:$AL$2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Model!$AD$24:$AL$24</c:f>
              <c:numCache>
                <c:formatCode>#,##0</c:formatCode>
                <c:ptCount val="9"/>
                <c:pt idx="0">
                  <c:v>3033</c:v>
                </c:pt>
                <c:pt idx="1">
                  <c:v>10073</c:v>
                </c:pt>
                <c:pt idx="2">
                  <c:v>11588</c:v>
                </c:pt>
                <c:pt idx="3">
                  <c:v>21315</c:v>
                </c:pt>
                <c:pt idx="4">
                  <c:v>33364</c:v>
                </c:pt>
                <c:pt idx="5">
                  <c:v>-2722</c:v>
                </c:pt>
                <c:pt idx="6">
                  <c:v>30437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2-4C37-9197-BD4892DF2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Net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Model!$AD$35:$AL$35</c:f>
              <c:numCache>
                <c:formatCode>0%</c:formatCode>
                <c:ptCount val="9"/>
                <c:pt idx="0">
                  <c:v>1.7052162864178651E-2</c:v>
                </c:pt>
                <c:pt idx="1">
                  <c:v>4.3252736305590261E-2</c:v>
                </c:pt>
                <c:pt idx="2">
                  <c:v>4.1308703060722513E-2</c:v>
                </c:pt>
                <c:pt idx="3">
                  <c:v>5.5211053089643171E-2</c:v>
                </c:pt>
                <c:pt idx="4">
                  <c:v>7.1014128755145567E-2</c:v>
                </c:pt>
                <c:pt idx="5">
                  <c:v>-5.2958950004183018E-3</c:v>
                </c:pt>
                <c:pt idx="6">
                  <c:v>5.2953713127517246E-2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2-4C37-9197-BD4892DF21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Model!$B$38</c:f>
              <c:strCache>
                <c:ptCount val="1"/>
                <c:pt idx="0">
                  <c:v>S&amp;M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Model!$K$38:$Y$38</c:f>
              <c:numCache>
                <c:formatCode>0%</c:formatCode>
                <c:ptCount val="15"/>
                <c:pt idx="0">
                  <c:v>5.7197884221972389E-2</c:v>
                </c:pt>
                <c:pt idx="1">
                  <c:v>6.6536964980544747E-2</c:v>
                </c:pt>
                <c:pt idx="2">
                  <c:v>7.2284590116593869E-2</c:v>
                </c:pt>
                <c:pt idx="3">
                  <c:v>7.8668529677175206E-2</c:v>
                </c:pt>
                <c:pt idx="4">
                  <c:v>7.1450654391810656E-2</c:v>
                </c:pt>
                <c:pt idx="5">
                  <c:v>8.3194483395747074E-2</c:v>
                </c:pt>
                <c:pt idx="6">
                  <c:v>8.6655494449296225E-2</c:v>
                </c:pt>
                <c:pt idx="7">
                  <c:v>8.5909224953754595E-2</c:v>
                </c:pt>
                <c:pt idx="8">
                  <c:v>7.9869344681920251E-2</c:v>
                </c:pt>
                <c:pt idx="9">
                  <c:v>7.9958030405631667E-2</c:v>
                </c:pt>
                <c:pt idx="10">
                  <c:v>7.3740416401668965E-2</c:v>
                </c:pt>
                <c:pt idx="11">
                  <c:v>7.5911532645724603E-2</c:v>
                </c:pt>
                <c:pt idx="12">
                  <c:v>6.7418866397326138E-2</c:v>
                </c:pt>
                <c:pt idx="13">
                  <c:v>7.1038066726585886E-2</c:v>
                </c:pt>
                <c:pt idx="14">
                  <c:v>6.6774926515480532E-2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4-472E-9B59-7214DA175443}"/>
            </c:ext>
          </c:extLst>
        </c:ser>
        <c:ser>
          <c:idx val="2"/>
          <c:order val="1"/>
          <c:tx>
            <c:strRef>
              <c:f>Model!$B$39</c:f>
              <c:strCache>
                <c:ptCount val="1"/>
                <c:pt idx="0">
                  <c:v>G&amp;A / 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Model!$K$39:$Y$39</c:f>
              <c:numCache>
                <c:formatCode>0%</c:formatCode>
                <c:ptCount val="15"/>
                <c:pt idx="0">
                  <c:v>1.8310326397464015E-2</c:v>
                </c:pt>
                <c:pt idx="1">
                  <c:v>1.9083834453484258E-2</c:v>
                </c:pt>
                <c:pt idx="2">
                  <c:v>1.9429303685521423E-2</c:v>
                </c:pt>
                <c:pt idx="3">
                  <c:v>1.8375396617471545E-2</c:v>
                </c:pt>
                <c:pt idx="4">
                  <c:v>2.2276802583215967E-2</c:v>
                </c:pt>
                <c:pt idx="5">
                  <c:v>2.3945427850273027E-2</c:v>
                </c:pt>
                <c:pt idx="6">
                  <c:v>2.4083209416133625E-2</c:v>
                </c:pt>
                <c:pt idx="7">
                  <c:v>2.2338543202595106E-2</c:v>
                </c:pt>
                <c:pt idx="8">
                  <c:v>2.3893277218549287E-2</c:v>
                </c:pt>
                <c:pt idx="9">
                  <c:v>2.3827418646703825E-2</c:v>
                </c:pt>
                <c:pt idx="10">
                  <c:v>1.7898702151897851E-2</c:v>
                </c:pt>
                <c:pt idx="11">
                  <c:v>1.7709945222727567E-2</c:v>
                </c:pt>
                <c:pt idx="12">
                  <c:v>1.9132946766866929E-2</c:v>
                </c:pt>
                <c:pt idx="13">
                  <c:v>2.0550490954675388E-2</c:v>
                </c:pt>
                <c:pt idx="14">
                  <c:v>1.7076102897209792E-2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4-472E-9B59-7214DA1754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Model!$B$38</c:f>
              <c:strCache>
                <c:ptCount val="1"/>
                <c:pt idx="0">
                  <c:v>S&amp;M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Model!$AD$2:$AL$2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Model!$AD$38:$AL$38</c:f>
              <c:numCache>
                <c:formatCode>0%</c:formatCode>
                <c:ptCount val="9"/>
                <c:pt idx="0">
                  <c:v>5.6610032271485276E-2</c:v>
                </c:pt>
                <c:pt idx="1">
                  <c:v>5.9316320790769775E-2</c:v>
                </c:pt>
                <c:pt idx="2">
                  <c:v>6.7295969656568824E-2</c:v>
                </c:pt>
                <c:pt idx="3">
                  <c:v>5.7006092254134028E-2</c:v>
                </c:pt>
                <c:pt idx="4">
                  <c:v>6.9283686161993263E-2</c:v>
                </c:pt>
                <c:pt idx="5">
                  <c:v>8.2177815219569517E-2</c:v>
                </c:pt>
                <c:pt idx="6">
                  <c:v>7.7194081265168718E-2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9-4ED4-AAFC-E3A111A4866C}"/>
            </c:ext>
          </c:extLst>
        </c:ser>
        <c:ser>
          <c:idx val="2"/>
          <c:order val="1"/>
          <c:tx>
            <c:strRef>
              <c:f>Model!$B$39</c:f>
              <c:strCache>
                <c:ptCount val="1"/>
                <c:pt idx="0">
                  <c:v>G&amp;A / 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Model!$AD$2:$AL$2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Model!$AD$39:$AL$39</c:f>
              <c:numCache>
                <c:formatCode>0%</c:formatCode>
                <c:ptCount val="9"/>
                <c:pt idx="0">
                  <c:v>2.0655999460267842E-2</c:v>
                </c:pt>
                <c:pt idx="1">
                  <c:v>1.8618471619283171E-2</c:v>
                </c:pt>
                <c:pt idx="2">
                  <c:v>1.8547564896870834E-2</c:v>
                </c:pt>
                <c:pt idx="3">
                  <c:v>1.7271747689502258E-2</c:v>
                </c:pt>
                <c:pt idx="4">
                  <c:v>1.8779452643767215E-2</c:v>
                </c:pt>
                <c:pt idx="5">
                  <c:v>2.3135006410717866E-2</c:v>
                </c:pt>
                <c:pt idx="6">
                  <c:v>2.0557251841993092E-2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9-4ED4-AAFC-E3A111A486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-22,45%</c:v>
                </c:pt>
                <c:pt idx="1">
                  <c:v>-22,45% to -17,79%</c:v>
                </c:pt>
                <c:pt idx="2">
                  <c:v>-17,79% to -13,14%</c:v>
                </c:pt>
                <c:pt idx="3">
                  <c:v>-13,14% to -8,48%</c:v>
                </c:pt>
                <c:pt idx="4">
                  <c:v>-8,48% to -3,83%</c:v>
                </c:pt>
                <c:pt idx="5">
                  <c:v>-3,83% to 0,83%</c:v>
                </c:pt>
                <c:pt idx="6">
                  <c:v>0,83% to 5,48%</c:v>
                </c:pt>
                <c:pt idx="7">
                  <c:v>5,48% to 10,14%</c:v>
                </c:pt>
                <c:pt idx="8">
                  <c:v>10,14% to 14,79%</c:v>
                </c:pt>
                <c:pt idx="9">
                  <c:v>14,79% to 19,45%</c:v>
                </c:pt>
                <c:pt idx="10">
                  <c:v>19,45% to 24,10%</c:v>
                </c:pt>
                <c:pt idx="11">
                  <c:v>Greater than 24,10%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26</c:v>
                </c:pt>
                <c:pt idx="3">
                  <c:v>50</c:v>
                </c:pt>
                <c:pt idx="4">
                  <c:v>164</c:v>
                </c:pt>
                <c:pt idx="5">
                  <c:v>502</c:v>
                </c:pt>
                <c:pt idx="6">
                  <c:v>406</c:v>
                </c:pt>
                <c:pt idx="7">
                  <c:v>135</c:v>
                </c:pt>
                <c:pt idx="8">
                  <c:v>52</c:v>
                </c:pt>
                <c:pt idx="9">
                  <c:v>24</c:v>
                </c:pt>
                <c:pt idx="10">
                  <c:v>10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F1C-9CD8-41B2BFC0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23812</xdr:rowOff>
    </xdr:from>
    <xdr:to>
      <xdr:col>10</xdr:col>
      <xdr:colOff>590550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FC660-D062-4440-AD90-E3E641D67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19050</xdr:rowOff>
    </xdr:from>
    <xdr:to>
      <xdr:col>20</xdr:col>
      <xdr:colOff>19050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ADC79-2C07-4FA6-8D6C-AB3CA4F2D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133350</xdr:rowOff>
    </xdr:from>
    <xdr:to>
      <xdr:col>10</xdr:col>
      <xdr:colOff>600075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55DFAA-A7C6-4ECB-8503-9D5552B3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114300</xdr:rowOff>
    </xdr:from>
    <xdr:to>
      <xdr:col>20</xdr:col>
      <xdr:colOff>47625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28405-43CE-46BD-B4BA-6E5C074B1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23812</xdr:rowOff>
    </xdr:from>
    <xdr:to>
      <xdr:col>11</xdr:col>
      <xdr:colOff>0</xdr:colOff>
      <xdr:row>46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4EB0F2-9C25-4014-931A-C762CD7B9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</xdr:colOff>
      <xdr:row>47</xdr:row>
      <xdr:rowOff>0</xdr:rowOff>
    </xdr:from>
    <xdr:to>
      <xdr:col>20</xdr:col>
      <xdr:colOff>409575</xdr:colOff>
      <xdr:row>64</xdr:row>
      <xdr:rowOff>52388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7F05A9C-C131-4C37-B1C6-26108CCCB9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50" y="8953500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38100</xdr:rowOff>
    </xdr:from>
    <xdr:to>
      <xdr:col>20</xdr:col>
      <xdr:colOff>390525</xdr:colOff>
      <xdr:row>47</xdr:row>
      <xdr:rowOff>4763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8BD2D5-381A-46E6-A6E0-C2DC22EC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219075</xdr:colOff>
      <xdr:row>47</xdr:row>
      <xdr:rowOff>0</xdr:rowOff>
    </xdr:from>
    <xdr:to>
      <xdr:col>11</xdr:col>
      <xdr:colOff>0</xdr:colOff>
      <xdr:row>64</xdr:row>
      <xdr:rowOff>52388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5C2D032-B233-4E15-A26E-587F110A8D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" y="8953500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39701-D0E5-4B87-B680-A761F7E5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x_template.xlsx" TargetMode="External"/><Relationship Id="rId1" Type="http://schemas.openxmlformats.org/officeDocument/2006/relationships/externalLinkPath" Target="/Users/simon/Documents/models/x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KPIs"/>
      <sheetName val="Catalysts"/>
      <sheetName val="DoR"/>
    </sheetNames>
    <sheetDataSet>
      <sheetData sheetId="0">
        <row r="7">
          <cell r="C7"/>
        </row>
      </sheetData>
      <sheetData sheetId="1">
        <row r="2">
          <cell r="L2" t="str">
            <v>Q121</v>
          </cell>
          <cell r="M2" t="str">
            <v>Q221</v>
          </cell>
          <cell r="N2" t="str">
            <v>Q321</v>
          </cell>
          <cell r="O2" t="str">
            <v>Q421</v>
          </cell>
          <cell r="P2" t="str">
            <v>Q122</v>
          </cell>
          <cell r="Q2" t="str">
            <v>Q222</v>
          </cell>
          <cell r="R2" t="str">
            <v>Q322</v>
          </cell>
          <cell r="S2" t="str">
            <v>Q422</v>
          </cell>
          <cell r="T2" t="str">
            <v>Q123</v>
          </cell>
          <cell r="U2" t="str">
            <v>Q223</v>
          </cell>
          <cell r="V2" t="str">
            <v>Q323</v>
          </cell>
          <cell r="W2" t="str">
            <v>Q423</v>
          </cell>
          <cell r="X2" t="str">
            <v>Q124</v>
          </cell>
        </row>
        <row r="6">
          <cell r="B6" t="str">
            <v>Revenue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B7" t="str">
            <v>Rev. Exp.</v>
          </cell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</row>
        <row r="25">
          <cell r="B25" t="str">
            <v>EPS</v>
          </cell>
          <cell r="L25" t="e">
            <v>#DIV/0!</v>
          </cell>
          <cell r="M25" t="e">
            <v>#DIV/0!</v>
          </cell>
          <cell r="N25" t="e">
            <v>#DIV/0!</v>
          </cell>
          <cell r="O25" t="e">
            <v>#DIV/0!</v>
          </cell>
          <cell r="P25" t="e">
            <v>#DIV/0!</v>
          </cell>
          <cell r="Q25" t="e">
            <v>#DIV/0!</v>
          </cell>
          <cell r="R25" t="e">
            <v>#DIV/0!</v>
          </cell>
          <cell r="S25" t="e">
            <v>#DIV/0!</v>
          </cell>
          <cell r="T25" t="e">
            <v>#DIV/0!</v>
          </cell>
          <cell r="U25" t="e">
            <v>#DIV/0!</v>
          </cell>
          <cell r="V25" t="e">
            <v>#DIV/0!</v>
          </cell>
          <cell r="W25" t="e">
            <v>#DIV/0!</v>
          </cell>
          <cell r="X25" t="e">
            <v>#DIV/0!</v>
          </cell>
        </row>
        <row r="26">
          <cell r="B26" t="str">
            <v>EPS exp.</v>
          </cell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E29" sqref="E2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74" t="s">
        <v>194</v>
      </c>
      <c r="C2" s="75"/>
      <c r="E2" s="76" t="s">
        <v>168</v>
      </c>
      <c r="F2" s="77" t="s">
        <v>169</v>
      </c>
      <c r="G2" s="78"/>
      <c r="H2" s="79" t="s">
        <v>170</v>
      </c>
      <c r="I2" s="79" t="s">
        <v>1</v>
      </c>
      <c r="J2" s="80" t="s">
        <v>169</v>
      </c>
      <c r="L2" s="81" t="s">
        <v>51</v>
      </c>
      <c r="M2" s="82" t="s">
        <v>171</v>
      </c>
      <c r="N2" s="83" t="s">
        <v>172</v>
      </c>
    </row>
    <row r="3" spans="2:14" x14ac:dyDescent="0.25">
      <c r="B3" s="84" t="s">
        <v>173</v>
      </c>
      <c r="C3" s="85">
        <v>45413</v>
      </c>
      <c r="E3" s="84" t="s">
        <v>215</v>
      </c>
      <c r="F3" s="86" t="s">
        <v>216</v>
      </c>
      <c r="H3" t="s">
        <v>235</v>
      </c>
      <c r="I3" s="1">
        <v>937774000</v>
      </c>
      <c r="J3" s="87"/>
      <c r="L3" s="84" t="s">
        <v>195</v>
      </c>
      <c r="M3" t="s">
        <v>196</v>
      </c>
      <c r="N3" s="88"/>
    </row>
    <row r="4" spans="2:14" x14ac:dyDescent="0.25">
      <c r="B4" s="84"/>
      <c r="C4" s="89">
        <v>0.62152777777777779</v>
      </c>
      <c r="E4" s="84" t="s">
        <v>217</v>
      </c>
      <c r="F4" s="86" t="s">
        <v>218</v>
      </c>
      <c r="H4" t="s">
        <v>236</v>
      </c>
      <c r="I4" s="1">
        <v>519428</v>
      </c>
      <c r="J4" s="87"/>
      <c r="L4" s="84" t="s">
        <v>197</v>
      </c>
      <c r="M4" t="s">
        <v>198</v>
      </c>
      <c r="N4" s="90"/>
    </row>
    <row r="5" spans="2:14" x14ac:dyDescent="0.25">
      <c r="B5" s="84"/>
      <c r="C5" s="90"/>
      <c r="E5" s="84" t="s">
        <v>219</v>
      </c>
      <c r="F5" s="86" t="s">
        <v>220</v>
      </c>
      <c r="H5" t="s">
        <v>237</v>
      </c>
      <c r="I5" s="1">
        <v>2069570</v>
      </c>
      <c r="J5" s="87"/>
      <c r="L5" s="84" t="s">
        <v>199</v>
      </c>
      <c r="M5" t="s">
        <v>200</v>
      </c>
      <c r="N5" s="90"/>
    </row>
    <row r="6" spans="2:14" x14ac:dyDescent="0.25">
      <c r="B6" s="84" t="s">
        <v>0</v>
      </c>
      <c r="C6" s="90">
        <v>173.84</v>
      </c>
      <c r="E6" s="84" t="s">
        <v>221</v>
      </c>
      <c r="F6" s="86" t="s">
        <v>222</v>
      </c>
      <c r="H6" t="s">
        <v>238</v>
      </c>
      <c r="I6" s="1">
        <v>39120</v>
      </c>
      <c r="J6" s="87"/>
      <c r="L6" s="84" t="s">
        <v>201</v>
      </c>
      <c r="M6" t="s">
        <v>202</v>
      </c>
      <c r="N6" s="90"/>
    </row>
    <row r="7" spans="2:14" x14ac:dyDescent="0.25">
      <c r="B7" s="84" t="s">
        <v>1</v>
      </c>
      <c r="C7" s="91">
        <f>Model!X28</f>
        <v>10477</v>
      </c>
      <c r="E7" s="84" t="s">
        <v>223</v>
      </c>
      <c r="F7" s="86" t="s">
        <v>224</v>
      </c>
      <c r="H7" t="s">
        <v>239</v>
      </c>
      <c r="I7" s="1">
        <v>50527</v>
      </c>
      <c r="J7" s="87"/>
      <c r="L7" s="84" t="s">
        <v>203</v>
      </c>
      <c r="M7" t="s">
        <v>204</v>
      </c>
      <c r="N7" s="90"/>
    </row>
    <row r="8" spans="2:14" x14ac:dyDescent="0.25">
      <c r="B8" s="84" t="s">
        <v>2</v>
      </c>
      <c r="C8" s="91">
        <f>C6*C7</f>
        <v>1821321.68</v>
      </c>
      <c r="E8" s="84" t="s">
        <v>225</v>
      </c>
      <c r="F8" s="86" t="s">
        <v>226</v>
      </c>
      <c r="H8" t="s">
        <v>240</v>
      </c>
      <c r="I8" s="1">
        <v>122436</v>
      </c>
      <c r="J8" s="87"/>
      <c r="L8" s="84" t="s">
        <v>205</v>
      </c>
      <c r="M8" t="s">
        <v>206</v>
      </c>
      <c r="N8" s="90"/>
    </row>
    <row r="9" spans="2:14" x14ac:dyDescent="0.25">
      <c r="B9" s="84" t="s">
        <v>174</v>
      </c>
      <c r="C9" s="91">
        <f>Model!X53+Model!X54</f>
        <v>89092</v>
      </c>
      <c r="E9" s="84" t="s">
        <v>227</v>
      </c>
      <c r="F9" s="86" t="s">
        <v>228</v>
      </c>
      <c r="H9" t="s">
        <v>241</v>
      </c>
      <c r="I9" s="1">
        <v>109664</v>
      </c>
      <c r="J9" s="87"/>
      <c r="L9" s="84" t="s">
        <v>207</v>
      </c>
      <c r="M9" t="s">
        <v>208</v>
      </c>
      <c r="N9" s="90"/>
    </row>
    <row r="10" spans="2:14" x14ac:dyDescent="0.25">
      <c r="B10" s="84" t="s">
        <v>175</v>
      </c>
      <c r="C10" s="91">
        <f>Model!X68</f>
        <v>54889</v>
      </c>
      <c r="E10" s="84" t="s">
        <v>229</v>
      </c>
      <c r="F10" s="86" t="s">
        <v>230</v>
      </c>
      <c r="H10" t="s">
        <v>242</v>
      </c>
      <c r="I10" s="1">
        <v>130583</v>
      </c>
      <c r="J10" s="87"/>
      <c r="L10" s="84" t="s">
        <v>209</v>
      </c>
      <c r="M10" t="s">
        <v>210</v>
      </c>
      <c r="N10" s="90"/>
    </row>
    <row r="11" spans="2:14" x14ac:dyDescent="0.25">
      <c r="B11" s="84" t="s">
        <v>176</v>
      </c>
      <c r="C11" s="91">
        <f>C9-C10</f>
        <v>34203</v>
      </c>
      <c r="E11" s="84" t="s">
        <v>231</v>
      </c>
      <c r="F11" s="86" t="s">
        <v>232</v>
      </c>
      <c r="H11" t="s">
        <v>243</v>
      </c>
      <c r="I11" s="1">
        <v>42500</v>
      </c>
      <c r="J11" s="87"/>
      <c r="L11" s="84" t="s">
        <v>211</v>
      </c>
      <c r="M11" t="s">
        <v>212</v>
      </c>
      <c r="N11" s="90"/>
    </row>
    <row r="12" spans="2:14" x14ac:dyDescent="0.25">
      <c r="B12" s="84" t="s">
        <v>5</v>
      </c>
      <c r="C12" s="91">
        <f>C8-C9+C10</f>
        <v>1787118.68</v>
      </c>
      <c r="E12" s="84" t="s">
        <v>233</v>
      </c>
      <c r="F12" s="86" t="s">
        <v>234</v>
      </c>
      <c r="H12" t="s">
        <v>244</v>
      </c>
      <c r="I12">
        <v>59100</v>
      </c>
      <c r="J12" s="90"/>
      <c r="L12" s="84" t="s">
        <v>213</v>
      </c>
      <c r="M12" t="s">
        <v>214</v>
      </c>
      <c r="N12" s="90"/>
    </row>
    <row r="13" spans="2:14" x14ac:dyDescent="0.25">
      <c r="B13" s="84" t="s">
        <v>120</v>
      </c>
      <c r="C13" s="92">
        <f>C6/Model!AJ29</f>
        <v>58.850982685547194</v>
      </c>
      <c r="E13" s="84"/>
      <c r="J13" s="90"/>
      <c r="L13" s="84"/>
      <c r="N13" s="90"/>
    </row>
    <row r="14" spans="2:14" x14ac:dyDescent="0.25">
      <c r="B14" s="84" t="s">
        <v>121</v>
      </c>
      <c r="C14" s="92">
        <f>C6/Model!AK29</f>
        <v>33.821011673151752</v>
      </c>
      <c r="E14" s="93"/>
      <c r="F14" s="94"/>
      <c r="G14" s="94"/>
      <c r="H14" s="94"/>
      <c r="I14" s="94"/>
      <c r="J14" s="95"/>
      <c r="L14" s="93"/>
      <c r="M14" s="94"/>
      <c r="N14" s="95"/>
    </row>
    <row r="15" spans="2:14" x14ac:dyDescent="0.25">
      <c r="B15" s="84" t="s">
        <v>122</v>
      </c>
      <c r="C15" s="92">
        <f>C6/Model!AL29</f>
        <v>28.312703583061893</v>
      </c>
    </row>
    <row r="16" spans="2:14" x14ac:dyDescent="0.25">
      <c r="B16" s="84" t="s">
        <v>123</v>
      </c>
      <c r="C16" s="96">
        <f>Model!AK29/Model!AJ29-1</f>
        <v>0.74007162335315546</v>
      </c>
    </row>
    <row r="17" spans="2:14" x14ac:dyDescent="0.25">
      <c r="B17" s="84" t="s">
        <v>124</v>
      </c>
      <c r="C17" s="96">
        <f>Model!AL29/Model!AK29-1</f>
        <v>0.19455252918287935</v>
      </c>
      <c r="E17" s="97" t="s">
        <v>177</v>
      </c>
      <c r="L17" s="111"/>
      <c r="M17" s="112"/>
      <c r="N17" s="113"/>
    </row>
    <row r="18" spans="2:14" x14ac:dyDescent="0.25">
      <c r="B18" s="84" t="s">
        <v>125</v>
      </c>
      <c r="C18" s="98">
        <f>C14/(C16*100)</f>
        <v>0.45699646636785957</v>
      </c>
      <c r="L18" s="114"/>
      <c r="M18" s="115"/>
      <c r="N18" s="116"/>
    </row>
    <row r="19" spans="2:14" x14ac:dyDescent="0.25">
      <c r="B19" s="84" t="s">
        <v>126</v>
      </c>
      <c r="C19" s="98">
        <f>C15/(C17*100)</f>
        <v>1.4552729641693813</v>
      </c>
      <c r="L19" s="114"/>
      <c r="M19" s="115"/>
      <c r="N19" s="116"/>
    </row>
    <row r="20" spans="2:14" x14ac:dyDescent="0.25">
      <c r="B20" s="84" t="s">
        <v>178</v>
      </c>
      <c r="C20" s="96">
        <f>Model!AK11/Model!AJ10-1</f>
        <v>0.10921474986299229</v>
      </c>
      <c r="L20" s="114"/>
      <c r="M20" s="115"/>
      <c r="N20" s="116"/>
    </row>
    <row r="21" spans="2:14" x14ac:dyDescent="0.25">
      <c r="B21" s="84" t="s">
        <v>179</v>
      </c>
      <c r="C21" s="96">
        <f>Model!AL11/Model!AK11-1</f>
        <v>0.10766045548654235</v>
      </c>
      <c r="L21" s="114"/>
      <c r="M21" s="115"/>
      <c r="N21" s="116"/>
    </row>
    <row r="22" spans="2:14" x14ac:dyDescent="0.25">
      <c r="B22" s="84" t="s">
        <v>180</v>
      </c>
      <c r="C22" s="91">
        <f>Model!AJ18</f>
        <v>36852</v>
      </c>
      <c r="L22" s="114"/>
      <c r="M22" s="115"/>
      <c r="N22" s="116"/>
    </row>
    <row r="23" spans="2:14" x14ac:dyDescent="0.25">
      <c r="B23" s="84" t="s">
        <v>45</v>
      </c>
      <c r="C23" s="91">
        <f>Model!AJ22</f>
        <v>37557</v>
      </c>
      <c r="L23" s="114"/>
      <c r="M23" s="115"/>
      <c r="N23" s="116"/>
    </row>
    <row r="24" spans="2:14" x14ac:dyDescent="0.25">
      <c r="B24" s="84" t="s">
        <v>181</v>
      </c>
      <c r="C24" s="99">
        <f>Model!AJ33</f>
        <v>0.1182957412988368</v>
      </c>
      <c r="L24" s="114"/>
      <c r="M24" s="115"/>
      <c r="N24" s="116"/>
    </row>
    <row r="25" spans="2:14" x14ac:dyDescent="0.25">
      <c r="B25" s="84" t="s">
        <v>60</v>
      </c>
      <c r="C25" s="99">
        <f>Model!AJ35</f>
        <v>5.2953713127517246E-2</v>
      </c>
      <c r="L25" s="114"/>
      <c r="M25" s="115"/>
      <c r="N25" s="116"/>
    </row>
    <row r="26" spans="2:14" x14ac:dyDescent="0.25">
      <c r="B26" s="84" t="s">
        <v>182</v>
      </c>
      <c r="C26" s="92">
        <f>C12/C23</f>
        <v>47.58417019463748</v>
      </c>
      <c r="L26" s="114"/>
      <c r="M26" s="115"/>
      <c r="N26" s="116"/>
    </row>
    <row r="27" spans="2:14" x14ac:dyDescent="0.25">
      <c r="B27" s="84" t="s">
        <v>183</v>
      </c>
      <c r="C27" s="100">
        <f>Model!X68/Model!X71</f>
        <v>0.23214081802687284</v>
      </c>
      <c r="E27" t="s">
        <v>184</v>
      </c>
      <c r="L27" s="114"/>
      <c r="M27" s="115"/>
      <c r="N27" s="116"/>
    </row>
    <row r="28" spans="2:14" x14ac:dyDescent="0.25">
      <c r="B28" s="84" t="s">
        <v>185</v>
      </c>
      <c r="C28" s="92"/>
      <c r="L28" s="117"/>
      <c r="M28" s="118"/>
      <c r="N28" s="119"/>
    </row>
    <row r="29" spans="2:14" x14ac:dyDescent="0.25">
      <c r="B29" s="84" t="s">
        <v>186</v>
      </c>
      <c r="C29" s="92"/>
    </row>
    <row r="30" spans="2:14" x14ac:dyDescent="0.25">
      <c r="B30" s="84" t="s">
        <v>187</v>
      </c>
      <c r="C30" s="92"/>
    </row>
    <row r="31" spans="2:14" x14ac:dyDescent="0.25">
      <c r="B31" s="84" t="s">
        <v>188</v>
      </c>
      <c r="C31" s="96"/>
    </row>
    <row r="32" spans="2:14" x14ac:dyDescent="0.25">
      <c r="B32" s="84" t="s">
        <v>189</v>
      </c>
      <c r="C32" s="92"/>
    </row>
    <row r="33" spans="2:3" x14ac:dyDescent="0.25">
      <c r="B33" s="84" t="s">
        <v>190</v>
      </c>
      <c r="C33" s="92"/>
    </row>
    <row r="34" spans="2:3" x14ac:dyDescent="0.25">
      <c r="B34" s="84" t="s">
        <v>191</v>
      </c>
      <c r="C34" s="87"/>
    </row>
    <row r="35" spans="2:3" x14ac:dyDescent="0.25">
      <c r="B35" s="84" t="s">
        <v>192</v>
      </c>
      <c r="C35" s="87"/>
    </row>
    <row r="36" spans="2:3" x14ac:dyDescent="0.25">
      <c r="B36" s="93" t="s">
        <v>193</v>
      </c>
      <c r="C36" s="9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FE1B-0872-4079-929A-2D64CB797B54}">
  <dimension ref="A1:AL99"/>
  <sheetViews>
    <sheetView tabSelected="1" zoomScaleNormal="100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L18" sqref="AL18"/>
    </sheetView>
  </sheetViews>
  <sheetFormatPr defaultColWidth="11.42578125" defaultRowHeight="15" x14ac:dyDescent="0.25"/>
  <cols>
    <col min="1" max="1" width="5.42578125" customWidth="1"/>
    <col min="2" max="2" width="18.5703125" customWidth="1"/>
    <col min="24" max="24" width="11.42578125" style="130"/>
    <col min="25" max="25" width="11.42578125" style="90"/>
    <col min="36" max="36" width="11.42578125" style="90"/>
  </cols>
  <sheetData>
    <row r="1" spans="1:38" x14ac:dyDescent="0.25">
      <c r="A1" s="2" t="s">
        <v>6</v>
      </c>
    </row>
    <row r="2" spans="1:38" x14ac:dyDescent="0.25">
      <c r="C2" s="4" t="s">
        <v>30</v>
      </c>
      <c r="D2" s="4" t="s">
        <v>31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114</v>
      </c>
      <c r="V2" s="4" t="s">
        <v>115</v>
      </c>
      <c r="W2" s="4" t="s">
        <v>116</v>
      </c>
      <c r="X2" s="131" t="s">
        <v>117</v>
      </c>
      <c r="Y2" s="102" t="s">
        <v>247</v>
      </c>
      <c r="Z2" s="4" t="s">
        <v>248</v>
      </c>
      <c r="AA2" s="4"/>
      <c r="AB2" s="4"/>
      <c r="AC2" s="4"/>
      <c r="AD2" s="4" t="s">
        <v>64</v>
      </c>
      <c r="AE2" s="4" t="s">
        <v>23</v>
      </c>
      <c r="AF2" s="4" t="s">
        <v>22</v>
      </c>
      <c r="AG2" s="4" t="s">
        <v>21</v>
      </c>
      <c r="AH2" s="4" t="s">
        <v>17</v>
      </c>
      <c r="AI2" s="4" t="s">
        <v>18</v>
      </c>
      <c r="AJ2" s="102" t="s">
        <v>19</v>
      </c>
      <c r="AK2" s="4" t="s">
        <v>20</v>
      </c>
      <c r="AL2" s="4" t="s">
        <v>245</v>
      </c>
    </row>
    <row r="3" spans="1:38" x14ac:dyDescent="0.25">
      <c r="B3" t="s">
        <v>78</v>
      </c>
    </row>
    <row r="4" spans="1:38" x14ac:dyDescent="0.25">
      <c r="B4" t="s">
        <v>59</v>
      </c>
      <c r="C4" s="1">
        <v>35812</v>
      </c>
      <c r="D4" s="1">
        <v>38653</v>
      </c>
      <c r="E4" s="1">
        <v>42638</v>
      </c>
      <c r="F4" s="1">
        <f>AF4-E4-D4-C4</f>
        <v>53630</v>
      </c>
      <c r="G4" s="1">
        <v>46127</v>
      </c>
      <c r="H4" s="1">
        <v>55436</v>
      </c>
      <c r="I4" s="1">
        <v>59373</v>
      </c>
      <c r="J4" s="1">
        <f>AG4-I4-H4-G4</f>
        <v>75346</v>
      </c>
      <c r="K4" s="1">
        <v>64336</v>
      </c>
      <c r="L4" s="1">
        <v>67550</v>
      </c>
      <c r="M4" s="1">
        <v>65557</v>
      </c>
      <c r="N4" s="1">
        <f>AH4-M4-L4-K4</f>
        <v>82390</v>
      </c>
      <c r="O4" s="1">
        <v>69244</v>
      </c>
      <c r="P4" s="1">
        <v>74430</v>
      </c>
      <c r="Q4" s="1">
        <v>78843</v>
      </c>
      <c r="R4" s="1">
        <f>AI4-SUM(O4:Q4)</f>
        <v>93363</v>
      </c>
      <c r="S4" s="1">
        <v>76881</v>
      </c>
      <c r="T4" s="1">
        <v>82546</v>
      </c>
      <c r="U4" s="1">
        <v>87887</v>
      </c>
      <c r="V4" s="1">
        <f>AJ4-U4-T4-S4</f>
        <v>105514</v>
      </c>
      <c r="W4" s="1">
        <v>86341</v>
      </c>
      <c r="X4" s="132">
        <v>90033</v>
      </c>
      <c r="Y4" s="91">
        <v>95537</v>
      </c>
      <c r="AD4" s="1">
        <v>106110</v>
      </c>
      <c r="AE4" s="1">
        <v>141366</v>
      </c>
      <c r="AF4" s="1">
        <v>170733</v>
      </c>
      <c r="AG4" s="1">
        <v>236282</v>
      </c>
      <c r="AH4" s="1">
        <v>279833</v>
      </c>
      <c r="AI4" s="1">
        <v>315880</v>
      </c>
      <c r="AJ4" s="91">
        <v>352828</v>
      </c>
    </row>
    <row r="5" spans="1:38" x14ac:dyDescent="0.25">
      <c r="B5" t="s">
        <v>54</v>
      </c>
      <c r="C5" s="1">
        <v>16192</v>
      </c>
      <c r="D5" s="1">
        <v>16370</v>
      </c>
      <c r="E5" s="1">
        <v>18348</v>
      </c>
      <c r="F5" s="1">
        <f>AF5-E5-D5-C5</f>
        <v>23813</v>
      </c>
      <c r="G5" s="1">
        <v>19106</v>
      </c>
      <c r="H5" s="1">
        <v>22668</v>
      </c>
      <c r="I5" s="1">
        <v>25171</v>
      </c>
      <c r="J5" s="1">
        <f>AG5-I5-H5-G5</f>
        <v>37467</v>
      </c>
      <c r="K5" s="1">
        <v>30649</v>
      </c>
      <c r="L5" s="1">
        <v>30721</v>
      </c>
      <c r="M5" s="1">
        <v>29145</v>
      </c>
      <c r="N5" s="1">
        <f t="shared" ref="N5:N6" si="0">AH5-M5-L5-K5</f>
        <v>37272</v>
      </c>
      <c r="O5" s="1">
        <v>28759</v>
      </c>
      <c r="P5" s="1">
        <v>27065</v>
      </c>
      <c r="Q5" s="1">
        <v>27720</v>
      </c>
      <c r="R5" s="1">
        <f>AI5-SUM(O5:Q5)</f>
        <v>34463</v>
      </c>
      <c r="S5" s="1">
        <v>29123</v>
      </c>
      <c r="T5" s="1">
        <v>29697</v>
      </c>
      <c r="U5" s="1">
        <v>32137</v>
      </c>
      <c r="V5" s="1">
        <f>AJ5-U5-T5-S5</f>
        <v>40243</v>
      </c>
      <c r="W5" s="1">
        <v>31935</v>
      </c>
      <c r="X5" s="132">
        <v>31663</v>
      </c>
      <c r="Y5" s="91">
        <v>35888</v>
      </c>
      <c r="AD5" s="1">
        <v>54297</v>
      </c>
      <c r="AE5" s="1">
        <v>65866</v>
      </c>
      <c r="AF5" s="1">
        <v>74723</v>
      </c>
      <c r="AG5" s="1">
        <v>104412</v>
      </c>
      <c r="AH5" s="1">
        <v>127787</v>
      </c>
      <c r="AI5" s="1">
        <v>118007</v>
      </c>
      <c r="AJ5" s="91">
        <v>131200</v>
      </c>
    </row>
    <row r="6" spans="1:38" x14ac:dyDescent="0.25">
      <c r="B6" t="s">
        <v>55</v>
      </c>
      <c r="C6" s="1">
        <v>7696</v>
      </c>
      <c r="D6" s="1">
        <v>8381</v>
      </c>
      <c r="E6" s="1">
        <v>8995</v>
      </c>
      <c r="F6" s="1">
        <f>AF6-E6-D6-C6</f>
        <v>9954</v>
      </c>
      <c r="G6" s="1">
        <v>10219</v>
      </c>
      <c r="H6" s="1">
        <v>10808</v>
      </c>
      <c r="I6" s="1">
        <v>11601</v>
      </c>
      <c r="J6" s="1">
        <f>AG6-I6-H6-G6</f>
        <v>12742</v>
      </c>
      <c r="K6" s="1">
        <v>13503</v>
      </c>
      <c r="L6" s="1">
        <v>14809</v>
      </c>
      <c r="M6" s="1">
        <v>16110</v>
      </c>
      <c r="N6" s="1">
        <f t="shared" si="0"/>
        <v>17780</v>
      </c>
      <c r="O6" s="1">
        <v>18441</v>
      </c>
      <c r="P6" s="1">
        <v>19739</v>
      </c>
      <c r="Q6" s="1">
        <v>20538</v>
      </c>
      <c r="R6" s="1">
        <f>AI6-SUM(O6:Q6)</f>
        <v>21378</v>
      </c>
      <c r="S6" s="1">
        <v>21354</v>
      </c>
      <c r="T6" s="1">
        <v>22140</v>
      </c>
      <c r="U6" s="1">
        <v>23059</v>
      </c>
      <c r="V6" s="1">
        <f>AJ6-U6-T6-S6</f>
        <v>24204</v>
      </c>
      <c r="W6" s="1">
        <v>25037</v>
      </c>
      <c r="X6" s="132">
        <v>26281</v>
      </c>
      <c r="Y6" s="91">
        <v>27452</v>
      </c>
      <c r="AD6" s="1">
        <v>17459</v>
      </c>
      <c r="AE6" s="1">
        <v>25655</v>
      </c>
      <c r="AF6" s="1">
        <v>35026</v>
      </c>
      <c r="AG6" s="1">
        <v>45370</v>
      </c>
      <c r="AH6" s="1">
        <v>62202</v>
      </c>
      <c r="AI6" s="1">
        <v>80096</v>
      </c>
      <c r="AJ6" s="91">
        <v>90757</v>
      </c>
    </row>
    <row r="7" spans="1:38" x14ac:dyDescent="0.25">
      <c r="B7" s="2"/>
    </row>
    <row r="8" spans="1:38" x14ac:dyDescent="0.25">
      <c r="B8" t="s">
        <v>32</v>
      </c>
      <c r="C8" s="1">
        <v>34283</v>
      </c>
      <c r="D8" s="1">
        <v>35856</v>
      </c>
      <c r="E8" s="1">
        <v>39726</v>
      </c>
      <c r="F8" s="1">
        <f>AF8-E8-D8-C8</f>
        <v>50543</v>
      </c>
      <c r="G8" s="1">
        <v>41841</v>
      </c>
      <c r="H8" s="1">
        <v>50244</v>
      </c>
      <c r="I8" s="1">
        <v>52774</v>
      </c>
      <c r="J8" s="1">
        <f>AG8-I8-H8-G8</f>
        <v>71056</v>
      </c>
      <c r="K8" s="1">
        <v>57491</v>
      </c>
      <c r="L8" s="1">
        <v>58004</v>
      </c>
      <c r="M8" s="1">
        <v>54876</v>
      </c>
      <c r="N8" s="1">
        <f>AH8-M8-L8-K8</f>
        <v>71416</v>
      </c>
      <c r="O8" s="1">
        <v>56455</v>
      </c>
      <c r="P8" s="1">
        <v>56575</v>
      </c>
      <c r="Q8" s="1">
        <v>59340</v>
      </c>
      <c r="R8" s="1">
        <f>AI8-Q8-P8-O8</f>
        <v>70531</v>
      </c>
      <c r="S8" s="1">
        <v>56981</v>
      </c>
      <c r="T8" s="1">
        <v>59032</v>
      </c>
      <c r="U8" s="1">
        <v>63171</v>
      </c>
      <c r="V8" s="1">
        <f>AJ8-U8-T8-S8</f>
        <v>76703</v>
      </c>
      <c r="W8" s="1">
        <v>60915</v>
      </c>
      <c r="X8" s="132">
        <v>61569</v>
      </c>
      <c r="Y8" s="91">
        <v>67601</v>
      </c>
      <c r="AD8" s="1">
        <v>118573</v>
      </c>
      <c r="AE8" s="1">
        <v>141915</v>
      </c>
      <c r="AF8" s="1">
        <v>160408</v>
      </c>
      <c r="AG8" s="1">
        <v>215915</v>
      </c>
      <c r="AH8" s="1">
        <v>241787</v>
      </c>
      <c r="AI8" s="1">
        <v>242901</v>
      </c>
      <c r="AJ8" s="91">
        <v>255887</v>
      </c>
    </row>
    <row r="9" spans="1:38" x14ac:dyDescent="0.25">
      <c r="B9" t="s">
        <v>33</v>
      </c>
      <c r="C9" s="1">
        <v>25417</v>
      </c>
      <c r="D9" s="1">
        <v>27548</v>
      </c>
      <c r="E9" s="1">
        <v>30255</v>
      </c>
      <c r="F9" s="1">
        <f>AF9-E9-D9-C9</f>
        <v>36894</v>
      </c>
      <c r="G9" s="1">
        <v>33611</v>
      </c>
      <c r="H9" s="1">
        <v>38668</v>
      </c>
      <c r="I9" s="1">
        <v>43371</v>
      </c>
      <c r="J9" s="1">
        <f>AG9-I9-H9-G9</f>
        <v>54499</v>
      </c>
      <c r="K9" s="1">
        <v>51027</v>
      </c>
      <c r="L9" s="1">
        <v>55076</v>
      </c>
      <c r="M9" s="1">
        <v>55936</v>
      </c>
      <c r="N9" s="1">
        <f>AH9-M9-L9-K9</f>
        <v>65996</v>
      </c>
      <c r="O9" s="1">
        <v>59989</v>
      </c>
      <c r="P9" s="1">
        <v>64659</v>
      </c>
      <c r="Q9" s="1">
        <v>67761</v>
      </c>
      <c r="R9" s="1">
        <f>AI9-Q9-P9-O9</f>
        <v>78673</v>
      </c>
      <c r="S9" s="1">
        <v>70377</v>
      </c>
      <c r="T9" s="1">
        <v>75351</v>
      </c>
      <c r="U9" s="1">
        <v>79912</v>
      </c>
      <c r="V9" s="1">
        <f>AJ9-U9-T9-S9</f>
        <v>93258</v>
      </c>
      <c r="W9" s="1">
        <v>82398</v>
      </c>
      <c r="X9" s="132">
        <v>86408</v>
      </c>
      <c r="Y9" s="91">
        <v>91276</v>
      </c>
      <c r="AD9" s="1">
        <v>59293</v>
      </c>
      <c r="AE9" s="1">
        <v>90972</v>
      </c>
      <c r="AF9" s="1">
        <v>120114</v>
      </c>
      <c r="AG9" s="1">
        <v>170149</v>
      </c>
      <c r="AH9" s="1">
        <v>228035</v>
      </c>
      <c r="AI9" s="1">
        <v>271082</v>
      </c>
      <c r="AJ9" s="91">
        <v>318898</v>
      </c>
    </row>
    <row r="10" spans="1:38" x14ac:dyDescent="0.25">
      <c r="B10" s="4" t="s">
        <v>34</v>
      </c>
      <c r="C10" s="5">
        <f>C8+C9</f>
        <v>59700</v>
      </c>
      <c r="D10" s="5">
        <f>D8+D9</f>
        <v>63404</v>
      </c>
      <c r="E10" s="5">
        <f>E8+E9</f>
        <v>69981</v>
      </c>
      <c r="F10" s="5">
        <f>F8+F9</f>
        <v>87437</v>
      </c>
      <c r="G10" s="5">
        <f t="shared" ref="G10:S10" si="1">G8+G9</f>
        <v>75452</v>
      </c>
      <c r="H10" s="5">
        <f t="shared" si="1"/>
        <v>88912</v>
      </c>
      <c r="I10" s="5">
        <f t="shared" si="1"/>
        <v>96145</v>
      </c>
      <c r="J10" s="5">
        <f t="shared" si="1"/>
        <v>125555</v>
      </c>
      <c r="K10" s="5">
        <f t="shared" si="1"/>
        <v>108518</v>
      </c>
      <c r="L10" s="5">
        <f t="shared" si="1"/>
        <v>113080</v>
      </c>
      <c r="M10" s="5">
        <f t="shared" si="1"/>
        <v>110812</v>
      </c>
      <c r="N10" s="5">
        <f t="shared" si="1"/>
        <v>137412</v>
      </c>
      <c r="O10" s="5">
        <f t="shared" si="1"/>
        <v>116444</v>
      </c>
      <c r="P10" s="5">
        <f t="shared" si="1"/>
        <v>121234</v>
      </c>
      <c r="Q10" s="5">
        <f t="shared" si="1"/>
        <v>127101</v>
      </c>
      <c r="R10" s="5">
        <f t="shared" si="1"/>
        <v>149204</v>
      </c>
      <c r="S10" s="5">
        <f t="shared" si="1"/>
        <v>127358</v>
      </c>
      <c r="T10" s="5">
        <f>T8+T9</f>
        <v>134383</v>
      </c>
      <c r="U10" s="5">
        <f t="shared" ref="U10:V10" si="2">U8+U9</f>
        <v>143083</v>
      </c>
      <c r="V10" s="5">
        <f t="shared" si="2"/>
        <v>169961</v>
      </c>
      <c r="W10" s="5">
        <f t="shared" ref="W10:Y10" si="3">W8+W9</f>
        <v>143313</v>
      </c>
      <c r="X10" s="133">
        <f t="shared" si="3"/>
        <v>147977</v>
      </c>
      <c r="Y10" s="103">
        <f t="shared" si="3"/>
        <v>158877</v>
      </c>
      <c r="Z10" s="10">
        <v>187200</v>
      </c>
      <c r="AA10" s="10">
        <v>158560</v>
      </c>
      <c r="AD10" s="5">
        <f t="shared" ref="AD10:AI10" si="4">AD8+AD9</f>
        <v>177866</v>
      </c>
      <c r="AE10" s="5">
        <f t="shared" si="4"/>
        <v>232887</v>
      </c>
      <c r="AF10" s="5">
        <f t="shared" si="4"/>
        <v>280522</v>
      </c>
      <c r="AG10" s="5">
        <f t="shared" si="4"/>
        <v>386064</v>
      </c>
      <c r="AH10" s="5">
        <f t="shared" si="4"/>
        <v>469822</v>
      </c>
      <c r="AI10" s="5">
        <f t="shared" si="4"/>
        <v>513983</v>
      </c>
      <c r="AJ10" s="103">
        <f t="shared" ref="AJ10" si="5">AJ8+AJ9</f>
        <v>574785</v>
      </c>
      <c r="AK10" s="10">
        <v>637560</v>
      </c>
      <c r="AL10" s="10">
        <v>706200</v>
      </c>
    </row>
    <row r="11" spans="1:38" s="11" customFormat="1" x14ac:dyDescent="0.25">
      <c r="B11" s="11" t="s">
        <v>246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34">
        <v>139870</v>
      </c>
      <c r="Y11" s="139">
        <v>157150</v>
      </c>
      <c r="Z11" s="10">
        <v>187200</v>
      </c>
      <c r="AA11" s="10"/>
      <c r="AD11" s="10"/>
      <c r="AE11" s="10"/>
      <c r="AF11" s="10"/>
      <c r="AG11" s="10"/>
      <c r="AH11" s="10"/>
      <c r="AI11" s="10"/>
      <c r="AJ11" s="104"/>
      <c r="AK11" s="10">
        <v>637560</v>
      </c>
      <c r="AL11" s="10">
        <v>706200</v>
      </c>
    </row>
    <row r="12" spans="1:38" x14ac:dyDescent="0.25">
      <c r="B12" t="s">
        <v>118</v>
      </c>
      <c r="C12" s="1">
        <v>33920</v>
      </c>
      <c r="D12" s="1">
        <v>36337</v>
      </c>
      <c r="E12" s="1">
        <v>41302</v>
      </c>
      <c r="F12" s="1">
        <f t="shared" ref="F12:F17" si="6">AF12-E12-D12-C12</f>
        <v>53977</v>
      </c>
      <c r="G12" s="1">
        <v>44257</v>
      </c>
      <c r="H12" s="1">
        <v>52660</v>
      </c>
      <c r="I12" s="1">
        <v>57106</v>
      </c>
      <c r="J12" s="1">
        <f t="shared" ref="J12:J17" si="7">AG12-I12-H12-G12</f>
        <v>79284</v>
      </c>
      <c r="K12" s="1">
        <v>62403</v>
      </c>
      <c r="L12" s="1">
        <v>64176</v>
      </c>
      <c r="M12" s="1">
        <v>62930</v>
      </c>
      <c r="N12" s="1">
        <f t="shared" ref="N12:N17" si="8">AH12-M12-L12-K12</f>
        <v>82835</v>
      </c>
      <c r="O12" s="1">
        <v>66499</v>
      </c>
      <c r="P12" s="1">
        <v>66424</v>
      </c>
      <c r="Q12" s="1">
        <v>70268</v>
      </c>
      <c r="R12" s="1">
        <f>AI12-SUM(O12:Q12)</f>
        <v>85640</v>
      </c>
      <c r="S12" s="1">
        <v>67791</v>
      </c>
      <c r="T12" s="1">
        <v>69373</v>
      </c>
      <c r="U12" s="1">
        <v>75022</v>
      </c>
      <c r="V12" s="1">
        <f t="shared" ref="V12:V17" si="9">AJ12-U12-T12-S12</f>
        <v>92553</v>
      </c>
      <c r="W12" s="1">
        <v>72633</v>
      </c>
      <c r="X12" s="132">
        <v>73785</v>
      </c>
      <c r="Y12" s="91">
        <v>80977</v>
      </c>
      <c r="AD12" s="1">
        <v>111934</v>
      </c>
      <c r="AE12" s="1">
        <v>139156</v>
      </c>
      <c r="AF12" s="1">
        <v>165536</v>
      </c>
      <c r="AG12" s="1">
        <v>233307</v>
      </c>
      <c r="AH12" s="1">
        <v>272344</v>
      </c>
      <c r="AI12" s="1">
        <v>288831</v>
      </c>
      <c r="AJ12" s="91">
        <v>304739</v>
      </c>
    </row>
    <row r="13" spans="1:38" x14ac:dyDescent="0.25">
      <c r="B13" t="s">
        <v>35</v>
      </c>
      <c r="C13" s="1">
        <v>8601</v>
      </c>
      <c r="D13" s="1">
        <v>9271</v>
      </c>
      <c r="E13" s="1">
        <v>10167</v>
      </c>
      <c r="F13" s="1">
        <f t="shared" si="6"/>
        <v>12193</v>
      </c>
      <c r="G13" s="1">
        <v>11531</v>
      </c>
      <c r="H13" s="1">
        <v>13806</v>
      </c>
      <c r="I13" s="1">
        <v>14705</v>
      </c>
      <c r="J13" s="1">
        <f t="shared" si="7"/>
        <v>18475</v>
      </c>
      <c r="K13" s="1">
        <v>16530</v>
      </c>
      <c r="L13" s="1">
        <v>17638</v>
      </c>
      <c r="M13" s="1">
        <v>18498</v>
      </c>
      <c r="N13" s="1">
        <f t="shared" si="8"/>
        <v>22445</v>
      </c>
      <c r="O13" s="1">
        <v>20271</v>
      </c>
      <c r="P13" s="1">
        <v>20342</v>
      </c>
      <c r="Q13" s="1">
        <v>20583</v>
      </c>
      <c r="R13" s="1">
        <f t="shared" ref="R13:R17" si="10">AI13-SUM(O13:Q13)</f>
        <v>23103</v>
      </c>
      <c r="S13" s="1">
        <v>20905</v>
      </c>
      <c r="T13" s="1">
        <v>21305</v>
      </c>
      <c r="U13" s="1">
        <v>22314</v>
      </c>
      <c r="V13" s="1">
        <f t="shared" si="9"/>
        <v>26095</v>
      </c>
      <c r="W13" s="1">
        <v>22317</v>
      </c>
      <c r="X13" s="132">
        <v>23566</v>
      </c>
      <c r="Y13" s="91">
        <v>24660</v>
      </c>
      <c r="AD13" s="1">
        <v>25249</v>
      </c>
      <c r="AE13" s="1">
        <v>34027</v>
      </c>
      <c r="AF13" s="1">
        <v>40232</v>
      </c>
      <c r="AG13" s="1">
        <v>58517</v>
      </c>
      <c r="AH13" s="1">
        <v>75111</v>
      </c>
      <c r="AI13" s="1">
        <v>84299</v>
      </c>
      <c r="AJ13" s="91">
        <v>90619</v>
      </c>
    </row>
    <row r="14" spans="1:38" x14ac:dyDescent="0.25">
      <c r="B14" t="s">
        <v>36</v>
      </c>
      <c r="C14" s="1">
        <v>7927</v>
      </c>
      <c r="D14" s="1">
        <v>9065</v>
      </c>
      <c r="E14" s="1">
        <v>9200</v>
      </c>
      <c r="F14" s="1">
        <f t="shared" si="6"/>
        <v>9739</v>
      </c>
      <c r="G14" s="1">
        <v>9325</v>
      </c>
      <c r="H14" s="1">
        <v>10388</v>
      </c>
      <c r="I14" s="1">
        <v>10976</v>
      </c>
      <c r="J14" s="1">
        <f t="shared" si="7"/>
        <v>12051</v>
      </c>
      <c r="K14" s="1">
        <v>12488</v>
      </c>
      <c r="L14" s="1">
        <v>13871</v>
      </c>
      <c r="M14" s="1">
        <v>14380</v>
      </c>
      <c r="N14" s="1">
        <f t="shared" si="8"/>
        <v>15313</v>
      </c>
      <c r="O14" s="1">
        <v>14842</v>
      </c>
      <c r="P14" s="1">
        <v>18072</v>
      </c>
      <c r="Q14" s="1">
        <v>19485</v>
      </c>
      <c r="R14" s="1">
        <f t="shared" si="10"/>
        <v>20814</v>
      </c>
      <c r="S14" s="1">
        <v>20450</v>
      </c>
      <c r="T14" s="1">
        <v>21931</v>
      </c>
      <c r="U14" s="1">
        <v>21203</v>
      </c>
      <c r="V14" s="1">
        <f t="shared" si="9"/>
        <v>22038</v>
      </c>
      <c r="W14" s="1">
        <v>20424</v>
      </c>
      <c r="X14" s="132">
        <v>22304</v>
      </c>
      <c r="Y14" s="91">
        <v>22245</v>
      </c>
      <c r="AD14" s="1">
        <v>22620</v>
      </c>
      <c r="AE14" s="1">
        <v>28837</v>
      </c>
      <c r="AF14" s="1">
        <v>35931</v>
      </c>
      <c r="AG14" s="1">
        <v>42740</v>
      </c>
      <c r="AH14" s="1">
        <v>56052</v>
      </c>
      <c r="AI14" s="1">
        <v>73213</v>
      </c>
      <c r="AJ14" s="91">
        <v>85622</v>
      </c>
    </row>
    <row r="15" spans="1:38" x14ac:dyDescent="0.25">
      <c r="B15" t="s">
        <v>37</v>
      </c>
      <c r="C15" s="1">
        <v>3664</v>
      </c>
      <c r="D15" s="1">
        <v>4291</v>
      </c>
      <c r="E15" s="1">
        <v>4752</v>
      </c>
      <c r="F15" s="1">
        <f t="shared" si="6"/>
        <v>6171</v>
      </c>
      <c r="G15" s="1">
        <v>4828</v>
      </c>
      <c r="H15" s="1">
        <v>4345</v>
      </c>
      <c r="I15" s="1">
        <v>5434</v>
      </c>
      <c r="J15" s="1">
        <f t="shared" si="7"/>
        <v>7401</v>
      </c>
      <c r="K15" s="1">
        <v>6207</v>
      </c>
      <c r="L15" s="1">
        <v>7524</v>
      </c>
      <c r="M15" s="1">
        <v>8010</v>
      </c>
      <c r="N15" s="1">
        <f t="shared" si="8"/>
        <v>10810</v>
      </c>
      <c r="O15" s="1">
        <v>8320</v>
      </c>
      <c r="P15" s="1">
        <v>10086</v>
      </c>
      <c r="Q15" s="1">
        <v>11014</v>
      </c>
      <c r="R15" s="1">
        <f t="shared" si="10"/>
        <v>12818</v>
      </c>
      <c r="S15" s="1">
        <v>10172</v>
      </c>
      <c r="T15" s="1">
        <v>10745</v>
      </c>
      <c r="U15" s="1">
        <v>10551</v>
      </c>
      <c r="V15" s="1">
        <f t="shared" si="9"/>
        <v>12902</v>
      </c>
      <c r="W15" s="1">
        <v>9662</v>
      </c>
      <c r="X15" s="132">
        <v>10512</v>
      </c>
      <c r="Y15" s="91">
        <v>10609</v>
      </c>
      <c r="AD15" s="1">
        <v>10069</v>
      </c>
      <c r="AE15" s="1">
        <v>13814</v>
      </c>
      <c r="AF15" s="1">
        <v>18878</v>
      </c>
      <c r="AG15" s="1">
        <v>22008</v>
      </c>
      <c r="AH15" s="1">
        <v>32551</v>
      </c>
      <c r="AI15" s="1">
        <v>42238</v>
      </c>
      <c r="AJ15" s="91">
        <v>44370</v>
      </c>
    </row>
    <row r="16" spans="1:38" x14ac:dyDescent="0.25">
      <c r="B16" t="s">
        <v>38</v>
      </c>
      <c r="C16" s="1">
        <v>1173</v>
      </c>
      <c r="D16" s="1">
        <v>1270</v>
      </c>
      <c r="E16" s="1">
        <v>1348</v>
      </c>
      <c r="F16" s="1">
        <f t="shared" si="6"/>
        <v>1412</v>
      </c>
      <c r="G16" s="1">
        <v>1452</v>
      </c>
      <c r="H16" s="1">
        <v>1580</v>
      </c>
      <c r="I16" s="1">
        <v>1668</v>
      </c>
      <c r="J16" s="1">
        <f t="shared" si="7"/>
        <v>1968</v>
      </c>
      <c r="K16" s="1">
        <v>1987</v>
      </c>
      <c r="L16" s="1">
        <v>2158</v>
      </c>
      <c r="M16" s="1">
        <v>2153</v>
      </c>
      <c r="N16" s="1">
        <f t="shared" si="8"/>
        <v>2525</v>
      </c>
      <c r="O16" s="1">
        <v>2594</v>
      </c>
      <c r="P16" s="1">
        <v>2903</v>
      </c>
      <c r="Q16" s="1">
        <v>3061</v>
      </c>
      <c r="R16" s="1">
        <f t="shared" si="10"/>
        <v>3333</v>
      </c>
      <c r="S16" s="1">
        <v>3043</v>
      </c>
      <c r="T16" s="1">
        <v>3202</v>
      </c>
      <c r="U16" s="1">
        <v>2561</v>
      </c>
      <c r="V16" s="1">
        <f t="shared" si="9"/>
        <v>3010</v>
      </c>
      <c r="W16" s="1">
        <v>2742</v>
      </c>
      <c r="X16" s="132">
        <v>3041</v>
      </c>
      <c r="Y16" s="91">
        <v>2713</v>
      </c>
      <c r="AD16" s="1">
        <v>3674</v>
      </c>
      <c r="AE16" s="1">
        <v>4336</v>
      </c>
      <c r="AF16" s="1">
        <v>5203</v>
      </c>
      <c r="AG16" s="1">
        <v>6668</v>
      </c>
      <c r="AH16" s="1">
        <v>8823</v>
      </c>
      <c r="AI16" s="1">
        <v>11891</v>
      </c>
      <c r="AJ16" s="91">
        <v>11816</v>
      </c>
    </row>
    <row r="17" spans="2:38" x14ac:dyDescent="0.25">
      <c r="B17" t="s">
        <v>39</v>
      </c>
      <c r="C17" s="1">
        <v>-5</v>
      </c>
      <c r="D17" s="1">
        <v>86</v>
      </c>
      <c r="E17" s="1">
        <v>55</v>
      </c>
      <c r="F17" s="1">
        <f t="shared" si="6"/>
        <v>65</v>
      </c>
      <c r="G17" s="1">
        <v>70</v>
      </c>
      <c r="H17" s="1">
        <v>290</v>
      </c>
      <c r="I17" s="1">
        <v>62</v>
      </c>
      <c r="J17" s="1">
        <f t="shared" si="7"/>
        <v>-497</v>
      </c>
      <c r="K17" s="1">
        <v>38</v>
      </c>
      <c r="L17" s="1">
        <v>11</v>
      </c>
      <c r="M17" s="1">
        <v>-11</v>
      </c>
      <c r="N17" s="1">
        <f t="shared" si="8"/>
        <v>24</v>
      </c>
      <c r="O17" s="1">
        <v>249</v>
      </c>
      <c r="P17" s="1">
        <v>90</v>
      </c>
      <c r="Q17" s="1">
        <v>165</v>
      </c>
      <c r="R17" s="1">
        <f t="shared" si="10"/>
        <v>759</v>
      </c>
      <c r="S17" s="1">
        <v>223</v>
      </c>
      <c r="T17" s="1">
        <v>146</v>
      </c>
      <c r="U17" s="1">
        <v>244</v>
      </c>
      <c r="V17" s="1">
        <f t="shared" si="9"/>
        <v>154</v>
      </c>
      <c r="W17" s="1">
        <v>228</v>
      </c>
      <c r="X17" s="132">
        <v>97</v>
      </c>
      <c r="Y17" s="91">
        <v>262</v>
      </c>
      <c r="AD17" s="1">
        <v>214</v>
      </c>
      <c r="AE17" s="1">
        <v>296</v>
      </c>
      <c r="AF17" s="1">
        <v>201</v>
      </c>
      <c r="AG17" s="1">
        <v>-75</v>
      </c>
      <c r="AH17" s="1">
        <v>62</v>
      </c>
      <c r="AI17" s="1">
        <v>1263</v>
      </c>
      <c r="AJ17" s="91">
        <v>767</v>
      </c>
    </row>
    <row r="18" spans="2:38" x14ac:dyDescent="0.25">
      <c r="B18" t="s">
        <v>40</v>
      </c>
      <c r="C18" s="5">
        <f>C10-SUM(C12:C17)</f>
        <v>4420</v>
      </c>
      <c r="D18" s="5">
        <f>D10-SUM(D12:D17)</f>
        <v>3084</v>
      </c>
      <c r="E18" s="5">
        <f>E10-SUM(E12:E17)</f>
        <v>3157</v>
      </c>
      <c r="F18" s="5">
        <f>F10-SUM(F12:F17)</f>
        <v>3880</v>
      </c>
      <c r="G18" s="5">
        <f t="shared" ref="G18:Y18" si="11">G10-SUM(G12:G17)</f>
        <v>3989</v>
      </c>
      <c r="H18" s="5">
        <f t="shared" si="11"/>
        <v>5843</v>
      </c>
      <c r="I18" s="5">
        <f t="shared" si="11"/>
        <v>6194</v>
      </c>
      <c r="J18" s="5">
        <f t="shared" si="11"/>
        <v>6873</v>
      </c>
      <c r="K18" s="5">
        <f t="shared" si="11"/>
        <v>8865</v>
      </c>
      <c r="L18" s="5">
        <f t="shared" si="11"/>
        <v>7702</v>
      </c>
      <c r="M18" s="5">
        <f t="shared" si="11"/>
        <v>4852</v>
      </c>
      <c r="N18" s="5">
        <f t="shared" si="11"/>
        <v>3460</v>
      </c>
      <c r="O18" s="5">
        <f t="shared" si="11"/>
        <v>3669</v>
      </c>
      <c r="P18" s="5">
        <f t="shared" si="11"/>
        <v>3317</v>
      </c>
      <c r="Q18" s="5">
        <f t="shared" si="11"/>
        <v>2525</v>
      </c>
      <c r="R18" s="5">
        <f t="shared" si="11"/>
        <v>2737</v>
      </c>
      <c r="S18" s="5">
        <f t="shared" si="11"/>
        <v>4774</v>
      </c>
      <c r="T18" s="5">
        <f t="shared" si="11"/>
        <v>7681</v>
      </c>
      <c r="U18" s="5">
        <f>U10-SUM(U12:U17)</f>
        <v>11188</v>
      </c>
      <c r="V18" s="5">
        <f t="shared" si="11"/>
        <v>13209</v>
      </c>
      <c r="W18" s="5">
        <f>W10-SUM(W12:W17)</f>
        <v>15307</v>
      </c>
      <c r="X18" s="133">
        <f t="shared" si="11"/>
        <v>14672</v>
      </c>
      <c r="Y18" s="103">
        <f t="shared" si="11"/>
        <v>17411</v>
      </c>
      <c r="Z18" s="5"/>
      <c r="AA18" s="5"/>
      <c r="AD18" s="5">
        <f t="shared" ref="AD18:AI18" si="12">AD10-SUM(AD12:AD17)</f>
        <v>4106</v>
      </c>
      <c r="AE18" s="5">
        <f t="shared" si="12"/>
        <v>12421</v>
      </c>
      <c r="AF18" s="5">
        <f t="shared" si="12"/>
        <v>14541</v>
      </c>
      <c r="AG18" s="5">
        <f t="shared" si="12"/>
        <v>22899</v>
      </c>
      <c r="AH18" s="5">
        <f t="shared" si="12"/>
        <v>24879</v>
      </c>
      <c r="AI18" s="5">
        <f t="shared" si="12"/>
        <v>12248</v>
      </c>
      <c r="AJ18" s="103">
        <f t="shared" ref="AJ18" si="13">AJ10-SUM(AJ12:AJ17)</f>
        <v>36852</v>
      </c>
    </row>
    <row r="19" spans="2:38" x14ac:dyDescent="0.25">
      <c r="B19" t="s">
        <v>41</v>
      </c>
      <c r="C19" s="1">
        <v>183</v>
      </c>
      <c r="D19" s="1">
        <v>215</v>
      </c>
      <c r="E19" s="1">
        <v>224</v>
      </c>
      <c r="F19" s="1">
        <f>AF19-E19-D19-C19</f>
        <v>210</v>
      </c>
      <c r="G19" s="1">
        <v>202</v>
      </c>
      <c r="H19" s="1">
        <v>135</v>
      </c>
      <c r="I19" s="1">
        <v>118</v>
      </c>
      <c r="J19" s="1">
        <f>AG19-I19-H19-G19</f>
        <v>100</v>
      </c>
      <c r="K19" s="1">
        <v>105</v>
      </c>
      <c r="L19" s="1">
        <v>106</v>
      </c>
      <c r="M19" s="1">
        <v>119</v>
      </c>
      <c r="N19" s="1">
        <f>AH19-M19-L19-K19</f>
        <v>118</v>
      </c>
      <c r="O19" s="1">
        <v>108</v>
      </c>
      <c r="P19" s="1">
        <v>159</v>
      </c>
      <c r="Q19" s="1">
        <v>277</v>
      </c>
      <c r="R19" s="1">
        <f>AI19-SUM(O19:Q19)</f>
        <v>445</v>
      </c>
      <c r="S19" s="1">
        <v>611</v>
      </c>
      <c r="T19" s="1">
        <v>661</v>
      </c>
      <c r="U19" s="1">
        <v>776</v>
      </c>
      <c r="V19" s="1">
        <f t="shared" ref="V19:V21" si="14">AJ19-U19-T19-S19</f>
        <v>901</v>
      </c>
      <c r="W19" s="1">
        <v>993</v>
      </c>
      <c r="X19" s="132">
        <v>1180</v>
      </c>
      <c r="Y19" s="91">
        <v>1256</v>
      </c>
      <c r="AD19" s="1">
        <v>202</v>
      </c>
      <c r="AE19" s="1">
        <v>440</v>
      </c>
      <c r="AF19" s="1">
        <v>832</v>
      </c>
      <c r="AG19" s="1">
        <v>555</v>
      </c>
      <c r="AH19" s="1">
        <v>448</v>
      </c>
      <c r="AI19" s="1">
        <v>989</v>
      </c>
      <c r="AJ19" s="91">
        <v>2949</v>
      </c>
    </row>
    <row r="20" spans="2:38" x14ac:dyDescent="0.25">
      <c r="B20" t="s">
        <v>42</v>
      </c>
      <c r="C20" s="1">
        <v>-366</v>
      </c>
      <c r="D20" s="1">
        <v>-383</v>
      </c>
      <c r="E20" s="1">
        <v>-396</v>
      </c>
      <c r="F20" s="1">
        <f>AF20-E20-D20-C20</f>
        <v>-455</v>
      </c>
      <c r="G20" s="1">
        <v>-402</v>
      </c>
      <c r="H20" s="1">
        <v>-403</v>
      </c>
      <c r="I20" s="1">
        <v>-428</v>
      </c>
      <c r="J20" s="1">
        <f>AG20-I20-H20-G20</f>
        <v>-414</v>
      </c>
      <c r="K20" s="1">
        <v>-399</v>
      </c>
      <c r="L20" s="1">
        <v>-435</v>
      </c>
      <c r="M20" s="1">
        <v>-493</v>
      </c>
      <c r="N20" s="1">
        <f>AH20-M20-L20-K20</f>
        <v>-482</v>
      </c>
      <c r="O20" s="1">
        <v>-472</v>
      </c>
      <c r="P20" s="1">
        <v>-584</v>
      </c>
      <c r="Q20" s="1">
        <v>-617</v>
      </c>
      <c r="R20" s="1">
        <f t="shared" ref="R20:R21" si="15">AI20-SUM(O20:Q20)</f>
        <v>-694</v>
      </c>
      <c r="S20" s="1">
        <v>-823</v>
      </c>
      <c r="T20" s="1">
        <v>-840</v>
      </c>
      <c r="U20" s="1">
        <v>-806</v>
      </c>
      <c r="V20" s="1">
        <f t="shared" si="14"/>
        <v>-713</v>
      </c>
      <c r="W20" s="1">
        <v>-644</v>
      </c>
      <c r="X20" s="132">
        <v>-589</v>
      </c>
      <c r="Y20" s="91">
        <v>-603</v>
      </c>
      <c r="AD20" s="1">
        <v>-848</v>
      </c>
      <c r="AE20" s="1">
        <v>-1417</v>
      </c>
      <c r="AF20" s="1">
        <v>-1600</v>
      </c>
      <c r="AG20" s="1">
        <v>-1647</v>
      </c>
      <c r="AH20" s="1">
        <v>-1809</v>
      </c>
      <c r="AI20" s="1">
        <f>-2367</f>
        <v>-2367</v>
      </c>
      <c r="AJ20" s="91">
        <v>-3182</v>
      </c>
    </row>
    <row r="21" spans="2:38" x14ac:dyDescent="0.25">
      <c r="B21" t="s">
        <v>43</v>
      </c>
      <c r="C21" s="1">
        <v>164</v>
      </c>
      <c r="D21" s="1">
        <v>-27</v>
      </c>
      <c r="E21" s="1">
        <v>-353</v>
      </c>
      <c r="F21" s="1">
        <f>AF21-E21-D21-C21</f>
        <v>419</v>
      </c>
      <c r="G21" s="1">
        <v>-406</v>
      </c>
      <c r="H21" s="1">
        <v>646</v>
      </c>
      <c r="I21" s="1">
        <v>925</v>
      </c>
      <c r="J21" s="1">
        <f>AG21-I21-H21-G21</f>
        <v>1206</v>
      </c>
      <c r="K21" s="1">
        <v>1697</v>
      </c>
      <c r="L21" s="1">
        <v>1261</v>
      </c>
      <c r="M21" s="1">
        <v>-163</v>
      </c>
      <c r="N21" s="1">
        <f>AH21-M21-L21-K21</f>
        <v>11838</v>
      </c>
      <c r="O21" s="1">
        <v>-8570</v>
      </c>
      <c r="P21" s="1">
        <v>-5545</v>
      </c>
      <c r="Q21" s="1">
        <v>759</v>
      </c>
      <c r="R21" s="1">
        <f t="shared" si="15"/>
        <v>-3450</v>
      </c>
      <c r="S21" s="1">
        <v>-443</v>
      </c>
      <c r="T21" s="1">
        <v>61</v>
      </c>
      <c r="U21" s="1">
        <v>1031</v>
      </c>
      <c r="V21" s="1">
        <f t="shared" si="14"/>
        <v>289</v>
      </c>
      <c r="W21" s="1">
        <v>-2673</v>
      </c>
      <c r="X21" s="132">
        <v>-18</v>
      </c>
      <c r="Y21" s="91">
        <v>-27</v>
      </c>
      <c r="AD21" s="1">
        <v>346</v>
      </c>
      <c r="AE21" s="1">
        <v>-183</v>
      </c>
      <c r="AF21" s="1">
        <v>203</v>
      </c>
      <c r="AG21" s="1">
        <v>2371</v>
      </c>
      <c r="AH21" s="1">
        <v>14633</v>
      </c>
      <c r="AI21" s="8">
        <v>-16806</v>
      </c>
      <c r="AJ21" s="91">
        <v>938</v>
      </c>
    </row>
    <row r="22" spans="2:38" x14ac:dyDescent="0.25">
      <c r="B22" t="s">
        <v>45</v>
      </c>
      <c r="C22" s="5">
        <f>C18+C19+C20+C21</f>
        <v>4401</v>
      </c>
      <c r="D22" s="5">
        <f>D18+D19+D20+D21</f>
        <v>2889</v>
      </c>
      <c r="E22" s="5">
        <f>E18+E19+E20+E21</f>
        <v>2632</v>
      </c>
      <c r="F22" s="5">
        <f>F18+F19+F20+F21</f>
        <v>4054</v>
      </c>
      <c r="G22" s="5">
        <f t="shared" ref="G22:Y22" si="16">G18+G19+G20+G21</f>
        <v>3383</v>
      </c>
      <c r="H22" s="5">
        <f t="shared" si="16"/>
        <v>6221</v>
      </c>
      <c r="I22" s="5">
        <f t="shared" si="16"/>
        <v>6809</v>
      </c>
      <c r="J22" s="5">
        <f t="shared" si="16"/>
        <v>7765</v>
      </c>
      <c r="K22" s="5">
        <f t="shared" si="16"/>
        <v>10268</v>
      </c>
      <c r="L22" s="5">
        <f t="shared" si="16"/>
        <v>8634</v>
      </c>
      <c r="M22" s="5">
        <f t="shared" si="16"/>
        <v>4315</v>
      </c>
      <c r="N22" s="5">
        <f t="shared" si="16"/>
        <v>14934</v>
      </c>
      <c r="O22" s="5">
        <f t="shared" si="16"/>
        <v>-5265</v>
      </c>
      <c r="P22" s="5">
        <f t="shared" si="16"/>
        <v>-2653</v>
      </c>
      <c r="Q22" s="5">
        <f t="shared" si="16"/>
        <v>2944</v>
      </c>
      <c r="R22" s="5">
        <f t="shared" si="16"/>
        <v>-962</v>
      </c>
      <c r="S22" s="5">
        <f t="shared" si="16"/>
        <v>4119</v>
      </c>
      <c r="T22" s="5">
        <f t="shared" si="16"/>
        <v>7563</v>
      </c>
      <c r="U22" s="5">
        <f t="shared" si="16"/>
        <v>12189</v>
      </c>
      <c r="V22" s="5">
        <f t="shared" si="16"/>
        <v>13686</v>
      </c>
      <c r="W22" s="5">
        <f t="shared" ref="W22" si="17">W18+W19+W20+W21</f>
        <v>12983</v>
      </c>
      <c r="X22" s="133">
        <f t="shared" si="16"/>
        <v>15245</v>
      </c>
      <c r="Y22" s="103">
        <f t="shared" si="16"/>
        <v>18037</v>
      </c>
      <c r="Z22" s="5"/>
      <c r="AA22" s="5"/>
      <c r="AD22" s="5">
        <f t="shared" ref="AD22:AI22" si="18">AD18+AD19+AD20+AD21</f>
        <v>3806</v>
      </c>
      <c r="AE22" s="5">
        <f t="shared" si="18"/>
        <v>11261</v>
      </c>
      <c r="AF22" s="5">
        <f t="shared" si="18"/>
        <v>13976</v>
      </c>
      <c r="AG22" s="5">
        <f t="shared" si="18"/>
        <v>24178</v>
      </c>
      <c r="AH22" s="5">
        <f t="shared" si="18"/>
        <v>38151</v>
      </c>
      <c r="AI22" s="5">
        <f t="shared" si="18"/>
        <v>-5936</v>
      </c>
      <c r="AJ22" s="103">
        <f t="shared" ref="AJ22" si="19">AJ18+AJ19+AJ20+AJ21</f>
        <v>37557</v>
      </c>
    </row>
    <row r="23" spans="2:38" x14ac:dyDescent="0.25">
      <c r="B23" t="s">
        <v>44</v>
      </c>
      <c r="C23" s="1">
        <f>-836-4</f>
        <v>-840</v>
      </c>
      <c r="D23" s="1">
        <f>-257-7</f>
        <v>-264</v>
      </c>
      <c r="E23" s="1">
        <f>-494-4</f>
        <v>-498</v>
      </c>
      <c r="F23" s="1">
        <f>AF23-E23-D23-C23</f>
        <v>-786</v>
      </c>
      <c r="G23" s="1">
        <f>-744-104</f>
        <v>-848</v>
      </c>
      <c r="H23" s="1">
        <f>-984+6</f>
        <v>-978</v>
      </c>
      <c r="I23" s="1">
        <f>-569+91</f>
        <v>-478</v>
      </c>
      <c r="J23" s="1">
        <f>W23-I23-H23-G23</f>
        <v>-248</v>
      </c>
      <c r="K23" s="1">
        <f>-2156-5</f>
        <v>-2161</v>
      </c>
      <c r="L23" s="1">
        <v>-868</v>
      </c>
      <c r="M23" s="1">
        <v>-1155</v>
      </c>
      <c r="N23" s="1">
        <f>AH23-M23-L23-K23</f>
        <v>-603</v>
      </c>
      <c r="O23" s="1">
        <v>1422</v>
      </c>
      <c r="P23" s="1">
        <f>637-12</f>
        <v>625</v>
      </c>
      <c r="Q23" s="1">
        <f>-69-3</f>
        <v>-72</v>
      </c>
      <c r="R23" s="1">
        <f>AI23-SUM(O23:Q23)</f>
        <v>1239</v>
      </c>
      <c r="S23" s="1">
        <f>-948+1</f>
        <v>-947</v>
      </c>
      <c r="T23" s="1">
        <f>-804-9</f>
        <v>-813</v>
      </c>
      <c r="U23" s="1">
        <f>-2306-4</f>
        <v>-2310</v>
      </c>
      <c r="V23" s="1">
        <f>AJ23-U23-T23-S23</f>
        <v>-3050</v>
      </c>
      <c r="W23" s="1">
        <f>-2467-85</f>
        <v>-2552</v>
      </c>
      <c r="X23" s="132">
        <v>-1767</v>
      </c>
      <c r="Y23" s="91">
        <f>-2706-3</f>
        <v>-2709</v>
      </c>
      <c r="AD23" s="1">
        <f>-769-4</f>
        <v>-773</v>
      </c>
      <c r="AE23" s="1">
        <f>-1197+9</f>
        <v>-1188</v>
      </c>
      <c r="AF23" s="1">
        <f>-2374-14</f>
        <v>-2388</v>
      </c>
      <c r="AG23" s="1">
        <v>-2863</v>
      </c>
      <c r="AH23" s="1">
        <f>-4791+4</f>
        <v>-4787</v>
      </c>
      <c r="AI23" s="1">
        <f>3217-3</f>
        <v>3214</v>
      </c>
      <c r="AJ23" s="91">
        <v>-7120</v>
      </c>
    </row>
    <row r="24" spans="2:38" x14ac:dyDescent="0.25">
      <c r="B24" s="4" t="s">
        <v>46</v>
      </c>
      <c r="C24" s="5">
        <f>C22+C23</f>
        <v>3561</v>
      </c>
      <c r="D24" s="5">
        <f>D22+D23</f>
        <v>2625</v>
      </c>
      <c r="E24" s="5">
        <f>E22+E23</f>
        <v>2134</v>
      </c>
      <c r="F24" s="5">
        <f>F22+F23</f>
        <v>3268</v>
      </c>
      <c r="G24" s="5">
        <f t="shared" ref="G24:V24" si="20">G22+G23</f>
        <v>2535</v>
      </c>
      <c r="H24" s="5">
        <f t="shared" si="20"/>
        <v>5243</v>
      </c>
      <c r="I24" s="5">
        <f t="shared" si="20"/>
        <v>6331</v>
      </c>
      <c r="J24" s="5">
        <f t="shared" si="20"/>
        <v>7517</v>
      </c>
      <c r="K24" s="5">
        <f t="shared" si="20"/>
        <v>8107</v>
      </c>
      <c r="L24" s="5">
        <f t="shared" si="20"/>
        <v>7766</v>
      </c>
      <c r="M24" s="5">
        <f t="shared" si="20"/>
        <v>3160</v>
      </c>
      <c r="N24" s="5">
        <f t="shared" si="20"/>
        <v>14331</v>
      </c>
      <c r="O24" s="5">
        <f t="shared" si="20"/>
        <v>-3843</v>
      </c>
      <c r="P24" s="5">
        <f t="shared" si="20"/>
        <v>-2028</v>
      </c>
      <c r="Q24" s="5">
        <f t="shared" si="20"/>
        <v>2872</v>
      </c>
      <c r="R24" s="5">
        <f t="shared" si="20"/>
        <v>277</v>
      </c>
      <c r="S24" s="5">
        <f t="shared" si="20"/>
        <v>3172</v>
      </c>
      <c r="T24" s="5">
        <f t="shared" si="20"/>
        <v>6750</v>
      </c>
      <c r="U24" s="5">
        <f t="shared" si="20"/>
        <v>9879</v>
      </c>
      <c r="V24" s="5">
        <f t="shared" si="20"/>
        <v>10636</v>
      </c>
      <c r="W24" s="5">
        <f t="shared" ref="W24:Y24" si="21">W22+W23</f>
        <v>10431</v>
      </c>
      <c r="X24" s="133">
        <f t="shared" si="21"/>
        <v>13478</v>
      </c>
      <c r="Y24" s="103">
        <f t="shared" si="21"/>
        <v>15328</v>
      </c>
      <c r="Z24" s="5"/>
      <c r="AA24" s="5"/>
      <c r="AD24" s="5">
        <f t="shared" ref="AD24:AI24" si="22">AD22+AD23</f>
        <v>3033</v>
      </c>
      <c r="AE24" s="5">
        <f t="shared" si="22"/>
        <v>10073</v>
      </c>
      <c r="AF24" s="5">
        <f t="shared" si="22"/>
        <v>11588</v>
      </c>
      <c r="AG24" s="5">
        <f t="shared" si="22"/>
        <v>21315</v>
      </c>
      <c r="AH24" s="5">
        <f t="shared" si="22"/>
        <v>33364</v>
      </c>
      <c r="AI24" s="5">
        <f t="shared" si="22"/>
        <v>-2722</v>
      </c>
      <c r="AJ24" s="103">
        <f t="shared" ref="AJ24" si="23">AJ22+AJ23</f>
        <v>30437</v>
      </c>
    </row>
    <row r="25" spans="2:38" x14ac:dyDescent="0.25">
      <c r="B25" s="11" t="s">
        <v>249</v>
      </c>
      <c r="C25" s="10">
        <v>2287</v>
      </c>
      <c r="D25" s="10">
        <v>1564</v>
      </c>
      <c r="E25" s="10">
        <v>1282</v>
      </c>
      <c r="F25" s="10">
        <f>AF25-E25-D25-C25</f>
        <v>1900</v>
      </c>
      <c r="G25" s="10">
        <v>1312</v>
      </c>
      <c r="H25" s="10">
        <v>2141</v>
      </c>
      <c r="I25" s="10">
        <v>2252</v>
      </c>
      <c r="J25" s="10">
        <f>AG25-I25-H25-G25</f>
        <v>2946</v>
      </c>
      <c r="K25" s="10">
        <v>3450</v>
      </c>
      <c r="L25" s="10">
        <v>3147</v>
      </c>
      <c r="M25" s="10">
        <v>880</v>
      </c>
      <c r="N25" s="10">
        <f>AH25-M25-L25-K25</f>
        <v>-206</v>
      </c>
      <c r="O25" s="10">
        <v>-1568</v>
      </c>
      <c r="P25" s="10">
        <v>-627</v>
      </c>
      <c r="Q25" s="10">
        <v>-412</v>
      </c>
      <c r="R25" s="10">
        <f>AI25-SUM(O25:Q25)</f>
        <v>-240</v>
      </c>
      <c r="S25" s="10">
        <v>898</v>
      </c>
      <c r="T25" s="11">
        <v>3211</v>
      </c>
      <c r="U25" s="10">
        <v>4307</v>
      </c>
      <c r="V25" s="1">
        <f>AJ25-U25-T25-S25</f>
        <v>6461</v>
      </c>
      <c r="W25" s="10">
        <v>4983</v>
      </c>
      <c r="X25" s="130">
        <v>5065</v>
      </c>
      <c r="Y25" s="90">
        <v>5663</v>
      </c>
      <c r="AD25">
        <v>2837</v>
      </c>
      <c r="AE25" s="1">
        <v>7267</v>
      </c>
      <c r="AF25" s="1">
        <v>7033</v>
      </c>
      <c r="AG25" s="1">
        <v>8651</v>
      </c>
      <c r="AH25" s="1">
        <v>7271</v>
      </c>
      <c r="AI25" s="1">
        <v>-2847</v>
      </c>
      <c r="AJ25" s="91">
        <v>14877</v>
      </c>
    </row>
    <row r="26" spans="2:38" x14ac:dyDescent="0.25">
      <c r="B26" s="11" t="s">
        <v>250</v>
      </c>
      <c r="C26" s="10">
        <v>-90</v>
      </c>
      <c r="D26" s="10">
        <v>-601</v>
      </c>
      <c r="E26" s="10">
        <v>-386</v>
      </c>
      <c r="F26" s="10">
        <f>AF26-E26-D26-C26</f>
        <v>-616</v>
      </c>
      <c r="G26" s="10">
        <v>-398</v>
      </c>
      <c r="H26" s="10">
        <v>345</v>
      </c>
      <c r="I26" s="10">
        <v>407</v>
      </c>
      <c r="J26" s="10">
        <f>AG26-I26-H26-G26</f>
        <v>363</v>
      </c>
      <c r="K26" s="10">
        <v>1252</v>
      </c>
      <c r="L26" s="10">
        <v>362</v>
      </c>
      <c r="M26" s="10">
        <v>-911</v>
      </c>
      <c r="N26" s="10">
        <f t="shared" ref="N26:N27" si="24">AH26-M26-L26-K26</f>
        <v>-1627</v>
      </c>
      <c r="O26" s="10">
        <v>-1281</v>
      </c>
      <c r="P26" s="10">
        <v>-1771</v>
      </c>
      <c r="Q26" s="10">
        <v>-2466</v>
      </c>
      <c r="R26" s="10">
        <f>AI26-SUM(O26:Q26)</f>
        <v>-2228</v>
      </c>
      <c r="S26" s="10">
        <v>-1247</v>
      </c>
      <c r="T26" s="11">
        <v>-895</v>
      </c>
      <c r="U26" s="10">
        <v>-95</v>
      </c>
      <c r="V26" s="1">
        <f>AJ26-U26-T26-S26</f>
        <v>-419</v>
      </c>
      <c r="W26" s="10">
        <v>903</v>
      </c>
      <c r="X26" s="130">
        <v>273</v>
      </c>
      <c r="Y26" s="90">
        <v>1301</v>
      </c>
      <c r="AD26">
        <v>-3062</v>
      </c>
      <c r="AE26" s="1">
        <v>-2142</v>
      </c>
      <c r="AF26" s="1">
        <v>-1693</v>
      </c>
      <c r="AG26" s="1">
        <v>717</v>
      </c>
      <c r="AH26" s="1">
        <v>-924</v>
      </c>
      <c r="AI26" s="1">
        <v>-7746</v>
      </c>
      <c r="AJ26" s="91">
        <v>-2656</v>
      </c>
    </row>
    <row r="27" spans="2:38" x14ac:dyDescent="0.25">
      <c r="B27" s="11" t="s">
        <v>251</v>
      </c>
      <c r="C27" s="10">
        <v>2223</v>
      </c>
      <c r="D27" s="10">
        <v>2121</v>
      </c>
      <c r="E27" s="10">
        <v>2261</v>
      </c>
      <c r="F27" s="10">
        <f>AF27-E27-D27-C27</f>
        <v>2596</v>
      </c>
      <c r="G27" s="10">
        <v>3075</v>
      </c>
      <c r="H27" s="10">
        <v>3357</v>
      </c>
      <c r="I27" s="10">
        <v>3535</v>
      </c>
      <c r="J27" s="10">
        <f>AG27-I27-H27-G27</f>
        <v>3564</v>
      </c>
      <c r="K27" s="10">
        <v>4163</v>
      </c>
      <c r="L27" s="10">
        <v>4193</v>
      </c>
      <c r="M27" s="10">
        <v>4883</v>
      </c>
      <c r="N27" s="10">
        <f t="shared" si="24"/>
        <v>5293</v>
      </c>
      <c r="O27" s="10">
        <v>6518</v>
      </c>
      <c r="P27" s="10">
        <v>5715</v>
      </c>
      <c r="Q27" s="10">
        <v>5403</v>
      </c>
      <c r="R27" s="10">
        <f>AI27-SUM(O27:Q27)</f>
        <v>5205</v>
      </c>
      <c r="S27" s="10">
        <v>5123</v>
      </c>
      <c r="T27" s="11">
        <v>5365</v>
      </c>
      <c r="U27" s="10">
        <v>6976</v>
      </c>
      <c r="V27" s="1">
        <f>AJ27-U27-T27-S27</f>
        <v>7167</v>
      </c>
      <c r="W27" s="10">
        <v>9421</v>
      </c>
      <c r="X27" s="130">
        <v>9334</v>
      </c>
      <c r="Y27" s="90">
        <v>10447</v>
      </c>
      <c r="AD27">
        <v>4331</v>
      </c>
      <c r="AE27" s="1">
        <v>7296</v>
      </c>
      <c r="AF27" s="1">
        <v>9201</v>
      </c>
      <c r="AG27" s="1">
        <v>13531</v>
      </c>
      <c r="AH27" s="1">
        <v>18532</v>
      </c>
      <c r="AI27" s="1">
        <v>22841</v>
      </c>
      <c r="AJ27" s="91">
        <v>24631</v>
      </c>
    </row>
    <row r="28" spans="2:38" x14ac:dyDescent="0.25">
      <c r="B28" t="s">
        <v>255</v>
      </c>
      <c r="C28" s="1">
        <v>491</v>
      </c>
      <c r="D28" s="1">
        <v>493</v>
      </c>
      <c r="E28" s="1">
        <v>495</v>
      </c>
      <c r="F28" s="1">
        <v>495</v>
      </c>
      <c r="G28" s="1">
        <v>498</v>
      </c>
      <c r="H28" s="1">
        <v>500</v>
      </c>
      <c r="I28" s="1">
        <v>501</v>
      </c>
      <c r="J28" s="1">
        <v>501</v>
      </c>
      <c r="K28" s="1">
        <v>504</v>
      </c>
      <c r="L28" s="1">
        <v>10103</v>
      </c>
      <c r="M28" s="1">
        <v>10132</v>
      </c>
      <c r="N28" s="1">
        <f>M28</f>
        <v>10132</v>
      </c>
      <c r="O28" s="1">
        <v>10171</v>
      </c>
      <c r="P28" s="1">
        <v>10175</v>
      </c>
      <c r="Q28" s="1">
        <v>10191</v>
      </c>
      <c r="R28" s="1">
        <v>10189</v>
      </c>
      <c r="S28" s="1">
        <v>10250</v>
      </c>
      <c r="T28" s="1">
        <v>10285</v>
      </c>
      <c r="U28" s="1">
        <v>10322</v>
      </c>
      <c r="V28" s="1">
        <f>10304</f>
        <v>10304</v>
      </c>
      <c r="W28" s="1">
        <v>10393</v>
      </c>
      <c r="X28" s="132">
        <v>10477</v>
      </c>
      <c r="Y28" s="91">
        <v>10501</v>
      </c>
      <c r="Z28" s="1"/>
      <c r="AA28" s="1"/>
      <c r="AD28" s="1">
        <v>480</v>
      </c>
      <c r="AE28" s="1">
        <v>487</v>
      </c>
      <c r="AF28" s="1">
        <v>494</v>
      </c>
      <c r="AG28" s="1">
        <v>10000</v>
      </c>
      <c r="AH28" s="1">
        <v>10117</v>
      </c>
      <c r="AI28" s="1">
        <v>10189</v>
      </c>
      <c r="AJ28" s="91">
        <v>10304</v>
      </c>
    </row>
    <row r="29" spans="2:38" s="4" customFormat="1" x14ac:dyDescent="0.25">
      <c r="B29" s="4" t="s">
        <v>47</v>
      </c>
      <c r="C29" s="105">
        <f t="shared" ref="C29:Q29" si="25">C24/C28</f>
        <v>7.2525458248472505</v>
      </c>
      <c r="D29" s="105">
        <f t="shared" si="25"/>
        <v>5.3245436105476678</v>
      </c>
      <c r="E29" s="105">
        <f t="shared" si="25"/>
        <v>4.3111111111111109</v>
      </c>
      <c r="F29" s="105">
        <f t="shared" si="25"/>
        <v>6.6020202020202019</v>
      </c>
      <c r="G29" s="105">
        <f t="shared" si="25"/>
        <v>5.0903614457831328</v>
      </c>
      <c r="H29" s="105">
        <f t="shared" si="25"/>
        <v>10.486000000000001</v>
      </c>
      <c r="I29" s="105">
        <f t="shared" si="25"/>
        <v>12.636726546906187</v>
      </c>
      <c r="J29" s="105">
        <f t="shared" si="25"/>
        <v>15.003992015968064</v>
      </c>
      <c r="K29" s="105">
        <f t="shared" si="25"/>
        <v>16.085317460317459</v>
      </c>
      <c r="L29" s="105">
        <f t="shared" si="25"/>
        <v>0.76868256953380187</v>
      </c>
      <c r="M29" s="105">
        <f t="shared" si="25"/>
        <v>0.31188314251875249</v>
      </c>
      <c r="N29" s="105">
        <f t="shared" si="25"/>
        <v>1.4144295302013423</v>
      </c>
      <c r="O29" s="105">
        <f t="shared" si="25"/>
        <v>-0.37783895388850652</v>
      </c>
      <c r="P29" s="105">
        <f t="shared" si="25"/>
        <v>-0.19931203931203931</v>
      </c>
      <c r="Q29" s="105">
        <f t="shared" si="25"/>
        <v>0.28181728976547932</v>
      </c>
      <c r="R29" s="105">
        <f>AI29-SUM(O29:Q29)</f>
        <v>2.8182854480311437E-2</v>
      </c>
      <c r="S29" s="105">
        <f t="shared" ref="S29:Y29" si="26">S24/S28</f>
        <v>0.30946341463414634</v>
      </c>
      <c r="T29" s="105">
        <f t="shared" si="26"/>
        <v>0.65629557608167233</v>
      </c>
      <c r="U29" s="105">
        <f t="shared" si="26"/>
        <v>0.9570819608602984</v>
      </c>
      <c r="V29" s="105">
        <f t="shared" si="26"/>
        <v>1.03222049689441</v>
      </c>
      <c r="W29" s="105">
        <f t="shared" si="26"/>
        <v>1.0036563071297988</v>
      </c>
      <c r="X29" s="135">
        <f t="shared" si="26"/>
        <v>1.2864369571442207</v>
      </c>
      <c r="Y29" s="106">
        <f t="shared" si="26"/>
        <v>1.4596705075707075</v>
      </c>
      <c r="Z29" s="105"/>
      <c r="AA29" s="105"/>
      <c r="AD29" s="105">
        <f t="shared" ref="AD29:AJ29" si="27">AD24/AD28</f>
        <v>6.3187499999999996</v>
      </c>
      <c r="AE29" s="105">
        <f t="shared" si="27"/>
        <v>20.683778234086244</v>
      </c>
      <c r="AF29" s="105">
        <f t="shared" si="27"/>
        <v>23.457489878542511</v>
      </c>
      <c r="AG29" s="105">
        <f t="shared" si="27"/>
        <v>2.1315</v>
      </c>
      <c r="AH29" s="105">
        <f t="shared" si="27"/>
        <v>3.2978155579717305</v>
      </c>
      <c r="AI29" s="105">
        <f t="shared" si="27"/>
        <v>-0.2671508489547551</v>
      </c>
      <c r="AJ29" s="106">
        <f t="shared" si="27"/>
        <v>2.9539013975155282</v>
      </c>
      <c r="AK29" s="11">
        <v>5.14</v>
      </c>
      <c r="AL29" s="11">
        <v>6.14</v>
      </c>
    </row>
    <row r="30" spans="2:38" s="11" customFormat="1" x14ac:dyDescent="0.25">
      <c r="B30" s="11" t="s">
        <v>254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36">
        <v>0.94</v>
      </c>
      <c r="Y30" s="109">
        <v>1.1399999999999999</v>
      </c>
      <c r="Z30" s="108">
        <v>1.48</v>
      </c>
      <c r="AA30" s="108">
        <v>1.37</v>
      </c>
      <c r="AD30" s="108"/>
      <c r="AE30" s="108"/>
      <c r="AF30" s="108"/>
      <c r="AG30" s="108"/>
      <c r="AH30" s="108"/>
      <c r="AI30" s="108"/>
      <c r="AJ30" s="109"/>
      <c r="AK30" s="11">
        <v>5.14</v>
      </c>
      <c r="AL30" s="11">
        <v>6.14</v>
      </c>
    </row>
    <row r="31" spans="2:3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32"/>
      <c r="Y31" s="91"/>
      <c r="Z31" s="1"/>
      <c r="AA31" s="1"/>
      <c r="AD31" s="1"/>
      <c r="AE31" s="1"/>
      <c r="AF31" s="1"/>
      <c r="AG31" s="1"/>
      <c r="AH31" s="1"/>
      <c r="AI31" s="1"/>
      <c r="AJ31" s="91"/>
    </row>
    <row r="32" spans="2:38" x14ac:dyDescent="0.25">
      <c r="B32" t="s">
        <v>181</v>
      </c>
      <c r="C32" s="107">
        <f t="shared" ref="C32:V32" si="28">1-(C12+C13+C14)/C10</f>
        <v>0.15497487437185931</v>
      </c>
      <c r="D32" s="107">
        <f t="shared" si="28"/>
        <v>0.13770424578890916</v>
      </c>
      <c r="E32" s="107">
        <f t="shared" si="28"/>
        <v>0.13306468898701074</v>
      </c>
      <c r="F32" s="107">
        <f t="shared" si="28"/>
        <v>0.13184349874766976</v>
      </c>
      <c r="G32" s="107">
        <f t="shared" si="28"/>
        <v>0.13702751418120129</v>
      </c>
      <c r="H32" s="107">
        <f t="shared" si="28"/>
        <v>0.13561723951772542</v>
      </c>
      <c r="I32" s="107">
        <f t="shared" si="28"/>
        <v>0.13893598211035418</v>
      </c>
      <c r="J32" s="107">
        <f t="shared" si="28"/>
        <v>0.12540320974871566</v>
      </c>
      <c r="K32" s="107">
        <f t="shared" si="28"/>
        <v>0.15754989955583409</v>
      </c>
      <c r="L32" s="107">
        <f t="shared" si="28"/>
        <v>0.15382914750619026</v>
      </c>
      <c r="M32" s="107">
        <f t="shared" si="28"/>
        <v>0.13540049814099553</v>
      </c>
      <c r="N32" s="107">
        <f t="shared" si="28"/>
        <v>0.12239833493435803</v>
      </c>
      <c r="O32" s="107">
        <f t="shared" si="28"/>
        <v>0.1273745319638625</v>
      </c>
      <c r="P32" s="107">
        <f t="shared" si="28"/>
        <v>0.13524258871273731</v>
      </c>
      <c r="Q32" s="107">
        <f t="shared" si="28"/>
        <v>0.13190297479956881</v>
      </c>
      <c r="R32" s="107">
        <f t="shared" si="28"/>
        <v>0.13167877536795258</v>
      </c>
      <c r="S32" s="107">
        <f t="shared" si="28"/>
        <v>0.14299847673487331</v>
      </c>
      <c r="T32" s="107">
        <f t="shared" si="28"/>
        <v>0.1620294233645625</v>
      </c>
      <c r="U32" s="107">
        <f t="shared" si="28"/>
        <v>0.17153680031869611</v>
      </c>
      <c r="V32" s="107">
        <f t="shared" si="28"/>
        <v>0.17224539747353806</v>
      </c>
      <c r="W32" s="107">
        <f>1-(W12+W13+W14)/W10</f>
        <v>0.19495091164095368</v>
      </c>
      <c r="X32" s="107">
        <f>1-(X12+X13+X14)/X10</f>
        <v>0.19139460862161006</v>
      </c>
      <c r="Y32" s="96">
        <f>1-(Y12+Y13+Y14)/Y10</f>
        <v>0.19508802406893377</v>
      </c>
    </row>
    <row r="33" spans="2:38" x14ac:dyDescent="0.25">
      <c r="B33" t="s">
        <v>48</v>
      </c>
      <c r="G33" s="7">
        <f t="shared" ref="G33:Y33" si="29">G10/C10-1</f>
        <v>0.26385259631490787</v>
      </c>
      <c r="H33" s="7">
        <f t="shared" si="29"/>
        <v>0.40230900258658764</v>
      </c>
      <c r="I33" s="7">
        <f t="shared" si="29"/>
        <v>0.37387290836084075</v>
      </c>
      <c r="J33" s="7">
        <f t="shared" si="29"/>
        <v>0.43594816839553041</v>
      </c>
      <c r="K33" s="7">
        <f t="shared" si="29"/>
        <v>0.43823888034777081</v>
      </c>
      <c r="L33" s="7">
        <f t="shared" si="29"/>
        <v>0.27181932697498645</v>
      </c>
      <c r="M33" s="7">
        <f t="shared" si="29"/>
        <v>0.15255083467679031</v>
      </c>
      <c r="N33" s="7">
        <f t="shared" si="29"/>
        <v>9.4436701047349692E-2</v>
      </c>
      <c r="O33" s="7">
        <f t="shared" si="29"/>
        <v>7.3038574245747334E-2</v>
      </c>
      <c r="P33" s="7">
        <f t="shared" si="29"/>
        <v>7.2108241952600016E-2</v>
      </c>
      <c r="Q33" s="7">
        <f t="shared" si="29"/>
        <v>0.14699671515720314</v>
      </c>
      <c r="R33" s="7">
        <f t="shared" si="29"/>
        <v>8.5814921549791867E-2</v>
      </c>
      <c r="S33" s="7">
        <f t="shared" si="29"/>
        <v>9.3727456975026602E-2</v>
      </c>
      <c r="T33" s="7">
        <f t="shared" si="29"/>
        <v>0.10845967302901816</v>
      </c>
      <c r="U33" s="7">
        <f t="shared" si="29"/>
        <v>0.125742519728405</v>
      </c>
      <c r="V33" s="7">
        <f t="shared" si="29"/>
        <v>0.13911825420230017</v>
      </c>
      <c r="W33" s="7">
        <f t="shared" si="29"/>
        <v>0.12527677884388888</v>
      </c>
      <c r="X33" s="137">
        <f t="shared" si="29"/>
        <v>0.10115862869559389</v>
      </c>
      <c r="Y33" s="99">
        <f t="shared" si="29"/>
        <v>0.11038348371225104</v>
      </c>
      <c r="Z33" s="6"/>
      <c r="AA33" s="6"/>
      <c r="AD33" s="7"/>
      <c r="AE33" s="7">
        <f t="shared" ref="AE33:AL33" si="30">AE10/AD10-1</f>
        <v>0.3093396152159491</v>
      </c>
      <c r="AF33" s="7">
        <f t="shared" si="30"/>
        <v>0.20454125820676983</v>
      </c>
      <c r="AG33" s="7">
        <f t="shared" si="30"/>
        <v>0.37623430604373276</v>
      </c>
      <c r="AH33" s="7">
        <f t="shared" si="30"/>
        <v>0.21695366571345676</v>
      </c>
      <c r="AI33" s="7">
        <f t="shared" si="30"/>
        <v>9.399517263985091E-2</v>
      </c>
      <c r="AJ33" s="99">
        <f t="shared" si="30"/>
        <v>0.1182957412988368</v>
      </c>
      <c r="AK33" s="7">
        <f t="shared" si="30"/>
        <v>0.10921474986299229</v>
      </c>
      <c r="AL33" s="7">
        <f t="shared" si="30"/>
        <v>0.10766045548654235</v>
      </c>
    </row>
    <row r="34" spans="2:38" x14ac:dyDescent="0.25">
      <c r="B34" t="s">
        <v>84</v>
      </c>
      <c r="G34" s="7">
        <f t="shared" ref="G34:W34" si="31">G6/C6-1</f>
        <v>0.32783264033264037</v>
      </c>
      <c r="H34" s="7">
        <f t="shared" si="31"/>
        <v>0.28958358191146649</v>
      </c>
      <c r="I34" s="7">
        <f t="shared" si="31"/>
        <v>0.28971650917176217</v>
      </c>
      <c r="J34" s="7">
        <f t="shared" si="31"/>
        <v>0.28008840667068524</v>
      </c>
      <c r="K34" s="7">
        <f t="shared" si="31"/>
        <v>0.32136216850963883</v>
      </c>
      <c r="L34" s="7">
        <f t="shared" si="31"/>
        <v>0.37018874907475952</v>
      </c>
      <c r="M34" s="7">
        <f t="shared" si="31"/>
        <v>0.3886733902249806</v>
      </c>
      <c r="N34" s="7">
        <f t="shared" si="31"/>
        <v>0.39538533982106427</v>
      </c>
      <c r="O34" s="7">
        <f t="shared" si="31"/>
        <v>0.36569651188624741</v>
      </c>
      <c r="P34" s="7">
        <f t="shared" si="31"/>
        <v>0.33290566547369838</v>
      </c>
      <c r="Q34" s="7">
        <f t="shared" si="31"/>
        <v>0.27486033519553077</v>
      </c>
      <c r="R34" s="7">
        <f t="shared" si="31"/>
        <v>0.20236220472440936</v>
      </c>
      <c r="S34" s="7">
        <f t="shared" si="31"/>
        <v>0.157963234097934</v>
      </c>
      <c r="T34" s="7">
        <f t="shared" si="31"/>
        <v>0.12163736764780375</v>
      </c>
      <c r="U34" s="7">
        <f t="shared" si="31"/>
        <v>0.1227480767358069</v>
      </c>
      <c r="V34" s="7">
        <f t="shared" si="31"/>
        <v>0.13219197305641317</v>
      </c>
      <c r="W34" s="7">
        <f t="shared" si="31"/>
        <v>0.17247354125690739</v>
      </c>
      <c r="X34" s="137">
        <f>X6/T6-1</f>
        <v>0.18703703703703711</v>
      </c>
      <c r="Y34" s="99">
        <f>Y6/U6-1</f>
        <v>0.1905112971074201</v>
      </c>
      <c r="Z34" s="6"/>
      <c r="AA34" s="6"/>
      <c r="AD34" s="7"/>
      <c r="AE34" s="7">
        <f t="shared" ref="AE34:AJ34" si="32">AE6/AD6-1</f>
        <v>0.46944269431238905</v>
      </c>
      <c r="AF34" s="7">
        <f t="shared" si="32"/>
        <v>0.36526992788930035</v>
      </c>
      <c r="AG34" s="7">
        <f t="shared" si="32"/>
        <v>0.29532347399074976</v>
      </c>
      <c r="AH34" s="7">
        <f t="shared" si="32"/>
        <v>0.37099404893101173</v>
      </c>
      <c r="AI34" s="7">
        <f t="shared" si="32"/>
        <v>0.28767563743931057</v>
      </c>
      <c r="AJ34" s="99">
        <f t="shared" si="32"/>
        <v>0.13310277666799841</v>
      </c>
    </row>
    <row r="35" spans="2:38" x14ac:dyDescent="0.25">
      <c r="B35" t="s">
        <v>60</v>
      </c>
      <c r="C35" s="7">
        <f t="shared" ref="C35:X35" si="33">C24/C10</f>
        <v>5.9648241206030149E-2</v>
      </c>
      <c r="D35" s="7">
        <f t="shared" si="33"/>
        <v>4.1401173427544007E-2</v>
      </c>
      <c r="E35" s="7">
        <f t="shared" si="33"/>
        <v>3.0493991226189964E-2</v>
      </c>
      <c r="F35" s="7">
        <f t="shared" si="33"/>
        <v>3.7375481775449755E-2</v>
      </c>
      <c r="G35" s="7">
        <f t="shared" si="33"/>
        <v>3.3597518952446587E-2</v>
      </c>
      <c r="H35" s="7">
        <f t="shared" si="33"/>
        <v>5.896841821126507E-2</v>
      </c>
      <c r="I35" s="7">
        <f t="shared" si="33"/>
        <v>6.5848458058141351E-2</v>
      </c>
      <c r="J35" s="7">
        <f t="shared" si="33"/>
        <v>5.987017641670981E-2</v>
      </c>
      <c r="K35" s="7">
        <f t="shared" si="33"/>
        <v>7.470650030409702E-2</v>
      </c>
      <c r="L35" s="7">
        <f t="shared" si="33"/>
        <v>6.8677042801556426E-2</v>
      </c>
      <c r="M35" s="7">
        <f t="shared" si="33"/>
        <v>2.8516767137133161E-2</v>
      </c>
      <c r="N35" s="7">
        <f t="shared" si="33"/>
        <v>0.10429220155444939</v>
      </c>
      <c r="O35" s="7">
        <f t="shared" si="33"/>
        <v>-3.3002988561025043E-2</v>
      </c>
      <c r="P35" s="7">
        <f t="shared" si="33"/>
        <v>-1.6727980599501788E-2</v>
      </c>
      <c r="Q35" s="7">
        <f t="shared" si="33"/>
        <v>2.2596203019645794E-2</v>
      </c>
      <c r="R35" s="7">
        <f t="shared" si="33"/>
        <v>1.8565185919948526E-3</v>
      </c>
      <c r="S35" s="7">
        <f t="shared" si="33"/>
        <v>2.4906170008951147E-2</v>
      </c>
      <c r="T35" s="7">
        <f t="shared" si="33"/>
        <v>5.0229567728060844E-2</v>
      </c>
      <c r="U35" s="7">
        <f t="shared" si="33"/>
        <v>6.9043841686293975E-2</v>
      </c>
      <c r="V35" s="7">
        <f t="shared" si="33"/>
        <v>6.2579062255458603E-2</v>
      </c>
      <c r="W35" s="7">
        <f t="shared" si="33"/>
        <v>7.2784743882271671E-2</v>
      </c>
      <c r="X35" s="137">
        <f t="shared" si="33"/>
        <v>9.1081722159524786E-2</v>
      </c>
      <c r="Y35" s="99">
        <f t="shared" ref="Y35" si="34">Y24/Y10</f>
        <v>9.6477148989469838E-2</v>
      </c>
      <c r="Z35" s="7"/>
      <c r="AA35" s="7"/>
      <c r="AB35" s="7"/>
      <c r="AC35" s="7"/>
      <c r="AD35" s="7">
        <f t="shared" ref="AD35:AJ35" si="35">AD24/AD10</f>
        <v>1.7052162864178651E-2</v>
      </c>
      <c r="AE35" s="7">
        <f t="shared" si="35"/>
        <v>4.3252736305590261E-2</v>
      </c>
      <c r="AF35" s="7">
        <f t="shared" si="35"/>
        <v>4.1308703060722513E-2</v>
      </c>
      <c r="AG35" s="7">
        <f t="shared" si="35"/>
        <v>5.5211053089643171E-2</v>
      </c>
      <c r="AH35" s="7">
        <f t="shared" si="35"/>
        <v>7.1014128755145567E-2</v>
      </c>
      <c r="AI35" s="7">
        <f t="shared" si="35"/>
        <v>-5.2958950004183018E-3</v>
      </c>
      <c r="AJ35" s="99">
        <f t="shared" si="35"/>
        <v>5.2953713127517246E-2</v>
      </c>
    </row>
    <row r="36" spans="2:38" x14ac:dyDescent="0.25">
      <c r="B36" t="s">
        <v>49</v>
      </c>
      <c r="G36" s="7">
        <f>-(G24/C24-1)</f>
        <v>0.2881213142375737</v>
      </c>
      <c r="H36" s="7">
        <f>-(H24/D24-1)</f>
        <v>-0.9973333333333334</v>
      </c>
      <c r="I36" s="7">
        <f>-(I24/E24-1)</f>
        <v>-1.9667291471415185</v>
      </c>
      <c r="J36" s="7">
        <f>-(J24/F24-1)</f>
        <v>-1.3001835985312118</v>
      </c>
      <c r="K36" s="7">
        <f>K24/G24-1</f>
        <v>2.1980276134122287</v>
      </c>
      <c r="L36" s="7">
        <f t="shared" ref="L36:Y36" si="36">-(L24/H24-1)</f>
        <v>-0.48121304596604997</v>
      </c>
      <c r="M36" s="7">
        <f t="shared" si="36"/>
        <v>0.50086874111514768</v>
      </c>
      <c r="N36" s="7">
        <f t="shared" si="36"/>
        <v>-0.9064786483969669</v>
      </c>
      <c r="O36" s="7">
        <f t="shared" si="36"/>
        <v>1.4740347847539164</v>
      </c>
      <c r="P36" s="7">
        <f t="shared" si="36"/>
        <v>1.2611382951326293</v>
      </c>
      <c r="Q36" s="7">
        <f t="shared" si="36"/>
        <v>9.1139240506329156E-2</v>
      </c>
      <c r="R36" s="7">
        <f t="shared" si="36"/>
        <v>0.9806712720675459</v>
      </c>
      <c r="S36" s="7">
        <f t="shared" si="36"/>
        <v>1.8253968253968254</v>
      </c>
      <c r="T36" s="7">
        <f t="shared" si="36"/>
        <v>4.3284023668639051</v>
      </c>
      <c r="U36" s="7">
        <f t="shared" si="36"/>
        <v>-2.4397632311977717</v>
      </c>
      <c r="V36" s="7">
        <f t="shared" si="36"/>
        <v>-37.397111913357399</v>
      </c>
      <c r="W36" s="7">
        <f t="shared" si="36"/>
        <v>-2.2884615384615383</v>
      </c>
      <c r="X36" s="137">
        <f t="shared" si="36"/>
        <v>-0.9967407407407407</v>
      </c>
      <c r="Y36" s="99">
        <f t="shared" si="36"/>
        <v>-0.55157404595606851</v>
      </c>
      <c r="Z36" s="6"/>
      <c r="AA36" s="6"/>
      <c r="AE36" s="7">
        <f t="shared" ref="AE36:AJ36" si="37">AE24/AD24-1</f>
        <v>2.3211341905703922</v>
      </c>
      <c r="AF36" s="7">
        <f t="shared" si="37"/>
        <v>0.1504020649260398</v>
      </c>
      <c r="AG36" s="7">
        <f t="shared" si="37"/>
        <v>0.83940283051432507</v>
      </c>
      <c r="AH36" s="7">
        <f t="shared" si="37"/>
        <v>0.56528266479005396</v>
      </c>
      <c r="AI36" s="7">
        <f t="shared" si="37"/>
        <v>-1.0815849418534949</v>
      </c>
      <c r="AJ36" s="99">
        <f t="shared" si="37"/>
        <v>-12.181851579720794</v>
      </c>
    </row>
    <row r="37" spans="2:38" x14ac:dyDescent="0.25">
      <c r="B37" t="s">
        <v>50</v>
      </c>
      <c r="G37" s="7">
        <f t="shared" ref="G37:X37" si="38">-G23/G22</f>
        <v>0.25066509015666566</v>
      </c>
      <c r="H37" s="7">
        <f t="shared" si="38"/>
        <v>0.1572094518566147</v>
      </c>
      <c r="I37" s="7">
        <f t="shared" si="38"/>
        <v>7.0201204288441774E-2</v>
      </c>
      <c r="J37" s="7">
        <f t="shared" si="38"/>
        <v>3.1938184159690922E-2</v>
      </c>
      <c r="K37" s="7">
        <f t="shared" si="38"/>
        <v>0.21045968056096612</v>
      </c>
      <c r="L37" s="7">
        <f t="shared" si="38"/>
        <v>0.1005327773917072</v>
      </c>
      <c r="M37" s="7">
        <f t="shared" si="38"/>
        <v>0.26767091541135574</v>
      </c>
      <c r="N37" s="7">
        <f t="shared" si="38"/>
        <v>4.0377661711530732E-2</v>
      </c>
      <c r="O37" s="7">
        <f t="shared" si="38"/>
        <v>0.27008547008547007</v>
      </c>
      <c r="P37" s="7">
        <f t="shared" si="38"/>
        <v>0.23558235959291368</v>
      </c>
      <c r="Q37" s="7">
        <f t="shared" si="38"/>
        <v>2.4456521739130436E-2</v>
      </c>
      <c r="R37" s="7">
        <f t="shared" si="38"/>
        <v>1.287941787941788</v>
      </c>
      <c r="S37" s="7">
        <f t="shared" si="38"/>
        <v>0.22991017237193492</v>
      </c>
      <c r="T37" s="7">
        <f t="shared" si="38"/>
        <v>0.1074970249900833</v>
      </c>
      <c r="U37" s="7">
        <f t="shared" si="38"/>
        <v>0.18951513659857247</v>
      </c>
      <c r="V37" s="7">
        <f t="shared" si="38"/>
        <v>0.2228554727458717</v>
      </c>
      <c r="W37" s="7">
        <f t="shared" si="38"/>
        <v>0.19656473850419778</v>
      </c>
      <c r="X37" s="137">
        <f t="shared" si="38"/>
        <v>0.11590685470646113</v>
      </c>
      <c r="Y37" s="99">
        <f t="shared" ref="Y37" si="39">-Y23/Y22</f>
        <v>0.15019127349337472</v>
      </c>
      <c r="Z37" s="6"/>
      <c r="AA37" s="6"/>
      <c r="AD37" s="7"/>
      <c r="AE37" s="7">
        <f t="shared" ref="AE37:AJ37" si="40">-AE23/AE22</f>
        <v>0.10549684752686263</v>
      </c>
      <c r="AF37" s="7">
        <f t="shared" si="40"/>
        <v>0.1708643388666285</v>
      </c>
      <c r="AG37" s="7">
        <f t="shared" si="40"/>
        <v>0.1184134337000579</v>
      </c>
      <c r="AH37" s="7">
        <f t="shared" si="40"/>
        <v>0.12547508584309716</v>
      </c>
      <c r="AI37" s="7">
        <f t="shared" si="40"/>
        <v>0.5414420485175202</v>
      </c>
      <c r="AJ37" s="99">
        <f t="shared" si="40"/>
        <v>0.18957850733551668</v>
      </c>
    </row>
    <row r="38" spans="2:38" x14ac:dyDescent="0.25">
      <c r="B38" t="s">
        <v>252</v>
      </c>
      <c r="C38" s="12">
        <f>C15/C10</f>
        <v>6.137353433835846E-2</v>
      </c>
      <c r="D38" s="12">
        <f t="shared" ref="D38:X38" si="41">D15/D10</f>
        <v>6.767711816289193E-2</v>
      </c>
      <c r="E38" s="12">
        <f t="shared" si="41"/>
        <v>6.7904145410897246E-2</v>
      </c>
      <c r="F38" s="12">
        <f t="shared" si="41"/>
        <v>7.0576529386872838E-2</v>
      </c>
      <c r="G38" s="12">
        <f t="shared" si="41"/>
        <v>6.3987700789906163E-2</v>
      </c>
      <c r="H38" s="12">
        <f t="shared" si="41"/>
        <v>4.8868544178513586E-2</v>
      </c>
      <c r="I38" s="12">
        <f t="shared" si="41"/>
        <v>5.6518799729575124E-2</v>
      </c>
      <c r="J38" s="12">
        <f t="shared" si="41"/>
        <v>5.8946278523356301E-2</v>
      </c>
      <c r="K38" s="12">
        <f t="shared" si="41"/>
        <v>5.7197884221972389E-2</v>
      </c>
      <c r="L38" s="12">
        <f t="shared" si="41"/>
        <v>6.6536964980544747E-2</v>
      </c>
      <c r="M38" s="12">
        <f t="shared" si="41"/>
        <v>7.2284590116593869E-2</v>
      </c>
      <c r="N38" s="12">
        <f t="shared" si="41"/>
        <v>7.8668529677175206E-2</v>
      </c>
      <c r="O38" s="12">
        <f t="shared" si="41"/>
        <v>7.1450654391810656E-2</v>
      </c>
      <c r="P38" s="12">
        <f t="shared" si="41"/>
        <v>8.3194483395747074E-2</v>
      </c>
      <c r="Q38" s="12">
        <f t="shared" si="41"/>
        <v>8.6655494449296225E-2</v>
      </c>
      <c r="R38" s="12">
        <f t="shared" si="41"/>
        <v>8.5909224953754595E-2</v>
      </c>
      <c r="S38" s="12">
        <f t="shared" si="41"/>
        <v>7.9869344681920251E-2</v>
      </c>
      <c r="T38" s="12">
        <f t="shared" si="41"/>
        <v>7.9958030405631667E-2</v>
      </c>
      <c r="U38" s="12">
        <f t="shared" si="41"/>
        <v>7.3740416401668965E-2</v>
      </c>
      <c r="V38" s="12">
        <f t="shared" si="41"/>
        <v>7.5911532645724603E-2</v>
      </c>
      <c r="W38" s="107">
        <f t="shared" si="41"/>
        <v>6.7418866397326138E-2</v>
      </c>
      <c r="X38" s="107">
        <f t="shared" si="41"/>
        <v>7.1038066726585886E-2</v>
      </c>
      <c r="Y38" s="96">
        <f t="shared" ref="Y38" si="42">Y15/Y10</f>
        <v>6.6774926515480532E-2</v>
      </c>
      <c r="Z38" s="6"/>
      <c r="AA38" s="6"/>
      <c r="AD38" s="12">
        <f t="shared" ref="AD38:AJ38" si="43">AD15/AD10</f>
        <v>5.6610032271485276E-2</v>
      </c>
      <c r="AE38" s="12">
        <f t="shared" si="43"/>
        <v>5.9316320790769775E-2</v>
      </c>
      <c r="AF38" s="12">
        <f t="shared" si="43"/>
        <v>6.7295969656568824E-2</v>
      </c>
      <c r="AG38" s="12">
        <f t="shared" si="43"/>
        <v>5.7006092254134028E-2</v>
      </c>
      <c r="AH38" s="12">
        <f t="shared" si="43"/>
        <v>6.9283686161993263E-2</v>
      </c>
      <c r="AI38" s="12">
        <f t="shared" si="43"/>
        <v>8.2177815219569517E-2</v>
      </c>
      <c r="AJ38" s="96">
        <f t="shared" si="43"/>
        <v>7.7194081265168718E-2</v>
      </c>
    </row>
    <row r="39" spans="2:38" x14ac:dyDescent="0.25">
      <c r="B39" t="s">
        <v>253</v>
      </c>
      <c r="C39" s="12">
        <f>C16/C10</f>
        <v>1.9648241206030152E-2</v>
      </c>
      <c r="D39" s="12">
        <f t="shared" ref="D39:X39" si="44">D16/D10</f>
        <v>2.0030282001135574E-2</v>
      </c>
      <c r="E39" s="12">
        <f t="shared" si="44"/>
        <v>1.9262371215044084E-2</v>
      </c>
      <c r="F39" s="12">
        <f t="shared" si="44"/>
        <v>1.6148769971522352E-2</v>
      </c>
      <c r="G39" s="12">
        <f t="shared" si="44"/>
        <v>1.924402268992207E-2</v>
      </c>
      <c r="H39" s="12">
        <f t="shared" si="44"/>
        <v>1.7770379701277667E-2</v>
      </c>
      <c r="I39" s="12">
        <f t="shared" si="44"/>
        <v>1.7348796089240209E-2</v>
      </c>
      <c r="J39" s="12">
        <f t="shared" si="44"/>
        <v>1.5674405638963003E-2</v>
      </c>
      <c r="K39" s="12">
        <f t="shared" si="44"/>
        <v>1.8310326397464015E-2</v>
      </c>
      <c r="L39" s="12">
        <f t="shared" si="44"/>
        <v>1.9083834453484258E-2</v>
      </c>
      <c r="M39" s="12">
        <f t="shared" si="44"/>
        <v>1.9429303685521423E-2</v>
      </c>
      <c r="N39" s="12">
        <f t="shared" si="44"/>
        <v>1.8375396617471545E-2</v>
      </c>
      <c r="O39" s="12">
        <f t="shared" si="44"/>
        <v>2.2276802583215967E-2</v>
      </c>
      <c r="P39" s="12">
        <f t="shared" si="44"/>
        <v>2.3945427850273027E-2</v>
      </c>
      <c r="Q39" s="12">
        <f t="shared" si="44"/>
        <v>2.4083209416133625E-2</v>
      </c>
      <c r="R39" s="12">
        <f t="shared" si="44"/>
        <v>2.2338543202595106E-2</v>
      </c>
      <c r="S39" s="12">
        <f t="shared" si="44"/>
        <v>2.3893277218549287E-2</v>
      </c>
      <c r="T39" s="12">
        <f t="shared" si="44"/>
        <v>2.3827418646703825E-2</v>
      </c>
      <c r="U39" s="12">
        <f t="shared" si="44"/>
        <v>1.7898702151897851E-2</v>
      </c>
      <c r="V39" s="12">
        <f t="shared" si="44"/>
        <v>1.7709945222727567E-2</v>
      </c>
      <c r="W39" s="107">
        <f t="shared" si="44"/>
        <v>1.9132946766866929E-2</v>
      </c>
      <c r="X39" s="107">
        <f t="shared" si="44"/>
        <v>2.0550490954675388E-2</v>
      </c>
      <c r="Y39" s="96">
        <f t="shared" ref="Y39" si="45">Y16/Y10</f>
        <v>1.7076102897209792E-2</v>
      </c>
      <c r="Z39" s="6"/>
      <c r="AA39" s="6"/>
      <c r="AD39" s="12">
        <f t="shared" ref="AD39:AJ39" si="46">AD16/AD10</f>
        <v>2.0655999460267842E-2</v>
      </c>
      <c r="AE39" s="12">
        <f t="shared" si="46"/>
        <v>1.8618471619283171E-2</v>
      </c>
      <c r="AF39" s="12">
        <f t="shared" si="46"/>
        <v>1.8547564896870834E-2</v>
      </c>
      <c r="AG39" s="12">
        <f t="shared" si="46"/>
        <v>1.7271747689502258E-2</v>
      </c>
      <c r="AH39" s="12">
        <f t="shared" si="46"/>
        <v>1.8779452643767215E-2</v>
      </c>
      <c r="AI39" s="12">
        <f t="shared" si="46"/>
        <v>2.3135006410717866E-2</v>
      </c>
      <c r="AJ39" s="96">
        <f t="shared" si="46"/>
        <v>2.0557251841993092E-2</v>
      </c>
    </row>
    <row r="40" spans="2:38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38"/>
      <c r="Y40" s="110"/>
      <c r="Z40" s="6"/>
      <c r="AA40" s="6"/>
      <c r="AD40" s="7"/>
      <c r="AE40" s="7"/>
      <c r="AF40" s="7"/>
      <c r="AG40" s="7"/>
      <c r="AH40" s="7"/>
      <c r="AI40" s="7"/>
      <c r="AJ40" s="99"/>
    </row>
    <row r="41" spans="2:38" x14ac:dyDescent="0.25">
      <c r="B41" t="s">
        <v>119</v>
      </c>
      <c r="C41" s="6">
        <f t="shared" ref="C41:X41" si="47">C27/SUM(C25:C27)</f>
        <v>0.50294117647058822</v>
      </c>
      <c r="D41" s="6">
        <f t="shared" si="47"/>
        <v>0.6877431906614786</v>
      </c>
      <c r="E41" s="6">
        <f t="shared" si="47"/>
        <v>0.71618625277161863</v>
      </c>
      <c r="F41" s="6">
        <f t="shared" si="47"/>
        <v>0.66907216494845356</v>
      </c>
      <c r="G41" s="7">
        <f t="shared" si="47"/>
        <v>0.77086989220355984</v>
      </c>
      <c r="H41" s="7">
        <f t="shared" si="47"/>
        <v>0.57453362998459701</v>
      </c>
      <c r="I41" s="7">
        <f t="shared" si="47"/>
        <v>0.57071359380045206</v>
      </c>
      <c r="J41" s="7">
        <f t="shared" si="47"/>
        <v>0.51855085115670008</v>
      </c>
      <c r="K41" s="7">
        <f t="shared" si="47"/>
        <v>0.46959954878736604</v>
      </c>
      <c r="L41" s="7">
        <f t="shared" si="47"/>
        <v>0.54440405089587118</v>
      </c>
      <c r="M41" s="7">
        <f t="shared" si="47"/>
        <v>1.0063891178895301</v>
      </c>
      <c r="N41" s="7">
        <f t="shared" si="47"/>
        <v>1.5297687861271676</v>
      </c>
      <c r="O41" s="7">
        <f t="shared" si="47"/>
        <v>1.7765058599073318</v>
      </c>
      <c r="P41" s="7">
        <f t="shared" si="47"/>
        <v>1.7229424178474526</v>
      </c>
      <c r="Q41" s="7">
        <f t="shared" si="47"/>
        <v>2.1398019801980199</v>
      </c>
      <c r="R41" s="7">
        <f t="shared" si="47"/>
        <v>1.9017172086225795</v>
      </c>
      <c r="S41" s="7">
        <f t="shared" si="47"/>
        <v>1.073104315039799</v>
      </c>
      <c r="T41" s="7">
        <f t="shared" si="47"/>
        <v>0.69847676083843246</v>
      </c>
      <c r="U41" s="7">
        <f t="shared" si="47"/>
        <v>0.62352520557740432</v>
      </c>
      <c r="V41" s="7">
        <f t="shared" si="47"/>
        <v>0.54258460140813081</v>
      </c>
      <c r="W41" s="7">
        <f t="shared" si="47"/>
        <v>0.61547004638400726</v>
      </c>
      <c r="X41" s="137">
        <f t="shared" si="47"/>
        <v>0.63617775354416572</v>
      </c>
      <c r="Y41" s="99">
        <f t="shared" ref="Y41" si="48">Y27/SUM(Y25:Y27)</f>
        <v>0.60002297398196547</v>
      </c>
      <c r="Z41" s="6"/>
      <c r="AA41" s="6"/>
      <c r="AD41" s="7">
        <f t="shared" ref="AD41:AJ41" si="49">AD27/SUM(AD25:AD27)</f>
        <v>1.0547978567949343</v>
      </c>
      <c r="AE41" s="7">
        <f t="shared" si="49"/>
        <v>0.58739231945898074</v>
      </c>
      <c r="AF41" s="7">
        <f t="shared" si="49"/>
        <v>0.63276253352589229</v>
      </c>
      <c r="AG41" s="7">
        <f t="shared" si="49"/>
        <v>0.59089916590244118</v>
      </c>
      <c r="AH41" s="7">
        <f t="shared" si="49"/>
        <v>0.74488524458378558</v>
      </c>
      <c r="AI41" s="7">
        <f t="shared" si="49"/>
        <v>1.8648758981058131</v>
      </c>
      <c r="AJ41" s="99">
        <f t="shared" si="49"/>
        <v>0.668376207532834</v>
      </c>
    </row>
    <row r="42" spans="2:38" s="4" customFormat="1" x14ac:dyDescent="0.25">
      <c r="B42" s="4" t="s">
        <v>52</v>
      </c>
      <c r="C42" s="4" t="s">
        <v>53</v>
      </c>
      <c r="X42" s="131"/>
      <c r="Y42" s="102"/>
      <c r="AJ42" s="102"/>
    </row>
    <row r="44" spans="2:38" x14ac:dyDescent="0.25">
      <c r="B44" t="s">
        <v>56</v>
      </c>
      <c r="C44" s="7">
        <f t="shared" ref="C44:X44" si="50">C4/SUM(C$4:C$6)</f>
        <v>0.59986599664991624</v>
      </c>
      <c r="D44" s="7">
        <f t="shared" si="50"/>
        <v>0.60963030723613654</v>
      </c>
      <c r="E44" s="7">
        <f t="shared" si="50"/>
        <v>0.6092796616224404</v>
      </c>
      <c r="F44" s="7">
        <f t="shared" si="50"/>
        <v>0.61363662368273508</v>
      </c>
      <c r="G44" s="7">
        <f t="shared" si="50"/>
        <v>0.61134231034299957</v>
      </c>
      <c r="H44" s="7">
        <f t="shared" si="50"/>
        <v>0.62349289184811951</v>
      </c>
      <c r="I44" s="7">
        <f t="shared" si="50"/>
        <v>0.61753601331322483</v>
      </c>
      <c r="J44" s="7">
        <f t="shared" si="50"/>
        <v>0.60010354028115165</v>
      </c>
      <c r="K44" s="7">
        <f t="shared" si="50"/>
        <v>0.59302411326598337</v>
      </c>
      <c r="L44" s="7">
        <f t="shared" si="50"/>
        <v>0.59736469755925004</v>
      </c>
      <c r="M44" s="7">
        <f t="shared" si="50"/>
        <v>0.5916056022813414</v>
      </c>
      <c r="N44" s="7">
        <f t="shared" si="50"/>
        <v>0.59945286011553967</v>
      </c>
      <c r="O44" s="7">
        <f t="shared" si="50"/>
        <v>0.59465494143107411</v>
      </c>
      <c r="P44" s="7">
        <f t="shared" si="50"/>
        <v>0.61393668442846061</v>
      </c>
      <c r="Q44" s="7">
        <f t="shared" si="50"/>
        <v>0.62031770009677345</v>
      </c>
      <c r="R44" s="7">
        <f t="shared" si="50"/>
        <v>0.62574059676684268</v>
      </c>
      <c r="S44" s="7">
        <f t="shared" si="50"/>
        <v>0.60366054743321973</v>
      </c>
      <c r="T44" s="7">
        <f t="shared" si="50"/>
        <v>0.61425924410081634</v>
      </c>
      <c r="U44" s="7">
        <f t="shared" si="50"/>
        <v>0.61423788989607431</v>
      </c>
      <c r="V44" s="7">
        <f t="shared" si="50"/>
        <v>0.62081301004348055</v>
      </c>
      <c r="W44" s="7">
        <f t="shared" si="50"/>
        <v>0.60246453566668756</v>
      </c>
      <c r="X44" s="137">
        <f t="shared" si="50"/>
        <v>0.60842563371334735</v>
      </c>
      <c r="Y44" s="99">
        <f t="shared" ref="Y44" si="51">Y4/SUM(Y$4:Y$6)</f>
        <v>0.60132681256569542</v>
      </c>
      <c r="Z44" s="7"/>
      <c r="AA44" s="7"/>
      <c r="AB44" s="7"/>
      <c r="AC44" s="7"/>
      <c r="AD44" s="7"/>
      <c r="AE44" s="7">
        <f t="shared" ref="AE44:AJ46" si="52">AE4/SUM(AE$4:AE$6)</f>
        <v>0.6070154194952917</v>
      </c>
      <c r="AF44" s="7">
        <f t="shared" si="52"/>
        <v>0.60871285857916013</v>
      </c>
      <c r="AG44" s="7">
        <f t="shared" si="52"/>
        <v>0.61202805752414102</v>
      </c>
      <c r="AH44" s="7">
        <f t="shared" si="52"/>
        <v>0.59561493501794294</v>
      </c>
      <c r="AI44" s="7">
        <f t="shared" si="52"/>
        <v>0.61457285552245888</v>
      </c>
      <c r="AJ44" s="99">
        <f t="shared" si="52"/>
        <v>0.61384343711126765</v>
      </c>
    </row>
    <row r="45" spans="2:38" x14ac:dyDescent="0.25">
      <c r="B45" t="s">
        <v>57</v>
      </c>
      <c r="C45" s="7">
        <f t="shared" ref="C45:X45" si="53">C5/SUM(C$4:C$6)</f>
        <v>0.27122278056951421</v>
      </c>
      <c r="D45" s="7">
        <f t="shared" si="53"/>
        <v>0.25818560343196012</v>
      </c>
      <c r="E45" s="7">
        <f t="shared" si="53"/>
        <v>0.26218545033651991</v>
      </c>
      <c r="F45" s="7">
        <f t="shared" si="53"/>
        <v>0.2724693067267755</v>
      </c>
      <c r="G45" s="7">
        <f t="shared" si="53"/>
        <v>0.25322059057413987</v>
      </c>
      <c r="H45" s="7">
        <f t="shared" si="53"/>
        <v>0.25494871333453301</v>
      </c>
      <c r="I45" s="7">
        <f t="shared" si="53"/>
        <v>0.26180248582869625</v>
      </c>
      <c r="J45" s="7">
        <f t="shared" si="53"/>
        <v>0.2984110549161722</v>
      </c>
      <c r="K45" s="7">
        <f t="shared" si="53"/>
        <v>0.28251050807462574</v>
      </c>
      <c r="L45" s="7">
        <f t="shared" si="53"/>
        <v>0.27167492041032898</v>
      </c>
      <c r="M45" s="7">
        <f t="shared" si="53"/>
        <v>0.26301303107966645</v>
      </c>
      <c r="N45" s="7">
        <f t="shared" si="53"/>
        <v>0.27118348103199896</v>
      </c>
      <c r="O45" s="7">
        <f t="shared" si="53"/>
        <v>0.24697708769880802</v>
      </c>
      <c r="P45" s="7">
        <f t="shared" si="53"/>
        <v>0.223245954105284</v>
      </c>
      <c r="Q45" s="7">
        <f t="shared" si="53"/>
        <v>0.21809427148488211</v>
      </c>
      <c r="R45" s="7">
        <f t="shared" si="53"/>
        <v>0.23097906222353287</v>
      </c>
      <c r="S45" s="7">
        <f t="shared" si="53"/>
        <v>0.22867036228583992</v>
      </c>
      <c r="T45" s="7">
        <f t="shared" si="53"/>
        <v>0.22098777375114412</v>
      </c>
      <c r="U45" s="7">
        <f t="shared" si="53"/>
        <v>0.22460390123215196</v>
      </c>
      <c r="V45" s="7">
        <f t="shared" si="53"/>
        <v>0.23677784903595531</v>
      </c>
      <c r="W45" s="7">
        <f t="shared" si="53"/>
        <v>0.22283393690732872</v>
      </c>
      <c r="X45" s="137">
        <f t="shared" si="53"/>
        <v>0.21397244166323146</v>
      </c>
      <c r="Y45" s="99">
        <f t="shared" ref="Y45" si="54">Y5/SUM(Y$4:Y$6)</f>
        <v>0.22588543338557501</v>
      </c>
      <c r="Z45" s="7"/>
      <c r="AA45" s="7"/>
      <c r="AB45" s="7"/>
      <c r="AC45" s="7"/>
      <c r="AD45" s="7"/>
      <c r="AE45" s="7">
        <f t="shared" si="52"/>
        <v>0.28282385878129734</v>
      </c>
      <c r="AF45" s="7">
        <f t="shared" si="52"/>
        <v>0.26640925264366339</v>
      </c>
      <c r="AG45" s="7">
        <f t="shared" si="52"/>
        <v>0.27045256744995649</v>
      </c>
      <c r="AH45" s="7">
        <f t="shared" si="52"/>
        <v>0.27199024311334929</v>
      </c>
      <c r="AI45" s="7">
        <f t="shared" si="52"/>
        <v>0.22959319666214642</v>
      </c>
      <c r="AJ45" s="99">
        <f t="shared" si="52"/>
        <v>0.22825926215889419</v>
      </c>
    </row>
    <row r="46" spans="2:38" x14ac:dyDescent="0.25">
      <c r="B46" t="s">
        <v>58</v>
      </c>
      <c r="C46" s="7">
        <f t="shared" ref="C46:X46" si="55">C6/SUM(C$4:C$6)</f>
        <v>0.12891122278056952</v>
      </c>
      <c r="D46" s="7">
        <f t="shared" si="55"/>
        <v>0.13218408933190334</v>
      </c>
      <c r="E46" s="7">
        <f t="shared" si="55"/>
        <v>0.12853488804103971</v>
      </c>
      <c r="F46" s="7">
        <f t="shared" si="55"/>
        <v>0.11389406959048938</v>
      </c>
      <c r="G46" s="7">
        <f t="shared" si="55"/>
        <v>0.13543709908286064</v>
      </c>
      <c r="H46" s="7">
        <f t="shared" si="55"/>
        <v>0.1215583948173475</v>
      </c>
      <c r="I46" s="7">
        <f t="shared" si="55"/>
        <v>0.12066150085807895</v>
      </c>
      <c r="J46" s="7">
        <f t="shared" si="55"/>
        <v>0.10148540480267612</v>
      </c>
      <c r="K46" s="7">
        <f t="shared" si="55"/>
        <v>0.1244653786593909</v>
      </c>
      <c r="L46" s="7">
        <f t="shared" si="55"/>
        <v>0.13096038203042093</v>
      </c>
      <c r="M46" s="7">
        <f t="shared" si="55"/>
        <v>0.14538136663899218</v>
      </c>
      <c r="N46" s="7">
        <f t="shared" si="55"/>
        <v>0.1293636588524614</v>
      </c>
      <c r="O46" s="7">
        <f t="shared" si="55"/>
        <v>0.15836797087011784</v>
      </c>
      <c r="P46" s="7">
        <f t="shared" si="55"/>
        <v>0.16281736146625533</v>
      </c>
      <c r="Q46" s="7">
        <f t="shared" si="55"/>
        <v>0.16158802841834446</v>
      </c>
      <c r="R46" s="7">
        <f t="shared" si="55"/>
        <v>0.14328034100962442</v>
      </c>
      <c r="S46" s="7">
        <f t="shared" si="55"/>
        <v>0.16766909028094035</v>
      </c>
      <c r="T46" s="7">
        <f t="shared" si="55"/>
        <v>0.16475298214803955</v>
      </c>
      <c r="U46" s="7">
        <f t="shared" si="55"/>
        <v>0.16115820887177373</v>
      </c>
      <c r="V46" s="7">
        <f t="shared" si="55"/>
        <v>0.14240914092056414</v>
      </c>
      <c r="W46" s="7">
        <f t="shared" si="55"/>
        <v>0.17470152742598369</v>
      </c>
      <c r="X46" s="137">
        <f t="shared" si="55"/>
        <v>0.1776019246234212</v>
      </c>
      <c r="Y46" s="99">
        <f t="shared" ref="Y46" si="56">Y6/SUM(Y$4:Y$6)</f>
        <v>0.17278775404872951</v>
      </c>
      <c r="Z46" s="7"/>
      <c r="AA46" s="7"/>
      <c r="AB46" s="7"/>
      <c r="AC46" s="7"/>
      <c r="AD46" s="7"/>
      <c r="AE46" s="7">
        <f t="shared" si="52"/>
        <v>0.11016072172341093</v>
      </c>
      <c r="AF46" s="7">
        <f t="shared" si="52"/>
        <v>0.12487788877717643</v>
      </c>
      <c r="AG46" s="7">
        <f t="shared" si="52"/>
        <v>0.11751937502590244</v>
      </c>
      <c r="AH46" s="7">
        <f t="shared" si="52"/>
        <v>0.13239482186870771</v>
      </c>
      <c r="AI46" s="7">
        <f t="shared" si="52"/>
        <v>0.15583394781539467</v>
      </c>
      <c r="AJ46" s="99">
        <f t="shared" si="52"/>
        <v>0.15789730072983812</v>
      </c>
    </row>
    <row r="47" spans="2:38" x14ac:dyDescent="0.25">
      <c r="B47" t="s">
        <v>61</v>
      </c>
      <c r="C47" s="7">
        <f t="shared" ref="C47:X47" si="57">C25/C4</f>
        <v>6.3861275550094937E-2</v>
      </c>
      <c r="D47" s="7">
        <f t="shared" si="57"/>
        <v>4.0462577290249137E-2</v>
      </c>
      <c r="E47" s="7">
        <f t="shared" si="57"/>
        <v>3.0067076316900417E-2</v>
      </c>
      <c r="F47" s="7">
        <f t="shared" si="57"/>
        <v>3.5427932127540557E-2</v>
      </c>
      <c r="G47" s="7">
        <f t="shared" si="57"/>
        <v>2.8443211134476554E-2</v>
      </c>
      <c r="H47" s="7">
        <f t="shared" si="57"/>
        <v>3.8621112634389207E-2</v>
      </c>
      <c r="I47" s="7">
        <f t="shared" si="57"/>
        <v>3.7929698684587274E-2</v>
      </c>
      <c r="J47" s="7">
        <f t="shared" si="57"/>
        <v>3.9099620417805854E-2</v>
      </c>
      <c r="K47" s="7">
        <f t="shared" si="57"/>
        <v>5.3624720218851035E-2</v>
      </c>
      <c r="L47" s="7">
        <f t="shared" si="57"/>
        <v>4.6587712805329383E-2</v>
      </c>
      <c r="M47" s="7">
        <f t="shared" si="57"/>
        <v>1.3423433043000747E-2</v>
      </c>
      <c r="N47" s="7">
        <f t="shared" si="57"/>
        <v>-2.5003034348828742E-3</v>
      </c>
      <c r="O47" s="7">
        <f t="shared" si="57"/>
        <v>-2.2644561261625555E-2</v>
      </c>
      <c r="P47" s="7">
        <f t="shared" si="57"/>
        <v>-8.4240225715437322E-3</v>
      </c>
      <c r="Q47" s="7">
        <f t="shared" si="57"/>
        <v>-5.2255748766536023E-3</v>
      </c>
      <c r="R47" s="7">
        <f t="shared" si="57"/>
        <v>-2.5706114842068057E-3</v>
      </c>
      <c r="S47" s="7">
        <f t="shared" si="57"/>
        <v>1.1680389172877564E-2</v>
      </c>
      <c r="T47" s="7">
        <f t="shared" si="57"/>
        <v>3.8899522690378698E-2</v>
      </c>
      <c r="U47" s="7">
        <f t="shared" si="57"/>
        <v>4.9006110118675117E-2</v>
      </c>
      <c r="V47" s="7">
        <f t="shared" si="57"/>
        <v>6.1233580377959326E-2</v>
      </c>
      <c r="W47" s="7">
        <f t="shared" si="57"/>
        <v>5.7713021623562386E-2</v>
      </c>
      <c r="X47" s="137">
        <f t="shared" si="57"/>
        <v>5.6257150156053891E-2</v>
      </c>
      <c r="Y47" s="99">
        <f t="shared" ref="Y47" si="58">Y25/Y4</f>
        <v>5.9275463956372926E-2</v>
      </c>
      <c r="Z47" s="7"/>
      <c r="AA47" s="7"/>
      <c r="AB47" s="7"/>
      <c r="AC47" s="7"/>
      <c r="AD47" s="7"/>
      <c r="AE47" s="7">
        <f t="shared" ref="AE47:AJ49" si="59">AE25/AE4</f>
        <v>5.1405571353790869E-2</v>
      </c>
      <c r="AF47" s="7">
        <f t="shared" si="59"/>
        <v>4.1192973824626757E-2</v>
      </c>
      <c r="AG47" s="7">
        <f t="shared" si="59"/>
        <v>3.6613030192735797E-2</v>
      </c>
      <c r="AH47" s="7">
        <f t="shared" si="59"/>
        <v>2.5983354357777676E-2</v>
      </c>
      <c r="AI47" s="7">
        <f t="shared" si="59"/>
        <v>-9.0129162973280989E-3</v>
      </c>
      <c r="AJ47" s="99">
        <f t="shared" si="59"/>
        <v>4.2165020916707291E-2</v>
      </c>
    </row>
    <row r="48" spans="2:38" x14ac:dyDescent="0.25">
      <c r="B48" t="s">
        <v>62</v>
      </c>
      <c r="C48" s="7">
        <f t="shared" ref="C48:X48" si="60">C26/C5</f>
        <v>-5.558300395256917E-3</v>
      </c>
      <c r="D48" s="7">
        <f t="shared" si="60"/>
        <v>-3.6713500305436776E-2</v>
      </c>
      <c r="E48" s="7">
        <f t="shared" si="60"/>
        <v>-2.10377152823196E-2</v>
      </c>
      <c r="F48" s="7">
        <f t="shared" si="60"/>
        <v>-2.5868223239407045E-2</v>
      </c>
      <c r="G48" s="7">
        <f t="shared" si="60"/>
        <v>-2.0831152517533758E-2</v>
      </c>
      <c r="H48" s="7">
        <f t="shared" si="60"/>
        <v>1.5219692959237693E-2</v>
      </c>
      <c r="I48" s="7">
        <f t="shared" si="60"/>
        <v>1.6169401295141234E-2</v>
      </c>
      <c r="J48" s="7">
        <f t="shared" si="60"/>
        <v>9.6885259027944589E-3</v>
      </c>
      <c r="K48" s="7">
        <f t="shared" si="60"/>
        <v>4.084961988971908E-2</v>
      </c>
      <c r="L48" s="7">
        <f t="shared" si="60"/>
        <v>1.178347059015006E-2</v>
      </c>
      <c r="M48" s="7">
        <f t="shared" si="60"/>
        <v>-3.1257505575570423E-2</v>
      </c>
      <c r="N48" s="7">
        <f t="shared" si="60"/>
        <v>-4.3652071259927025E-2</v>
      </c>
      <c r="O48" s="7">
        <f t="shared" si="60"/>
        <v>-4.4542577975590247E-2</v>
      </c>
      <c r="P48" s="7">
        <f t="shared" si="60"/>
        <v>-6.5435063735451687E-2</v>
      </c>
      <c r="Q48" s="7">
        <f t="shared" si="60"/>
        <v>-8.8961038961038963E-2</v>
      </c>
      <c r="R48" s="7">
        <f t="shared" si="60"/>
        <v>-6.4649043902155937E-2</v>
      </c>
      <c r="S48" s="7">
        <f t="shared" si="60"/>
        <v>-4.2818390962469526E-2</v>
      </c>
      <c r="T48" s="7">
        <f t="shared" si="60"/>
        <v>-3.0137724349260868E-2</v>
      </c>
      <c r="U48" s="7">
        <f t="shared" si="60"/>
        <v>-2.9560942216137163E-3</v>
      </c>
      <c r="V48" s="7">
        <f t="shared" si="60"/>
        <v>-1.0411748627090425E-2</v>
      </c>
      <c r="W48" s="7">
        <f t="shared" si="60"/>
        <v>2.8276186002818223E-2</v>
      </c>
      <c r="X48" s="137">
        <f t="shared" si="60"/>
        <v>8.6220509743233434E-3</v>
      </c>
      <c r="Y48" s="99">
        <f t="shared" ref="Y48" si="61">Y26/Y5</f>
        <v>3.625167186803388E-2</v>
      </c>
      <c r="Z48" s="7"/>
      <c r="AA48" s="7"/>
      <c r="AB48" s="7"/>
      <c r="AC48" s="7"/>
      <c r="AD48" s="7"/>
      <c r="AE48" s="7">
        <f t="shared" si="59"/>
        <v>-3.2520572070567515E-2</v>
      </c>
      <c r="AF48" s="7">
        <f t="shared" si="59"/>
        <v>-2.2657013235549965E-2</v>
      </c>
      <c r="AG48" s="7">
        <f t="shared" si="59"/>
        <v>6.8670267785312031E-3</v>
      </c>
      <c r="AH48" s="7">
        <f t="shared" si="59"/>
        <v>-7.2307824739605746E-3</v>
      </c>
      <c r="AI48" s="7">
        <f t="shared" si="59"/>
        <v>-6.5640173887989692E-2</v>
      </c>
      <c r="AJ48" s="99">
        <f t="shared" si="59"/>
        <v>-2.0243902439024391E-2</v>
      </c>
    </row>
    <row r="49" spans="2:36" x14ac:dyDescent="0.25">
      <c r="B49" t="s">
        <v>63</v>
      </c>
      <c r="C49" s="7">
        <f t="shared" ref="C49:X49" si="62">C27/C6</f>
        <v>0.28885135135135137</v>
      </c>
      <c r="D49" s="7">
        <f t="shared" si="62"/>
        <v>0.25307242572485383</v>
      </c>
      <c r="E49" s="7">
        <f t="shared" si="62"/>
        <v>0.25136186770428015</v>
      </c>
      <c r="F49" s="7">
        <f t="shared" si="62"/>
        <v>0.26079967852119751</v>
      </c>
      <c r="G49" s="7">
        <f t="shared" si="62"/>
        <v>0.30091006947842253</v>
      </c>
      <c r="H49" s="7">
        <f t="shared" si="62"/>
        <v>0.31060325684678014</v>
      </c>
      <c r="I49" s="7">
        <f t="shared" si="62"/>
        <v>0.30471511076631325</v>
      </c>
      <c r="J49" s="7">
        <f t="shared" si="62"/>
        <v>0.27970491288651705</v>
      </c>
      <c r="K49" s="7">
        <f t="shared" si="62"/>
        <v>0.30830185884618233</v>
      </c>
      <c r="L49" s="7">
        <f t="shared" si="62"/>
        <v>0.28313863191302585</v>
      </c>
      <c r="M49" s="7">
        <f t="shared" si="62"/>
        <v>0.3031036623215394</v>
      </c>
      <c r="N49" s="7">
        <f t="shared" si="62"/>
        <v>0.29769403824521934</v>
      </c>
      <c r="O49" s="7">
        <f t="shared" si="62"/>
        <v>0.35345154818068436</v>
      </c>
      <c r="P49" s="7">
        <f t="shared" si="62"/>
        <v>0.28952834490095747</v>
      </c>
      <c r="Q49" s="7">
        <f t="shared" si="62"/>
        <v>0.26307332749050538</v>
      </c>
      <c r="R49" s="7">
        <f t="shared" si="62"/>
        <v>0.24347460005613247</v>
      </c>
      <c r="S49" s="7">
        <f t="shared" si="62"/>
        <v>0.23990821391776718</v>
      </c>
      <c r="T49" s="7">
        <f t="shared" si="62"/>
        <v>0.2423215898825655</v>
      </c>
      <c r="U49" s="7">
        <f t="shared" si="62"/>
        <v>0.30252829697731903</v>
      </c>
      <c r="V49" s="7">
        <f t="shared" si="62"/>
        <v>0.29610808130887456</v>
      </c>
      <c r="W49" s="7">
        <f t="shared" si="62"/>
        <v>0.37628310101050444</v>
      </c>
      <c r="X49" s="137">
        <f t="shared" si="62"/>
        <v>0.35516152353411212</v>
      </c>
      <c r="Y49" s="99">
        <f t="shared" ref="Y49" si="63">Y27/Y6</f>
        <v>0.38055515080868424</v>
      </c>
      <c r="Z49" s="7"/>
      <c r="AA49" s="7"/>
      <c r="AB49" s="7"/>
      <c r="AC49" s="7"/>
      <c r="AD49" s="7"/>
      <c r="AE49" s="7">
        <f t="shared" si="59"/>
        <v>0.28438900799064509</v>
      </c>
      <c r="AF49" s="7">
        <f t="shared" si="59"/>
        <v>0.26269057271740992</v>
      </c>
      <c r="AG49" s="7">
        <f t="shared" si="59"/>
        <v>0.29823672029975756</v>
      </c>
      <c r="AH49" s="7">
        <f t="shared" si="59"/>
        <v>0.29793254236198191</v>
      </c>
      <c r="AI49" s="7">
        <f t="shared" si="59"/>
        <v>0.28517029564522572</v>
      </c>
      <c r="AJ49" s="99">
        <f t="shared" si="59"/>
        <v>0.27139504390845887</v>
      </c>
    </row>
    <row r="52" spans="2:36" s="4" customFormat="1" x14ac:dyDescent="0.25">
      <c r="B52" s="4" t="s">
        <v>4</v>
      </c>
      <c r="J52" s="5">
        <f>J53+J54-J68</f>
        <v>52580</v>
      </c>
      <c r="N52" s="5">
        <f>N53+N54-N68</f>
        <v>47305</v>
      </c>
      <c r="R52" s="5">
        <f>R53+R54-R68</f>
        <v>2876</v>
      </c>
      <c r="S52" s="5">
        <f>S53+S54-S68</f>
        <v>0</v>
      </c>
      <c r="T52" s="5">
        <f>T53+T54-T68</f>
        <v>878</v>
      </c>
      <c r="U52" s="5">
        <f t="shared" ref="U52:Y52" si="64">U53+U54-U68</f>
        <v>3071</v>
      </c>
      <c r="V52" s="5">
        <f t="shared" si="64"/>
        <v>28466</v>
      </c>
      <c r="W52" s="5">
        <f t="shared" si="64"/>
        <v>27440</v>
      </c>
      <c r="X52" s="133">
        <f t="shared" si="64"/>
        <v>34203</v>
      </c>
      <c r="Y52" s="103">
        <f t="shared" si="64"/>
        <v>33161</v>
      </c>
      <c r="Z52" s="5"/>
      <c r="AA52" s="5"/>
      <c r="AE52" s="5">
        <f t="shared" ref="AE52:AI52" si="65">AE53+AE54-AE68</f>
        <v>17755</v>
      </c>
      <c r="AF52" s="5">
        <f t="shared" si="65"/>
        <v>31607</v>
      </c>
      <c r="AG52" s="5">
        <f t="shared" si="65"/>
        <v>52580</v>
      </c>
      <c r="AH52" s="5">
        <f t="shared" si="65"/>
        <v>47305</v>
      </c>
      <c r="AI52" s="5">
        <f t="shared" si="65"/>
        <v>2876</v>
      </c>
      <c r="AJ52" s="103">
        <f>AJ53+AJ54-AJ68</f>
        <v>28466</v>
      </c>
    </row>
    <row r="53" spans="2:36" x14ac:dyDescent="0.25">
      <c r="B53" t="s">
        <v>3</v>
      </c>
      <c r="J53" s="1">
        <v>42122</v>
      </c>
      <c r="N53" s="1">
        <v>36220</v>
      </c>
      <c r="R53" s="1">
        <v>53888</v>
      </c>
      <c r="S53" s="1"/>
      <c r="T53" s="1">
        <v>49529</v>
      </c>
      <c r="U53" s="1">
        <v>49605</v>
      </c>
      <c r="V53" s="1">
        <v>73387</v>
      </c>
      <c r="W53" s="1">
        <v>72852</v>
      </c>
      <c r="X53" s="132">
        <v>71178</v>
      </c>
      <c r="Y53" s="91">
        <v>75091</v>
      </c>
      <c r="Z53" s="1"/>
      <c r="AA53" s="1"/>
      <c r="AE53" s="1">
        <v>31750</v>
      </c>
      <c r="AF53" s="1">
        <v>36092</v>
      </c>
      <c r="AG53" s="1">
        <v>42122</v>
      </c>
      <c r="AH53" s="1">
        <v>36220</v>
      </c>
      <c r="AI53" s="1">
        <v>53888</v>
      </c>
      <c r="AJ53" s="91">
        <f>V53</f>
        <v>73387</v>
      </c>
    </row>
    <row r="54" spans="2:36" x14ac:dyDescent="0.25">
      <c r="B54" t="s">
        <v>65</v>
      </c>
      <c r="J54" s="1">
        <v>42274</v>
      </c>
      <c r="N54" s="1">
        <v>59829</v>
      </c>
      <c r="R54" s="1">
        <v>16138</v>
      </c>
      <c r="S54" s="1"/>
      <c r="T54" s="1">
        <v>14441</v>
      </c>
      <c r="U54" s="1">
        <v>14564</v>
      </c>
      <c r="V54" s="1">
        <v>13393</v>
      </c>
      <c r="W54" s="1">
        <v>12222</v>
      </c>
      <c r="X54" s="132">
        <v>17914</v>
      </c>
      <c r="Y54" s="91">
        <v>12960</v>
      </c>
      <c r="Z54" s="1"/>
      <c r="AA54" s="1"/>
      <c r="AE54" s="1">
        <v>9500</v>
      </c>
      <c r="AF54" s="1">
        <v>18929</v>
      </c>
      <c r="AG54" s="1">
        <v>42274</v>
      </c>
      <c r="AH54" s="1">
        <v>59829</v>
      </c>
      <c r="AI54" s="1">
        <v>16138</v>
      </c>
      <c r="AJ54" s="91">
        <f t="shared" ref="AJ54:AJ56" si="66">V54</f>
        <v>13393</v>
      </c>
    </row>
    <row r="55" spans="2:36" x14ac:dyDescent="0.25">
      <c r="B55" t="s">
        <v>66</v>
      </c>
      <c r="J55" s="1">
        <v>23795</v>
      </c>
      <c r="N55" s="1">
        <v>32640</v>
      </c>
      <c r="R55" s="1">
        <v>34405</v>
      </c>
      <c r="S55" s="1"/>
      <c r="T55" s="1">
        <v>36587</v>
      </c>
      <c r="U55" s="1">
        <v>35406</v>
      </c>
      <c r="V55" s="1">
        <v>33318</v>
      </c>
      <c r="W55" s="1">
        <v>31147</v>
      </c>
      <c r="X55" s="132">
        <v>34109</v>
      </c>
      <c r="Y55" s="91">
        <v>36103</v>
      </c>
      <c r="Z55" s="1"/>
      <c r="AA55" s="1"/>
      <c r="AE55" s="1">
        <v>17174</v>
      </c>
      <c r="AF55" s="1">
        <v>20497</v>
      </c>
      <c r="AG55" s="1">
        <v>23795</v>
      </c>
      <c r="AH55" s="1">
        <v>32640</v>
      </c>
      <c r="AI55" s="1">
        <v>34405</v>
      </c>
      <c r="AJ55" s="91">
        <f t="shared" si="66"/>
        <v>33318</v>
      </c>
    </row>
    <row r="56" spans="2:36" x14ac:dyDescent="0.25">
      <c r="B56" t="s">
        <v>67</v>
      </c>
      <c r="J56" s="1">
        <v>24542</v>
      </c>
      <c r="N56" s="1">
        <v>32891</v>
      </c>
      <c r="R56" s="1">
        <v>42360</v>
      </c>
      <c r="S56" s="1"/>
      <c r="T56" s="1">
        <v>39925</v>
      </c>
      <c r="U56" s="1">
        <v>43420</v>
      </c>
      <c r="V56" s="1">
        <v>52253</v>
      </c>
      <c r="W56" s="1">
        <v>47768</v>
      </c>
      <c r="X56" s="132">
        <v>50106</v>
      </c>
      <c r="Y56" s="91">
        <v>51638</v>
      </c>
      <c r="Z56" s="1"/>
      <c r="AA56" s="1"/>
      <c r="AE56" s="1">
        <v>16677</v>
      </c>
      <c r="AF56" s="1">
        <v>20816</v>
      </c>
      <c r="AG56" s="1">
        <v>24542</v>
      </c>
      <c r="AH56" s="1">
        <v>32891</v>
      </c>
      <c r="AI56" s="1">
        <v>42360</v>
      </c>
      <c r="AJ56" s="91">
        <f t="shared" si="66"/>
        <v>52253</v>
      </c>
    </row>
    <row r="57" spans="2:36" s="4" customFormat="1" x14ac:dyDescent="0.25">
      <c r="B57" s="4" t="s">
        <v>110</v>
      </c>
      <c r="C57" s="5">
        <f t="shared" ref="C57:S57" si="67">SUM(C53:C56)</f>
        <v>0</v>
      </c>
      <c r="D57" s="5">
        <f t="shared" si="67"/>
        <v>0</v>
      </c>
      <c r="E57" s="5">
        <f t="shared" si="67"/>
        <v>0</v>
      </c>
      <c r="F57" s="5">
        <f t="shared" si="67"/>
        <v>0</v>
      </c>
      <c r="G57" s="5">
        <f t="shared" si="67"/>
        <v>0</v>
      </c>
      <c r="H57" s="5">
        <f t="shared" si="67"/>
        <v>0</v>
      </c>
      <c r="I57" s="5">
        <f t="shared" si="67"/>
        <v>0</v>
      </c>
      <c r="J57" s="5">
        <f t="shared" si="67"/>
        <v>132733</v>
      </c>
      <c r="K57" s="5">
        <f t="shared" si="67"/>
        <v>0</v>
      </c>
      <c r="L57" s="5">
        <f t="shared" si="67"/>
        <v>0</v>
      </c>
      <c r="M57" s="5">
        <f t="shared" si="67"/>
        <v>0</v>
      </c>
      <c r="N57" s="5">
        <f t="shared" si="67"/>
        <v>161580</v>
      </c>
      <c r="O57" s="5">
        <f t="shared" si="67"/>
        <v>0</v>
      </c>
      <c r="P57" s="5">
        <f t="shared" si="67"/>
        <v>0</v>
      </c>
      <c r="Q57" s="5">
        <f t="shared" si="67"/>
        <v>0</v>
      </c>
      <c r="R57" s="5">
        <f t="shared" si="67"/>
        <v>146791</v>
      </c>
      <c r="S57" s="5">
        <f t="shared" si="67"/>
        <v>0</v>
      </c>
      <c r="T57" s="5">
        <f>SUM(T53:T56)</f>
        <v>140482</v>
      </c>
      <c r="U57" s="5">
        <f t="shared" ref="U57:Y57" si="68">SUM(U53:U56)</f>
        <v>142995</v>
      </c>
      <c r="V57" s="5">
        <f t="shared" si="68"/>
        <v>172351</v>
      </c>
      <c r="W57" s="5">
        <f t="shared" si="68"/>
        <v>163989</v>
      </c>
      <c r="X57" s="133">
        <f t="shared" si="68"/>
        <v>173307</v>
      </c>
      <c r="Y57" s="103">
        <f t="shared" si="68"/>
        <v>175792</v>
      </c>
      <c r="Z57" s="5"/>
      <c r="AA57" s="5"/>
      <c r="AE57" s="5">
        <f t="shared" ref="AE57:AJ57" si="69">SUM(AE53:AE56)</f>
        <v>75101</v>
      </c>
      <c r="AF57" s="5">
        <f t="shared" si="69"/>
        <v>96334</v>
      </c>
      <c r="AG57" s="5">
        <f t="shared" si="69"/>
        <v>132733</v>
      </c>
      <c r="AH57" s="5">
        <f t="shared" si="69"/>
        <v>161580</v>
      </c>
      <c r="AI57" s="5">
        <f t="shared" si="69"/>
        <v>146791</v>
      </c>
      <c r="AJ57" s="103">
        <f t="shared" si="69"/>
        <v>172351</v>
      </c>
    </row>
    <row r="58" spans="2:36" x14ac:dyDescent="0.25">
      <c r="B58" t="s">
        <v>68</v>
      </c>
      <c r="J58" s="1">
        <v>113114</v>
      </c>
      <c r="N58" s="1">
        <v>160281</v>
      </c>
      <c r="R58" s="1">
        <v>186715</v>
      </c>
      <c r="S58" s="1"/>
      <c r="T58" s="1">
        <v>193784</v>
      </c>
      <c r="U58" s="1">
        <v>196468</v>
      </c>
      <c r="V58" s="1">
        <v>204177</v>
      </c>
      <c r="W58" s="1">
        <v>209950</v>
      </c>
      <c r="X58" s="132">
        <v>220717</v>
      </c>
      <c r="Y58" s="91">
        <v>237917</v>
      </c>
      <c r="Z58" s="1"/>
      <c r="AA58" s="1"/>
      <c r="AE58" s="1">
        <v>61797</v>
      </c>
      <c r="AF58" s="1">
        <v>72705</v>
      </c>
      <c r="AG58" s="1">
        <v>113114</v>
      </c>
      <c r="AH58" s="1">
        <v>160281</v>
      </c>
      <c r="AI58" s="1">
        <v>186715</v>
      </c>
      <c r="AJ58" s="91">
        <f t="shared" ref="AJ58:AJ61" si="70">V58</f>
        <v>204177</v>
      </c>
    </row>
    <row r="59" spans="2:36" x14ac:dyDescent="0.25">
      <c r="B59" t="s">
        <v>69</v>
      </c>
      <c r="J59" s="1">
        <v>37553</v>
      </c>
      <c r="N59" s="1">
        <v>56082</v>
      </c>
      <c r="R59" s="1">
        <v>66123</v>
      </c>
      <c r="S59" s="1"/>
      <c r="T59" s="1">
        <v>70332</v>
      </c>
      <c r="U59" s="1">
        <v>70758</v>
      </c>
      <c r="V59" s="1">
        <v>72513</v>
      </c>
      <c r="W59" s="1">
        <v>73313</v>
      </c>
      <c r="X59" s="132">
        <v>74575</v>
      </c>
      <c r="Y59" s="91">
        <v>76527</v>
      </c>
      <c r="Z59" s="1"/>
      <c r="AA59" s="1"/>
      <c r="AE59" s="1">
        <v>0</v>
      </c>
      <c r="AF59" s="1">
        <v>25141</v>
      </c>
      <c r="AG59" s="1">
        <v>37553</v>
      </c>
      <c r="AH59" s="1">
        <v>56082</v>
      </c>
      <c r="AI59" s="1">
        <v>66123</v>
      </c>
      <c r="AJ59" s="91">
        <f t="shared" si="70"/>
        <v>72513</v>
      </c>
    </row>
    <row r="60" spans="2:36" x14ac:dyDescent="0.25">
      <c r="B60" t="s">
        <v>70</v>
      </c>
      <c r="J60" s="1">
        <v>15017</v>
      </c>
      <c r="N60" s="1">
        <v>15371</v>
      </c>
      <c r="R60" s="1">
        <v>20288</v>
      </c>
      <c r="S60" s="1"/>
      <c r="T60" s="1">
        <v>22785</v>
      </c>
      <c r="U60" s="1">
        <v>22749</v>
      </c>
      <c r="V60" s="1">
        <v>22789</v>
      </c>
      <c r="W60" s="1">
        <v>22770</v>
      </c>
      <c r="X60" s="132">
        <v>22879</v>
      </c>
      <c r="Y60" s="91">
        <v>23081</v>
      </c>
      <c r="Z60" s="1"/>
      <c r="AA60" s="1"/>
      <c r="AE60" s="1">
        <v>14548</v>
      </c>
      <c r="AF60" s="1">
        <v>14754</v>
      </c>
      <c r="AG60" s="1">
        <v>15017</v>
      </c>
      <c r="AH60" s="1">
        <v>15371</v>
      </c>
      <c r="AI60" s="1">
        <v>20288</v>
      </c>
      <c r="AJ60" s="91">
        <f t="shared" si="70"/>
        <v>22789</v>
      </c>
    </row>
    <row r="61" spans="2:36" x14ac:dyDescent="0.25">
      <c r="B61" t="s">
        <v>39</v>
      </c>
      <c r="J61" s="1">
        <v>22778</v>
      </c>
      <c r="N61" s="1">
        <v>27235</v>
      </c>
      <c r="R61" s="1">
        <v>42758</v>
      </c>
      <c r="S61" s="1"/>
      <c r="T61" s="1">
        <v>50224</v>
      </c>
      <c r="U61" s="1">
        <v>53913</v>
      </c>
      <c r="V61" s="1">
        <v>56024</v>
      </c>
      <c r="W61" s="1">
        <v>60947</v>
      </c>
      <c r="X61" s="132">
        <v>63340</v>
      </c>
      <c r="Y61" s="91">
        <v>71309</v>
      </c>
      <c r="Z61" s="1"/>
      <c r="AA61" s="1"/>
      <c r="AE61" s="1">
        <v>11202</v>
      </c>
      <c r="AF61" s="1">
        <v>16314</v>
      </c>
      <c r="AG61" s="1">
        <v>22778</v>
      </c>
      <c r="AH61" s="1">
        <v>27235</v>
      </c>
      <c r="AI61" s="1">
        <v>42758</v>
      </c>
      <c r="AJ61" s="91">
        <f t="shared" si="70"/>
        <v>56024</v>
      </c>
    </row>
    <row r="62" spans="2:36" s="4" customFormat="1" x14ac:dyDescent="0.25">
      <c r="B62" s="4" t="s">
        <v>112</v>
      </c>
      <c r="C62" s="5">
        <f t="shared" ref="C62:S62" si="71">SUM(C57:C61)</f>
        <v>0</v>
      </c>
      <c r="D62" s="5">
        <f t="shared" si="71"/>
        <v>0</v>
      </c>
      <c r="E62" s="5">
        <f t="shared" si="71"/>
        <v>0</v>
      </c>
      <c r="F62" s="5">
        <f t="shared" si="71"/>
        <v>0</v>
      </c>
      <c r="G62" s="5">
        <f t="shared" si="71"/>
        <v>0</v>
      </c>
      <c r="H62" s="5">
        <f t="shared" si="71"/>
        <v>0</v>
      </c>
      <c r="I62" s="5">
        <f t="shared" si="71"/>
        <v>0</v>
      </c>
      <c r="J62" s="5">
        <f t="shared" si="71"/>
        <v>321195</v>
      </c>
      <c r="K62" s="5">
        <f t="shared" si="71"/>
        <v>0</v>
      </c>
      <c r="L62" s="5">
        <f t="shared" si="71"/>
        <v>0</v>
      </c>
      <c r="M62" s="5">
        <f t="shared" si="71"/>
        <v>0</v>
      </c>
      <c r="N62" s="5">
        <f t="shared" si="71"/>
        <v>420549</v>
      </c>
      <c r="O62" s="5">
        <f t="shared" si="71"/>
        <v>0</v>
      </c>
      <c r="P62" s="5">
        <f t="shared" si="71"/>
        <v>0</v>
      </c>
      <c r="Q62" s="5">
        <f t="shared" si="71"/>
        <v>0</v>
      </c>
      <c r="R62" s="5">
        <f t="shared" si="71"/>
        <v>462675</v>
      </c>
      <c r="S62" s="5">
        <f t="shared" si="71"/>
        <v>0</v>
      </c>
      <c r="T62" s="5">
        <f>SUM(T57:T61)</f>
        <v>477607</v>
      </c>
      <c r="U62" s="5">
        <f t="shared" ref="U62:Y62" si="72">SUM(U57:U61)</f>
        <v>486883</v>
      </c>
      <c r="V62" s="5">
        <f t="shared" si="72"/>
        <v>527854</v>
      </c>
      <c r="W62" s="5">
        <f t="shared" si="72"/>
        <v>530969</v>
      </c>
      <c r="X62" s="133">
        <f t="shared" si="72"/>
        <v>554818</v>
      </c>
      <c r="Y62" s="103">
        <f t="shared" si="72"/>
        <v>584626</v>
      </c>
      <c r="Z62" s="5"/>
      <c r="AA62" s="5"/>
      <c r="AE62" s="5">
        <f>SUM(AE57:AE61)</f>
        <v>162648</v>
      </c>
      <c r="AF62" s="5">
        <f>SUM(AF57:AF61)</f>
        <v>225248</v>
      </c>
      <c r="AG62" s="5">
        <f t="shared" ref="AG62:AJ62" si="73">SUM(AG57:AG61)</f>
        <v>321195</v>
      </c>
      <c r="AH62" s="5">
        <f t="shared" si="73"/>
        <v>420549</v>
      </c>
      <c r="AI62" s="5">
        <f t="shared" si="73"/>
        <v>462675</v>
      </c>
      <c r="AJ62" s="103">
        <f t="shared" si="73"/>
        <v>527854</v>
      </c>
    </row>
    <row r="63" spans="2:36" x14ac:dyDescent="0.25">
      <c r="B63" t="s">
        <v>71</v>
      </c>
      <c r="J63" s="1">
        <v>72539</v>
      </c>
      <c r="N63" s="1">
        <v>78664</v>
      </c>
      <c r="R63" s="1">
        <v>79600</v>
      </c>
      <c r="S63" s="1"/>
      <c r="T63" s="1">
        <v>69481</v>
      </c>
      <c r="U63" s="1">
        <v>72004</v>
      </c>
      <c r="V63" s="1">
        <v>84981</v>
      </c>
      <c r="W63" s="1">
        <v>73068</v>
      </c>
      <c r="X63" s="132">
        <v>81817</v>
      </c>
      <c r="Y63" s="91">
        <v>84570</v>
      </c>
      <c r="Z63" s="1"/>
      <c r="AA63" s="1"/>
      <c r="AE63" s="1">
        <v>38192</v>
      </c>
      <c r="AF63" s="1">
        <v>47183</v>
      </c>
      <c r="AG63" s="1">
        <v>72539</v>
      </c>
      <c r="AH63" s="1">
        <v>78664</v>
      </c>
      <c r="AI63" s="1">
        <v>79600</v>
      </c>
      <c r="AJ63" s="91">
        <f t="shared" ref="AJ63:AJ65" si="74">V63</f>
        <v>84981</v>
      </c>
    </row>
    <row r="64" spans="2:36" x14ac:dyDescent="0.25">
      <c r="B64" t="s">
        <v>72</v>
      </c>
      <c r="J64" s="1">
        <v>44138</v>
      </c>
      <c r="N64" s="1">
        <v>51775</v>
      </c>
      <c r="R64" s="1">
        <v>62566</v>
      </c>
      <c r="S64" s="1"/>
      <c r="T64" s="1">
        <v>64235</v>
      </c>
      <c r="U64" s="1">
        <v>58812</v>
      </c>
      <c r="V64" s="1">
        <v>64709</v>
      </c>
      <c r="W64" s="1">
        <v>63970</v>
      </c>
      <c r="X64" s="132">
        <v>60351</v>
      </c>
      <c r="Y64" s="91">
        <v>60602</v>
      </c>
      <c r="Z64" s="1"/>
      <c r="AA64" s="1"/>
      <c r="AE64" s="1">
        <v>23663</v>
      </c>
      <c r="AF64" s="1">
        <v>32439</v>
      </c>
      <c r="AG64" s="1">
        <v>44138</v>
      </c>
      <c r="AH64" s="1">
        <v>51775</v>
      </c>
      <c r="AI64" s="1">
        <v>62566</v>
      </c>
      <c r="AJ64" s="91">
        <f t="shared" si="74"/>
        <v>64709</v>
      </c>
    </row>
    <row r="65" spans="2:36" x14ac:dyDescent="0.25">
      <c r="B65" t="s">
        <v>73</v>
      </c>
      <c r="J65" s="1">
        <v>9708</v>
      </c>
      <c r="N65" s="1">
        <v>11827</v>
      </c>
      <c r="R65" s="1">
        <v>13227</v>
      </c>
      <c r="S65" s="1"/>
      <c r="T65" s="1">
        <v>14522</v>
      </c>
      <c r="U65" s="1">
        <v>14398</v>
      </c>
      <c r="V65" s="1">
        <v>15227</v>
      </c>
      <c r="W65" s="1">
        <v>15927</v>
      </c>
      <c r="X65" s="132">
        <v>16004</v>
      </c>
      <c r="Y65" s="91">
        <v>16305</v>
      </c>
      <c r="Z65" s="1"/>
      <c r="AA65" s="1"/>
      <c r="AE65" s="1">
        <v>6536</v>
      </c>
      <c r="AF65" s="1">
        <v>8190</v>
      </c>
      <c r="AG65" s="1">
        <v>9708</v>
      </c>
      <c r="AH65" s="1">
        <v>11827</v>
      </c>
      <c r="AI65" s="1">
        <v>13227</v>
      </c>
      <c r="AJ65" s="91">
        <f t="shared" si="74"/>
        <v>15227</v>
      </c>
    </row>
    <row r="66" spans="2:36" s="4" customFormat="1" x14ac:dyDescent="0.25">
      <c r="B66" s="4" t="s">
        <v>111</v>
      </c>
      <c r="C66" s="5">
        <f t="shared" ref="C66:S66" si="75">SUM(C63:C65)</f>
        <v>0</v>
      </c>
      <c r="D66" s="5">
        <f t="shared" si="75"/>
        <v>0</v>
      </c>
      <c r="E66" s="5">
        <f t="shared" si="75"/>
        <v>0</v>
      </c>
      <c r="F66" s="5">
        <f t="shared" si="75"/>
        <v>0</v>
      </c>
      <c r="G66" s="5">
        <f t="shared" si="75"/>
        <v>0</v>
      </c>
      <c r="H66" s="5">
        <f t="shared" si="75"/>
        <v>0</v>
      </c>
      <c r="I66" s="5">
        <f t="shared" si="75"/>
        <v>0</v>
      </c>
      <c r="J66" s="5">
        <f t="shared" si="75"/>
        <v>126385</v>
      </c>
      <c r="K66" s="5">
        <f t="shared" si="75"/>
        <v>0</v>
      </c>
      <c r="L66" s="5">
        <f t="shared" si="75"/>
        <v>0</v>
      </c>
      <c r="M66" s="5">
        <f t="shared" si="75"/>
        <v>0</v>
      </c>
      <c r="N66" s="5">
        <f t="shared" si="75"/>
        <v>142266</v>
      </c>
      <c r="O66" s="5">
        <f t="shared" si="75"/>
        <v>0</v>
      </c>
      <c r="P66" s="5">
        <f t="shared" si="75"/>
        <v>0</v>
      </c>
      <c r="Q66" s="5">
        <f t="shared" si="75"/>
        <v>0</v>
      </c>
      <c r="R66" s="5">
        <f t="shared" si="75"/>
        <v>155393</v>
      </c>
      <c r="S66" s="5">
        <f t="shared" si="75"/>
        <v>0</v>
      </c>
      <c r="T66" s="5">
        <f>SUM(T63:T65)</f>
        <v>148238</v>
      </c>
      <c r="U66" s="5">
        <f t="shared" ref="U66:Y66" si="76">SUM(U63:U65)</f>
        <v>145214</v>
      </c>
      <c r="V66" s="5">
        <f t="shared" si="76"/>
        <v>164917</v>
      </c>
      <c r="W66" s="5">
        <f t="shared" si="76"/>
        <v>152965</v>
      </c>
      <c r="X66" s="133">
        <f t="shared" si="76"/>
        <v>158172</v>
      </c>
      <c r="Y66" s="103">
        <f t="shared" si="76"/>
        <v>161477</v>
      </c>
      <c r="Z66" s="5"/>
      <c r="AA66" s="5"/>
      <c r="AE66" s="5">
        <f t="shared" ref="AE66:AJ66" si="77">SUM(AE63:AE65)</f>
        <v>68391</v>
      </c>
      <c r="AF66" s="5">
        <f t="shared" si="77"/>
        <v>87812</v>
      </c>
      <c r="AG66" s="5">
        <f t="shared" si="77"/>
        <v>126385</v>
      </c>
      <c r="AH66" s="5">
        <f t="shared" si="77"/>
        <v>142266</v>
      </c>
      <c r="AI66" s="5">
        <f t="shared" si="77"/>
        <v>155393</v>
      </c>
      <c r="AJ66" s="103">
        <f t="shared" si="77"/>
        <v>164917</v>
      </c>
    </row>
    <row r="67" spans="2:36" x14ac:dyDescent="0.25">
      <c r="B67" t="s">
        <v>74</v>
      </c>
      <c r="J67" s="1">
        <v>52573</v>
      </c>
      <c r="N67" s="1">
        <v>67651</v>
      </c>
      <c r="R67" s="1">
        <v>72968</v>
      </c>
      <c r="S67" s="1"/>
      <c r="T67" s="1">
        <v>75822</v>
      </c>
      <c r="U67" s="1">
        <v>75891</v>
      </c>
      <c r="V67" s="1">
        <v>77297</v>
      </c>
      <c r="W67" s="1">
        <v>77052</v>
      </c>
      <c r="X67" s="132">
        <v>78084</v>
      </c>
      <c r="Y67" s="91">
        <v>79802</v>
      </c>
      <c r="Z67" s="1"/>
      <c r="AA67" s="1"/>
      <c r="AE67" s="1">
        <v>9650</v>
      </c>
      <c r="AF67" s="1">
        <v>39791</v>
      </c>
      <c r="AG67" s="1">
        <v>52573</v>
      </c>
      <c r="AH67" s="1">
        <v>67651</v>
      </c>
      <c r="AI67" s="1">
        <v>72968</v>
      </c>
      <c r="AJ67" s="91">
        <f t="shared" ref="AJ67:AJ69" si="78">V67</f>
        <v>77297</v>
      </c>
    </row>
    <row r="68" spans="2:36" x14ac:dyDescent="0.25">
      <c r="B68" t="s">
        <v>75</v>
      </c>
      <c r="J68" s="1">
        <v>31816</v>
      </c>
      <c r="N68" s="1">
        <v>48744</v>
      </c>
      <c r="R68" s="1">
        <v>67150</v>
      </c>
      <c r="S68" s="1"/>
      <c r="T68" s="1">
        <v>63092</v>
      </c>
      <c r="U68" s="1">
        <v>61098</v>
      </c>
      <c r="V68" s="1">
        <v>58314</v>
      </c>
      <c r="W68" s="1">
        <v>57634</v>
      </c>
      <c r="X68" s="132">
        <v>54889</v>
      </c>
      <c r="Y68" s="91">
        <v>54890</v>
      </c>
      <c r="Z68" s="1"/>
      <c r="AA68" s="1"/>
      <c r="AE68" s="1">
        <v>23495</v>
      </c>
      <c r="AF68" s="1">
        <v>23414</v>
      </c>
      <c r="AG68" s="1">
        <v>31816</v>
      </c>
      <c r="AH68" s="1">
        <v>48744</v>
      </c>
      <c r="AI68" s="1">
        <v>67150</v>
      </c>
      <c r="AJ68" s="91">
        <f t="shared" si="78"/>
        <v>58314</v>
      </c>
    </row>
    <row r="69" spans="2:36" x14ac:dyDescent="0.25">
      <c r="B69" t="s">
        <v>76</v>
      </c>
      <c r="J69" s="1">
        <v>17017</v>
      </c>
      <c r="N69" s="1">
        <v>23643</v>
      </c>
      <c r="R69" s="1">
        <v>21121</v>
      </c>
      <c r="S69" s="1"/>
      <c r="T69" s="1">
        <v>21853</v>
      </c>
      <c r="U69" s="1">
        <v>21707</v>
      </c>
      <c r="V69" s="1">
        <v>25451</v>
      </c>
      <c r="W69" s="1">
        <v>26657</v>
      </c>
      <c r="X69" s="132">
        <v>27226</v>
      </c>
      <c r="Y69" s="91">
        <v>29306</v>
      </c>
      <c r="Z69" s="1"/>
      <c r="AA69" s="1"/>
      <c r="AE69" s="1">
        <v>17563</v>
      </c>
      <c r="AF69" s="1">
        <v>12171</v>
      </c>
      <c r="AG69" s="1">
        <v>17017</v>
      </c>
      <c r="AH69" s="1">
        <v>23643</v>
      </c>
      <c r="AI69" s="1">
        <v>21121</v>
      </c>
      <c r="AJ69" s="91">
        <f t="shared" si="78"/>
        <v>25451</v>
      </c>
    </row>
    <row r="70" spans="2:36" s="4" customFormat="1" x14ac:dyDescent="0.25">
      <c r="B70" s="4" t="s">
        <v>113</v>
      </c>
      <c r="C70" s="5">
        <f t="shared" ref="C70:I70" si="79">SUM(C66:C69)</f>
        <v>0</v>
      </c>
      <c r="D70" s="5">
        <f t="shared" si="79"/>
        <v>0</v>
      </c>
      <c r="E70" s="5">
        <f t="shared" si="79"/>
        <v>0</v>
      </c>
      <c r="F70" s="5">
        <f t="shared" si="79"/>
        <v>0</v>
      </c>
      <c r="G70" s="5">
        <f t="shared" si="79"/>
        <v>0</v>
      </c>
      <c r="H70" s="5">
        <f t="shared" si="79"/>
        <v>0</v>
      </c>
      <c r="I70" s="5">
        <f t="shared" si="79"/>
        <v>0</v>
      </c>
      <c r="J70" s="5">
        <f>SUM(J66:J69)</f>
        <v>227791</v>
      </c>
      <c r="K70" s="5">
        <f t="shared" ref="K70:T70" si="80">SUM(K66:K69)</f>
        <v>0</v>
      </c>
      <c r="L70" s="5">
        <f t="shared" si="80"/>
        <v>0</v>
      </c>
      <c r="M70" s="5">
        <f t="shared" si="80"/>
        <v>0</v>
      </c>
      <c r="N70" s="5">
        <f t="shared" si="80"/>
        <v>282304</v>
      </c>
      <c r="O70" s="5">
        <f t="shared" si="80"/>
        <v>0</v>
      </c>
      <c r="P70" s="5">
        <f t="shared" si="80"/>
        <v>0</v>
      </c>
      <c r="Q70" s="5">
        <f t="shared" si="80"/>
        <v>0</v>
      </c>
      <c r="R70" s="5">
        <f t="shared" si="80"/>
        <v>316632</v>
      </c>
      <c r="S70" s="5">
        <f t="shared" si="80"/>
        <v>0</v>
      </c>
      <c r="T70" s="5">
        <f t="shared" si="80"/>
        <v>309005</v>
      </c>
      <c r="U70" s="5">
        <f t="shared" ref="U70" si="81">SUM(U66:U69)</f>
        <v>303910</v>
      </c>
      <c r="V70" s="5">
        <f t="shared" ref="V70" si="82">SUM(V66:V69)</f>
        <v>325979</v>
      </c>
      <c r="W70" s="5">
        <f t="shared" ref="W70" si="83">SUM(W66:W69)</f>
        <v>314308</v>
      </c>
      <c r="X70" s="133">
        <f t="shared" ref="X70:Y70" si="84">SUM(X66:X69)</f>
        <v>318371</v>
      </c>
      <c r="Y70" s="103">
        <f t="shared" si="84"/>
        <v>325475</v>
      </c>
      <c r="Z70" s="5"/>
      <c r="AA70" s="5"/>
      <c r="AE70" s="5">
        <f t="shared" ref="AE70" si="85">SUM(AE66:AE69)</f>
        <v>119099</v>
      </c>
      <c r="AF70" s="5">
        <f t="shared" ref="AF70" si="86">SUM(AF66:AF69)</f>
        <v>163188</v>
      </c>
      <c r="AG70" s="5">
        <f t="shared" ref="AG70" si="87">SUM(AG66:AG69)</f>
        <v>227791</v>
      </c>
      <c r="AH70" s="5">
        <f t="shared" ref="AH70" si="88">SUM(AH66:AH69)</f>
        <v>282304</v>
      </c>
      <c r="AI70" s="5">
        <f t="shared" ref="AI70:AJ70" si="89">SUM(AI66:AI69)</f>
        <v>316632</v>
      </c>
      <c r="AJ70" s="103">
        <f t="shared" si="89"/>
        <v>325979</v>
      </c>
    </row>
    <row r="71" spans="2:36" x14ac:dyDescent="0.25">
      <c r="B71" t="s">
        <v>77</v>
      </c>
      <c r="J71" s="1">
        <v>93404</v>
      </c>
      <c r="N71" s="1">
        <v>138245</v>
      </c>
      <c r="R71" s="1">
        <v>146043</v>
      </c>
      <c r="S71" s="1"/>
      <c r="T71" s="1">
        <v>168602</v>
      </c>
      <c r="U71" s="1">
        <f>U62-U70</f>
        <v>182973</v>
      </c>
      <c r="V71" s="1">
        <f>V62-V70</f>
        <v>201875</v>
      </c>
      <c r="W71" s="1">
        <f>W62-W70</f>
        <v>216661</v>
      </c>
      <c r="X71" s="132">
        <f>X62-X70</f>
        <v>236447</v>
      </c>
      <c r="Y71" s="91">
        <f>Y62-Y70</f>
        <v>259151</v>
      </c>
      <c r="Z71" s="1"/>
      <c r="AA71" s="1"/>
      <c r="AE71" s="1">
        <v>43549</v>
      </c>
      <c r="AF71" s="1">
        <v>62060</v>
      </c>
      <c r="AG71" s="1">
        <v>93404</v>
      </c>
      <c r="AH71" s="1">
        <v>138245</v>
      </c>
      <c r="AI71" s="1">
        <v>146043</v>
      </c>
      <c r="AJ71" s="91">
        <f>AJ62-AJ70</f>
        <v>201875</v>
      </c>
    </row>
    <row r="72" spans="2:36" x14ac:dyDescent="0.25">
      <c r="AI72" s="7"/>
    </row>
    <row r="73" spans="2:36" x14ac:dyDescent="0.25">
      <c r="AI73" s="7"/>
    </row>
    <row r="74" spans="2:36" s="4" customFormat="1" x14ac:dyDescent="0.25">
      <c r="B74" s="4" t="s">
        <v>3</v>
      </c>
      <c r="P74" s="5">
        <v>36599</v>
      </c>
      <c r="Q74" s="5">
        <f>P99</f>
        <v>37700</v>
      </c>
      <c r="R74" s="5">
        <f>Q99</f>
        <v>0</v>
      </c>
      <c r="S74" s="5">
        <f>R99</f>
        <v>0</v>
      </c>
      <c r="T74" s="5">
        <f>S99</f>
        <v>49734</v>
      </c>
      <c r="X74" s="131"/>
      <c r="Y74" s="102"/>
      <c r="AJ74" s="102"/>
    </row>
    <row r="75" spans="2:36" x14ac:dyDescent="0.25">
      <c r="B75" t="s">
        <v>89</v>
      </c>
      <c r="P75" s="1">
        <v>-2028</v>
      </c>
      <c r="T75" s="1">
        <v>6750</v>
      </c>
    </row>
    <row r="76" spans="2:36" x14ac:dyDescent="0.25">
      <c r="B76" t="s">
        <v>90</v>
      </c>
      <c r="P76" s="1">
        <v>9716</v>
      </c>
      <c r="T76" s="1">
        <v>11589</v>
      </c>
    </row>
    <row r="77" spans="2:36" x14ac:dyDescent="0.25">
      <c r="B77" t="s">
        <v>91</v>
      </c>
      <c r="P77" s="1">
        <v>5209</v>
      </c>
      <c r="T77" s="1">
        <v>7127</v>
      </c>
    </row>
    <row r="78" spans="2:36" x14ac:dyDescent="0.25">
      <c r="B78" t="s">
        <v>92</v>
      </c>
      <c r="P78" s="1">
        <v>6104</v>
      </c>
      <c r="T78" s="1">
        <v>47</v>
      </c>
    </row>
    <row r="79" spans="2:36" x14ac:dyDescent="0.25">
      <c r="B79" t="s">
        <v>93</v>
      </c>
      <c r="P79" s="1">
        <v>-1955</v>
      </c>
      <c r="T79" s="1">
        <v>-2744</v>
      </c>
    </row>
    <row r="80" spans="2:36" x14ac:dyDescent="0.25">
      <c r="B80" t="s">
        <v>66</v>
      </c>
      <c r="P80" s="1">
        <v>-3890</v>
      </c>
      <c r="T80" s="1">
        <v>-2373</v>
      </c>
    </row>
    <row r="81" spans="2:20" x14ac:dyDescent="0.25">
      <c r="B81" t="s">
        <v>67</v>
      </c>
      <c r="P81" s="1">
        <v>-6799</v>
      </c>
      <c r="T81" s="1">
        <v>-5167</v>
      </c>
    </row>
    <row r="82" spans="2:20" x14ac:dyDescent="0.25">
      <c r="B82" t="s">
        <v>71</v>
      </c>
      <c r="P82" s="1">
        <v>3699</v>
      </c>
      <c r="T82" s="1">
        <v>3029</v>
      </c>
    </row>
    <row r="83" spans="2:20" x14ac:dyDescent="0.25">
      <c r="B83" t="s">
        <v>94</v>
      </c>
      <c r="P83" s="1">
        <v>-1412</v>
      </c>
      <c r="T83" s="1">
        <v>-1938</v>
      </c>
    </row>
    <row r="84" spans="2:20" x14ac:dyDescent="0.25">
      <c r="B84" t="s">
        <v>73</v>
      </c>
      <c r="P84" s="1">
        <v>321</v>
      </c>
      <c r="T84" s="1">
        <v>156</v>
      </c>
    </row>
    <row r="85" spans="2:20" x14ac:dyDescent="0.25">
      <c r="B85" t="s">
        <v>95</v>
      </c>
      <c r="P85" s="1">
        <v>-15724</v>
      </c>
      <c r="T85" s="1">
        <v>-11455</v>
      </c>
    </row>
    <row r="86" spans="2:20" x14ac:dyDescent="0.25">
      <c r="B86" t="s">
        <v>96</v>
      </c>
      <c r="P86" s="1">
        <v>1626</v>
      </c>
      <c r="T86" s="1">
        <v>1043</v>
      </c>
    </row>
    <row r="87" spans="2:20" x14ac:dyDescent="0.25">
      <c r="B87" t="s">
        <v>97</v>
      </c>
      <c r="P87" s="1">
        <v>-259</v>
      </c>
      <c r="T87" s="1">
        <v>-316</v>
      </c>
    </row>
    <row r="88" spans="2:20" x14ac:dyDescent="0.25">
      <c r="B88" t="s">
        <v>98</v>
      </c>
      <c r="P88" s="1">
        <v>2608</v>
      </c>
      <c r="T88" s="1">
        <v>1551</v>
      </c>
    </row>
    <row r="89" spans="2:20" x14ac:dyDescent="0.25">
      <c r="B89" t="s">
        <v>99</v>
      </c>
      <c r="P89" s="1">
        <v>-329</v>
      </c>
      <c r="T89" s="1">
        <v>-496</v>
      </c>
    </row>
    <row r="90" spans="2:20" x14ac:dyDescent="0.25">
      <c r="B90" t="s">
        <v>100</v>
      </c>
      <c r="P90" s="1">
        <v>-3334</v>
      </c>
      <c r="T90" s="1">
        <v>0</v>
      </c>
    </row>
    <row r="91" spans="2:20" x14ac:dyDescent="0.25">
      <c r="B91" t="s">
        <v>102</v>
      </c>
      <c r="P91" s="1">
        <v>4865</v>
      </c>
      <c r="T91" s="1">
        <v>4399</v>
      </c>
    </row>
    <row r="92" spans="2:20" x14ac:dyDescent="0.25">
      <c r="B92" t="s">
        <v>101</v>
      </c>
      <c r="P92" s="1">
        <v>-7610</v>
      </c>
      <c r="T92" s="1">
        <v>-7641</v>
      </c>
    </row>
    <row r="93" spans="2:20" x14ac:dyDescent="0.25">
      <c r="B93" t="s">
        <v>103</v>
      </c>
      <c r="P93" s="1">
        <v>12824</v>
      </c>
      <c r="T93" s="1">
        <v>0</v>
      </c>
    </row>
    <row r="94" spans="2:20" x14ac:dyDescent="0.25">
      <c r="B94" t="s">
        <v>104</v>
      </c>
      <c r="P94" s="1">
        <v>-1</v>
      </c>
      <c r="T94" s="1">
        <v>-2000</v>
      </c>
    </row>
    <row r="95" spans="2:20" x14ac:dyDescent="0.25">
      <c r="B95" t="s">
        <v>109</v>
      </c>
      <c r="P95" s="1">
        <v>-2059</v>
      </c>
      <c r="T95" s="1">
        <v>-77</v>
      </c>
    </row>
    <row r="96" spans="2:20" x14ac:dyDescent="0.25">
      <c r="B96" t="s">
        <v>105</v>
      </c>
      <c r="P96" s="1">
        <v>-59</v>
      </c>
      <c r="T96" s="1">
        <v>-1220</v>
      </c>
    </row>
    <row r="97" spans="2:36" x14ac:dyDescent="0.25">
      <c r="B97" t="s">
        <v>106</v>
      </c>
      <c r="P97" s="1">
        <v>-412</v>
      </c>
      <c r="T97" s="1">
        <v>69</v>
      </c>
    </row>
    <row r="98" spans="2:36" x14ac:dyDescent="0.25">
      <c r="B98" t="s">
        <v>107</v>
      </c>
      <c r="P98" s="10">
        <f>SUM(P75:P97)</f>
        <v>1101</v>
      </c>
      <c r="T98" s="10">
        <f>SUM(T75:T97)</f>
        <v>333</v>
      </c>
    </row>
    <row r="99" spans="2:36" s="4" customFormat="1" x14ac:dyDescent="0.25">
      <c r="B99" s="4" t="s">
        <v>108</v>
      </c>
      <c r="P99" s="5">
        <f>P74+P98</f>
        <v>37700</v>
      </c>
      <c r="S99" s="5">
        <v>49734</v>
      </c>
      <c r="T99" s="5">
        <f>T74+T98</f>
        <v>50067</v>
      </c>
      <c r="X99" s="131"/>
      <c r="Y99" s="102"/>
      <c r="AJ99" s="102"/>
    </row>
  </sheetData>
  <phoneticPr fontId="3" type="noConversion"/>
  <hyperlinks>
    <hyperlink ref="A1" location="Main!A1" display="Main" xr:uid="{91B03804-6AC4-4060-8306-A64176EF9A30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D336-A92B-4026-9D6A-F5A793B8B404}">
  <dimension ref="A1"/>
  <sheetViews>
    <sheetView workbookViewId="0">
      <selection activeCell="V27" sqref="V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FBC5-94D3-4631-B6C6-3844514F6EB8}">
  <dimension ref="A1:Z15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U12" sqref="U12"/>
    </sheetView>
  </sheetViews>
  <sheetFormatPr defaultRowHeight="15" x14ac:dyDescent="0.25"/>
  <cols>
    <col min="1" max="1" width="27.5703125" customWidth="1"/>
  </cols>
  <sheetData>
    <row r="1" spans="1:26" x14ac:dyDescent="0.25">
      <c r="A1" s="2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114</v>
      </c>
      <c r="M1" s="4" t="s">
        <v>115</v>
      </c>
      <c r="N1" s="4" t="s">
        <v>116</v>
      </c>
      <c r="O1" s="4" t="s">
        <v>117</v>
      </c>
      <c r="P1" s="4" t="s">
        <v>247</v>
      </c>
      <c r="Q1" s="4" t="s">
        <v>248</v>
      </c>
      <c r="R1" s="4"/>
      <c r="S1" s="4"/>
      <c r="T1" s="4" t="s">
        <v>64</v>
      </c>
      <c r="U1" s="4" t="s">
        <v>23</v>
      </c>
      <c r="V1" s="4" t="s">
        <v>22</v>
      </c>
      <c r="W1" s="4" t="s">
        <v>21</v>
      </c>
      <c r="X1" s="4" t="s">
        <v>17</v>
      </c>
      <c r="Y1" s="4" t="s">
        <v>18</v>
      </c>
      <c r="Z1" s="4" t="s">
        <v>19</v>
      </c>
    </row>
    <row r="2" spans="1:26" x14ac:dyDescent="0.25">
      <c r="A2" t="s">
        <v>79</v>
      </c>
      <c r="B2" s="1">
        <v>52901</v>
      </c>
      <c r="C2" s="1">
        <v>53157</v>
      </c>
      <c r="D2" s="1">
        <v>49942</v>
      </c>
      <c r="E2" s="1">
        <f t="shared" ref="E2:E9" si="0">X2-D2-C2-B2</f>
        <v>66075</v>
      </c>
      <c r="F2" s="1">
        <v>51129</v>
      </c>
      <c r="G2" s="1">
        <v>50855</v>
      </c>
      <c r="H2" s="1">
        <v>53489</v>
      </c>
      <c r="I2" s="1">
        <f t="shared" ref="I2:I8" si="1">Y2-H2-G2-F2</f>
        <v>64531</v>
      </c>
      <c r="J2" s="1">
        <v>51096</v>
      </c>
      <c r="K2" s="1">
        <v>52966</v>
      </c>
      <c r="L2" s="1">
        <v>57267</v>
      </c>
      <c r="M2" s="1">
        <f>Z2-L2-K2-J2</f>
        <v>70543</v>
      </c>
      <c r="N2" s="1">
        <v>54670</v>
      </c>
      <c r="O2" s="1">
        <v>55392</v>
      </c>
      <c r="P2" s="1">
        <v>61441</v>
      </c>
      <c r="T2" s="1">
        <v>108354</v>
      </c>
      <c r="U2" s="1">
        <v>122987</v>
      </c>
      <c r="V2" s="1">
        <v>141247</v>
      </c>
      <c r="W2" s="1">
        <v>197346</v>
      </c>
      <c r="X2" s="1">
        <v>222075</v>
      </c>
      <c r="Y2" s="1">
        <v>220004</v>
      </c>
      <c r="Z2" s="1">
        <v>231872</v>
      </c>
    </row>
    <row r="3" spans="1:26" x14ac:dyDescent="0.25">
      <c r="A3" t="s">
        <v>80</v>
      </c>
      <c r="B3" s="1">
        <v>3920</v>
      </c>
      <c r="C3" s="1">
        <v>4198</v>
      </c>
      <c r="D3" s="1">
        <v>4269</v>
      </c>
      <c r="E3" s="1">
        <f t="shared" si="0"/>
        <v>4688</v>
      </c>
      <c r="F3" s="1">
        <v>4591</v>
      </c>
      <c r="G3" s="1">
        <v>4721</v>
      </c>
      <c r="H3" s="1">
        <v>4694</v>
      </c>
      <c r="I3" s="1">
        <f t="shared" si="1"/>
        <v>4957</v>
      </c>
      <c r="J3" s="1">
        <v>4895</v>
      </c>
      <c r="K3" s="1">
        <v>5024</v>
      </c>
      <c r="L3" s="1">
        <v>4959</v>
      </c>
      <c r="M3" s="1">
        <f t="shared" ref="M3:M8" si="2">Z3-L3-K3-J3</f>
        <v>5152</v>
      </c>
      <c r="N3" s="1">
        <v>5202</v>
      </c>
      <c r="O3" s="1">
        <v>5206</v>
      </c>
      <c r="P3" s="1">
        <v>5228</v>
      </c>
      <c r="T3" s="1">
        <v>5798</v>
      </c>
      <c r="U3" s="1">
        <v>17224</v>
      </c>
      <c r="V3" s="1">
        <v>17192</v>
      </c>
      <c r="W3" s="1">
        <v>16227</v>
      </c>
      <c r="X3" s="1">
        <v>17075</v>
      </c>
      <c r="Y3" s="1">
        <v>18963</v>
      </c>
      <c r="Z3" s="1">
        <v>20030</v>
      </c>
    </row>
    <row r="4" spans="1:26" x14ac:dyDescent="0.25">
      <c r="A4" t="s">
        <v>81</v>
      </c>
      <c r="B4" s="1">
        <v>23709</v>
      </c>
      <c r="C4" s="1">
        <v>25085</v>
      </c>
      <c r="D4" s="1">
        <v>24252</v>
      </c>
      <c r="E4" s="1">
        <f t="shared" si="0"/>
        <v>30320</v>
      </c>
      <c r="F4" s="1">
        <v>25335</v>
      </c>
      <c r="G4" s="1">
        <v>27376</v>
      </c>
      <c r="H4" s="1">
        <v>28666</v>
      </c>
      <c r="I4" s="1">
        <f t="shared" si="1"/>
        <v>36339</v>
      </c>
      <c r="J4" s="1">
        <v>29820</v>
      </c>
      <c r="K4" s="1">
        <v>32332</v>
      </c>
      <c r="L4" s="1">
        <v>34342</v>
      </c>
      <c r="M4" s="1">
        <f t="shared" si="2"/>
        <v>43559</v>
      </c>
      <c r="N4" s="1">
        <v>34596</v>
      </c>
      <c r="O4" s="1">
        <v>36201</v>
      </c>
      <c r="P4" s="1">
        <v>37864</v>
      </c>
      <c r="T4" s="1">
        <v>31881</v>
      </c>
      <c r="U4" s="1">
        <v>42745</v>
      </c>
      <c r="V4" s="1">
        <v>53762</v>
      </c>
      <c r="W4" s="1">
        <v>80461</v>
      </c>
      <c r="X4" s="1">
        <v>103366</v>
      </c>
      <c r="Y4" s="1">
        <v>117716</v>
      </c>
      <c r="Z4" s="1">
        <v>140053</v>
      </c>
    </row>
    <row r="5" spans="1:26" x14ac:dyDescent="0.25">
      <c r="A5" t="s">
        <v>82</v>
      </c>
      <c r="B5" s="1">
        <v>7580</v>
      </c>
      <c r="C5" s="1">
        <v>7917</v>
      </c>
      <c r="D5" s="1">
        <v>8148</v>
      </c>
      <c r="E5" s="1">
        <f t="shared" si="0"/>
        <v>8123</v>
      </c>
      <c r="F5" s="1">
        <v>8410</v>
      </c>
      <c r="G5" s="1">
        <v>8716</v>
      </c>
      <c r="H5" s="1">
        <v>8903</v>
      </c>
      <c r="I5" s="1">
        <f t="shared" si="1"/>
        <v>9189</v>
      </c>
      <c r="J5" s="1">
        <v>9657</v>
      </c>
      <c r="K5" s="1">
        <v>9894</v>
      </c>
      <c r="L5" s="1">
        <v>10170</v>
      </c>
      <c r="M5" s="1">
        <f t="shared" si="2"/>
        <v>17185</v>
      </c>
      <c r="N5" s="1">
        <v>10722</v>
      </c>
      <c r="O5" s="1">
        <v>10866</v>
      </c>
      <c r="P5" s="1">
        <v>14331</v>
      </c>
      <c r="T5" s="1">
        <v>9721</v>
      </c>
      <c r="U5" s="1">
        <v>14168</v>
      </c>
      <c r="V5" s="1">
        <v>19210</v>
      </c>
      <c r="W5" s="1">
        <v>25207</v>
      </c>
      <c r="X5" s="1">
        <v>31768</v>
      </c>
      <c r="Y5" s="1">
        <v>35218</v>
      </c>
      <c r="Z5" s="1">
        <v>46906</v>
      </c>
    </row>
    <row r="6" spans="1:26" x14ac:dyDescent="0.25">
      <c r="A6" t="s">
        <v>83</v>
      </c>
      <c r="B6" s="1">
        <v>6381</v>
      </c>
      <c r="C6" s="1">
        <v>7451</v>
      </c>
      <c r="D6" s="1">
        <v>7512</v>
      </c>
      <c r="E6" s="1">
        <f t="shared" si="0"/>
        <v>9816</v>
      </c>
      <c r="F6" s="1">
        <v>7877</v>
      </c>
      <c r="G6" s="1">
        <v>8757</v>
      </c>
      <c r="H6" s="1">
        <v>9548</v>
      </c>
      <c r="I6" s="1">
        <f t="shared" si="1"/>
        <v>11557</v>
      </c>
      <c r="J6" s="1">
        <v>9509</v>
      </c>
      <c r="K6" s="1">
        <v>10683</v>
      </c>
      <c r="L6" s="1">
        <v>12060</v>
      </c>
      <c r="M6" s="1">
        <f t="shared" si="2"/>
        <v>7957</v>
      </c>
      <c r="N6" s="1">
        <v>11824</v>
      </c>
      <c r="O6" s="1">
        <v>12771</v>
      </c>
      <c r="P6" s="1">
        <v>11278</v>
      </c>
      <c r="T6" s="1">
        <v>0</v>
      </c>
      <c r="U6" s="1"/>
      <c r="V6" s="1">
        <v>0</v>
      </c>
      <c r="W6" s="1">
        <v>19773</v>
      </c>
      <c r="X6" s="1">
        <v>31160</v>
      </c>
      <c r="Y6" s="1">
        <v>37739</v>
      </c>
      <c r="Z6" s="1">
        <v>40209</v>
      </c>
    </row>
    <row r="7" spans="1:26" x14ac:dyDescent="0.25">
      <c r="A7" t="s">
        <v>55</v>
      </c>
      <c r="B7" s="1">
        <v>13503</v>
      </c>
      <c r="C7" s="1">
        <v>14809</v>
      </c>
      <c r="D7" s="1">
        <v>16110</v>
      </c>
      <c r="E7" s="1">
        <f t="shared" si="0"/>
        <v>17780</v>
      </c>
      <c r="F7" s="1">
        <v>18441</v>
      </c>
      <c r="G7" s="1">
        <v>19739</v>
      </c>
      <c r="H7" s="1">
        <v>20538</v>
      </c>
      <c r="I7" s="1">
        <f t="shared" si="1"/>
        <v>21378</v>
      </c>
      <c r="J7" s="1">
        <v>21354</v>
      </c>
      <c r="K7" s="1">
        <v>22140</v>
      </c>
      <c r="L7" s="1">
        <v>23059</v>
      </c>
      <c r="M7" s="1">
        <f t="shared" si="2"/>
        <v>24204</v>
      </c>
      <c r="N7" s="1">
        <v>25037</v>
      </c>
      <c r="O7" s="1">
        <v>26281</v>
      </c>
      <c r="P7" s="1">
        <v>27452</v>
      </c>
      <c r="T7" s="1">
        <v>17459</v>
      </c>
      <c r="U7" s="1">
        <v>25655</v>
      </c>
      <c r="V7" s="1">
        <v>35026</v>
      </c>
      <c r="W7" s="1">
        <v>45370</v>
      </c>
      <c r="X7" s="1">
        <v>62202</v>
      </c>
      <c r="Y7" s="1">
        <v>80096</v>
      </c>
      <c r="Z7" s="1">
        <v>90757</v>
      </c>
    </row>
    <row r="8" spans="1:26" x14ac:dyDescent="0.25">
      <c r="A8" t="s">
        <v>39</v>
      </c>
      <c r="B8" s="1">
        <v>524</v>
      </c>
      <c r="C8" s="1">
        <v>463</v>
      </c>
      <c r="D8" s="1">
        <v>479</v>
      </c>
      <c r="E8" s="1">
        <f t="shared" si="0"/>
        <v>710</v>
      </c>
      <c r="F8" s="1">
        <v>661</v>
      </c>
      <c r="G8" s="1">
        <v>1070</v>
      </c>
      <c r="H8" s="1">
        <v>1263</v>
      </c>
      <c r="I8" s="1">
        <f t="shared" si="1"/>
        <v>1253</v>
      </c>
      <c r="J8" s="1">
        <v>1027</v>
      </c>
      <c r="K8" s="1">
        <v>1344</v>
      </c>
      <c r="L8" s="1">
        <v>1226</v>
      </c>
      <c r="M8" s="1">
        <f t="shared" si="2"/>
        <v>1361</v>
      </c>
      <c r="N8" s="1">
        <v>1262</v>
      </c>
      <c r="O8" s="1">
        <v>1260</v>
      </c>
      <c r="P8" s="1">
        <v>1313</v>
      </c>
      <c r="T8" s="1">
        <v>4653</v>
      </c>
      <c r="U8" s="1">
        <v>10108</v>
      </c>
      <c r="V8" s="1">
        <v>14085</v>
      </c>
      <c r="W8" s="1">
        <v>1680</v>
      </c>
      <c r="X8" s="1">
        <v>2176</v>
      </c>
      <c r="Y8" s="1">
        <v>4247</v>
      </c>
      <c r="Z8" s="1">
        <v>4958</v>
      </c>
    </row>
    <row r="9" spans="1:26" x14ac:dyDescent="0.25">
      <c r="B9" s="1">
        <f>SUM(B2:B8)</f>
        <v>108518</v>
      </c>
      <c r="C9" s="1">
        <f>SUM(C2:C8)</f>
        <v>113080</v>
      </c>
      <c r="D9" s="1">
        <f>SUM(D2:D8)</f>
        <v>110712</v>
      </c>
      <c r="E9" s="1">
        <f t="shared" si="0"/>
        <v>137512</v>
      </c>
      <c r="F9" s="1">
        <f t="shared" ref="F9:P9" si="3">SUM(F2:F8)</f>
        <v>116444</v>
      </c>
      <c r="G9" s="1">
        <f t="shared" si="3"/>
        <v>121234</v>
      </c>
      <c r="H9" s="1">
        <f t="shared" si="3"/>
        <v>127101</v>
      </c>
      <c r="I9" s="1">
        <f t="shared" si="3"/>
        <v>149204</v>
      </c>
      <c r="J9" s="1">
        <f t="shared" si="3"/>
        <v>127358</v>
      </c>
      <c r="K9" s="1">
        <f t="shared" si="3"/>
        <v>134383</v>
      </c>
      <c r="L9" s="1">
        <f t="shared" si="3"/>
        <v>143083</v>
      </c>
      <c r="M9" s="1">
        <f t="shared" si="3"/>
        <v>169961</v>
      </c>
      <c r="N9" s="1">
        <f t="shared" si="3"/>
        <v>143313</v>
      </c>
      <c r="O9" s="1">
        <f t="shared" si="3"/>
        <v>147977</v>
      </c>
      <c r="P9" s="1">
        <f t="shared" si="3"/>
        <v>158907</v>
      </c>
      <c r="T9" s="1">
        <f t="shared" ref="T9:Z9" si="4">SUM(T2:T8)</f>
        <v>177866</v>
      </c>
      <c r="U9" s="1">
        <f t="shared" si="4"/>
        <v>232887</v>
      </c>
      <c r="V9" s="1">
        <f t="shared" si="4"/>
        <v>280522</v>
      </c>
      <c r="W9" s="1">
        <f t="shared" si="4"/>
        <v>386064</v>
      </c>
      <c r="X9" s="1">
        <f t="shared" si="4"/>
        <v>469822</v>
      </c>
      <c r="Y9" s="1">
        <f t="shared" si="4"/>
        <v>513983</v>
      </c>
      <c r="Z9" s="1">
        <f t="shared" si="4"/>
        <v>574785</v>
      </c>
    </row>
    <row r="12" spans="1:26" x14ac:dyDescent="0.25">
      <c r="A12" t="s">
        <v>88</v>
      </c>
      <c r="F12" s="7">
        <f>F2/B2-1</f>
        <v>-3.3496531256497986E-2</v>
      </c>
      <c r="G12" s="7">
        <f t="shared" ref="G12:K12" si="5">G2/C2-1</f>
        <v>-4.3305679402524611E-2</v>
      </c>
      <c r="H12" s="7">
        <f t="shared" si="5"/>
        <v>7.102238596772259E-2</v>
      </c>
      <c r="I12" s="7">
        <f t="shared" si="5"/>
        <v>-2.3367385546727237E-2</v>
      </c>
      <c r="J12" s="7">
        <f t="shared" si="5"/>
        <v>-6.4542627471686487E-4</v>
      </c>
      <c r="K12" s="7">
        <f t="shared" si="5"/>
        <v>4.1510175990561393E-2</v>
      </c>
      <c r="L12" s="7">
        <f t="shared" ref="L12" si="6">L2/H2-1</f>
        <v>7.0631344762474457E-2</v>
      </c>
      <c r="M12" s="7">
        <f t="shared" ref="M12" si="7">M2/I2-1</f>
        <v>9.3164525576854507E-2</v>
      </c>
      <c r="N12" s="7">
        <f t="shared" ref="N12" si="8">N2/J2-1</f>
        <v>6.9946766870205179E-2</v>
      </c>
      <c r="O12" s="7">
        <f t="shared" ref="O12:P12" si="9">O2/K2-1</f>
        <v>4.5802967941698469E-2</v>
      </c>
      <c r="P12" s="7">
        <f t="shared" si="9"/>
        <v>7.288665374473946E-2</v>
      </c>
      <c r="T12" s="7"/>
      <c r="U12" s="7">
        <f t="shared" ref="U12:W12" si="10">U2/T2-1</f>
        <v>0.13504808313490968</v>
      </c>
      <c r="V12" s="7">
        <f t="shared" si="10"/>
        <v>0.14847097660728359</v>
      </c>
      <c r="W12" s="7">
        <f t="shared" si="10"/>
        <v>0.39716949740525465</v>
      </c>
      <c r="X12" s="7">
        <f>X2/W2-1</f>
        <v>0.12530783497005249</v>
      </c>
      <c r="Y12" s="7">
        <f>Y2/X2-1</f>
        <v>-9.3256782618484912E-3</v>
      </c>
      <c r="Z12" s="7">
        <f>Z2/Y2-1</f>
        <v>5.3944473736841081E-2</v>
      </c>
    </row>
    <row r="13" spans="1:26" x14ac:dyDescent="0.25">
      <c r="A13" t="s">
        <v>85</v>
      </c>
      <c r="F13" s="7">
        <f t="shared" ref="F13:K13" si="11">F6/B6-1</f>
        <v>0.23444601159692846</v>
      </c>
      <c r="G13" s="7">
        <f t="shared" si="11"/>
        <v>0.17527848610924712</v>
      </c>
      <c r="H13" s="7">
        <f t="shared" si="11"/>
        <v>0.27103301384451539</v>
      </c>
      <c r="I13" s="7">
        <f t="shared" si="11"/>
        <v>0.17736348818255898</v>
      </c>
      <c r="J13" s="7">
        <f t="shared" si="11"/>
        <v>0.20718547670432907</v>
      </c>
      <c r="K13" s="7">
        <f t="shared" si="11"/>
        <v>0.21993833504624871</v>
      </c>
      <c r="L13" s="7">
        <f t="shared" ref="L13:L14" si="12">L6/H6-1</f>
        <v>0.26309174696271476</v>
      </c>
      <c r="M13" s="7">
        <f>M6/I6-1</f>
        <v>-0.31149952409794934</v>
      </c>
      <c r="N13" s="7">
        <f t="shared" ref="N13:P14" si="13">N6/J6-1</f>
        <v>0.24345357030181924</v>
      </c>
      <c r="O13" s="7">
        <f t="shared" si="13"/>
        <v>0.19545071609098574</v>
      </c>
      <c r="P13" s="7">
        <f t="shared" si="13"/>
        <v>-6.4842454394693161E-2</v>
      </c>
      <c r="T13" s="7"/>
      <c r="U13" s="7"/>
      <c r="V13" s="7"/>
      <c r="W13" s="7"/>
      <c r="X13" s="7">
        <f t="shared" ref="X13:Z14" si="14">X6/W6-1</f>
        <v>0.57588630961412024</v>
      </c>
      <c r="Y13" s="7">
        <f t="shared" si="14"/>
        <v>0.21113607188703476</v>
      </c>
      <c r="Z13" s="7">
        <f t="shared" si="14"/>
        <v>6.5449534963830436E-2</v>
      </c>
    </row>
    <row r="14" spans="1:26" x14ac:dyDescent="0.25">
      <c r="A14" t="s">
        <v>86</v>
      </c>
      <c r="F14" s="7">
        <f>F7/B7-1</f>
        <v>0.36569651188624741</v>
      </c>
      <c r="G14" s="7">
        <f t="shared" ref="G14:K14" si="15">G7/C7-1</f>
        <v>0.33290566547369838</v>
      </c>
      <c r="H14" s="7">
        <f t="shared" si="15"/>
        <v>0.27486033519553077</v>
      </c>
      <c r="I14" s="7">
        <f t="shared" si="15"/>
        <v>0.20236220472440936</v>
      </c>
      <c r="J14" s="7">
        <f t="shared" si="15"/>
        <v>0.157963234097934</v>
      </c>
      <c r="K14" s="7">
        <f t="shared" si="15"/>
        <v>0.12163736764780375</v>
      </c>
      <c r="L14" s="7">
        <f t="shared" si="12"/>
        <v>0.1227480767358069</v>
      </c>
      <c r="M14" s="7">
        <f t="shared" ref="M14" si="16">M7/I7-1</f>
        <v>0.13219197305641317</v>
      </c>
      <c r="N14" s="7">
        <f t="shared" si="13"/>
        <v>0.17247354125690739</v>
      </c>
      <c r="O14" s="7">
        <f t="shared" si="13"/>
        <v>0.18703703703703711</v>
      </c>
      <c r="P14" s="7">
        <f t="shared" si="13"/>
        <v>0.1905112971074201</v>
      </c>
      <c r="T14" s="7"/>
      <c r="U14" s="7">
        <f t="shared" ref="U14:W14" si="17">U7/T7-1</f>
        <v>0.46944269431238905</v>
      </c>
      <c r="V14" s="7">
        <f t="shared" si="17"/>
        <v>0.36526992788930035</v>
      </c>
      <c r="W14" s="7">
        <f t="shared" si="17"/>
        <v>0.29532347399074976</v>
      </c>
      <c r="X14" s="7">
        <f t="shared" si="14"/>
        <v>0.37099404893101173</v>
      </c>
      <c r="Y14" s="7">
        <f t="shared" si="14"/>
        <v>0.28767563743931057</v>
      </c>
      <c r="Z14" s="7">
        <f t="shared" si="14"/>
        <v>0.13310277666799841</v>
      </c>
    </row>
    <row r="15" spans="1:26" x14ac:dyDescent="0.25">
      <c r="A15" t="s">
        <v>87</v>
      </c>
      <c r="F15" s="7">
        <f>F4/B4-1</f>
        <v>6.8581551309629285E-2</v>
      </c>
      <c r="G15" s="7">
        <f t="shared" ref="G15:K15" si="18">G4/C4-1</f>
        <v>9.1329479768786026E-2</v>
      </c>
      <c r="H15" s="7">
        <f t="shared" si="18"/>
        <v>0.18200560778492503</v>
      </c>
      <c r="I15" s="7">
        <f t="shared" si="18"/>
        <v>0.19851583113456472</v>
      </c>
      <c r="J15" s="7">
        <f t="shared" si="18"/>
        <v>0.177027827116637</v>
      </c>
      <c r="K15" s="7">
        <f t="shared" si="18"/>
        <v>0.18103448275862077</v>
      </c>
      <c r="L15" s="7">
        <f t="shared" ref="L15" si="19">L4/H4-1</f>
        <v>0.19800460475825021</v>
      </c>
      <c r="M15" s="7">
        <f t="shared" ref="M15" si="20">M4/I4-1</f>
        <v>0.19868460882247718</v>
      </c>
      <c r="N15" s="7">
        <f t="shared" ref="N15" si="21">N4/J4-1</f>
        <v>0.16016096579476868</v>
      </c>
      <c r="O15" s="7">
        <f t="shared" ref="O15:P15" si="22">O4/K4-1</f>
        <v>0.11966472844240994</v>
      </c>
      <c r="P15" s="7">
        <f t="shared" si="22"/>
        <v>0.10255663618892319</v>
      </c>
      <c r="T15" s="7"/>
      <c r="U15" s="7">
        <f t="shared" ref="U15:W15" si="23">U4/T4-1</f>
        <v>0.34076722812960702</v>
      </c>
      <c r="V15" s="7">
        <f t="shared" si="23"/>
        <v>0.25773774710492448</v>
      </c>
      <c r="W15" s="7">
        <f t="shared" si="23"/>
        <v>0.49661470927420859</v>
      </c>
      <c r="X15" s="7">
        <f>X4/W4-1</f>
        <v>0.28467207715539211</v>
      </c>
      <c r="Y15" s="7">
        <f>Y4/X4-1</f>
        <v>0.13882708047133496</v>
      </c>
      <c r="Z15" s="7">
        <f>Z4/Y4-1</f>
        <v>0.18975330456352579</v>
      </c>
    </row>
  </sheetData>
  <phoneticPr fontId="3" type="noConversion"/>
  <hyperlinks>
    <hyperlink ref="A1" location="Main!A1" display="Main" xr:uid="{0F37BD00-8BC5-4A2E-BAAF-684A290590F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90F0-53B8-444C-8B72-B257B44AC1DF}">
  <dimension ref="A1:M1409"/>
  <sheetViews>
    <sheetView workbookViewId="0">
      <selection activeCell="F15" sqref="F15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2" t="s">
        <v>6</v>
      </c>
      <c r="B1" s="4" t="s">
        <v>127</v>
      </c>
      <c r="C1" s="4" t="s">
        <v>0</v>
      </c>
      <c r="D1" s="4" t="s">
        <v>128</v>
      </c>
      <c r="H1" s="120" t="s">
        <v>129</v>
      </c>
      <c r="I1" s="121"/>
      <c r="J1" s="121"/>
      <c r="K1" s="121"/>
      <c r="L1" s="121"/>
      <c r="M1" s="122"/>
    </row>
    <row r="2" spans="1:13" ht="15.75" thickBot="1" x14ac:dyDescent="0.3">
      <c r="B2" s="9">
        <v>45411</v>
      </c>
      <c r="C2" s="3">
        <v>175</v>
      </c>
      <c r="D2" s="101">
        <f>C2/C3-1</f>
        <v>-2.572093936423947E-2</v>
      </c>
      <c r="H2" s="13"/>
      <c r="I2" s="14"/>
      <c r="J2" s="14"/>
      <c r="K2" s="14"/>
      <c r="L2" s="14"/>
      <c r="M2" s="15"/>
    </row>
    <row r="3" spans="1:13" ht="15.75" thickBot="1" x14ac:dyDescent="0.3">
      <c r="B3" s="9">
        <v>45404</v>
      </c>
      <c r="C3" s="3">
        <v>179.61999499999999</v>
      </c>
      <c r="D3" s="101">
        <f t="shared" ref="D3:D66" si="0">C3/C4-1</f>
        <v>2.8574642713890874E-2</v>
      </c>
      <c r="H3" s="16" t="s">
        <v>130</v>
      </c>
      <c r="I3" s="17" t="s">
        <v>131</v>
      </c>
      <c r="J3" s="18" t="s">
        <v>132</v>
      </c>
      <c r="K3" s="19" t="s">
        <v>133</v>
      </c>
      <c r="L3" s="19" t="s">
        <v>134</v>
      </c>
      <c r="M3" s="20" t="s">
        <v>135</v>
      </c>
    </row>
    <row r="4" spans="1:13" x14ac:dyDescent="0.25">
      <c r="B4" s="9">
        <v>45397</v>
      </c>
      <c r="C4" s="3">
        <v>174.63000500000001</v>
      </c>
      <c r="D4" s="101">
        <f t="shared" si="0"/>
        <v>-6.1784772422909473E-2</v>
      </c>
      <c r="H4" s="21">
        <f>$I$19-3*$I$23</f>
        <v>-0.22446292370581275</v>
      </c>
      <c r="I4" s="22">
        <f>H4</f>
        <v>-0.22446292370581275</v>
      </c>
      <c r="J4" s="23">
        <f>COUNTIF(D:D,"&lt;="&amp;H4)</f>
        <v>6</v>
      </c>
      <c r="K4" s="23" t="str">
        <f>"Less than "&amp;TEXT(H4,"0,00%")</f>
        <v>Less than -22,45%</v>
      </c>
      <c r="L4" s="24">
        <f>J4/$I$31</f>
        <v>4.2643923240938165E-3</v>
      </c>
      <c r="M4" s="25">
        <f>L4</f>
        <v>4.2643923240938165E-3</v>
      </c>
    </row>
    <row r="5" spans="1:13" x14ac:dyDescent="0.25">
      <c r="B5" s="9">
        <v>45390</v>
      </c>
      <c r="C5" s="3">
        <v>186.13000500000001</v>
      </c>
      <c r="D5" s="101">
        <f t="shared" si="0"/>
        <v>5.7275515205443828E-3</v>
      </c>
      <c r="H5" s="26">
        <f>$I$19-2.4*$I$23</f>
        <v>-0.17791617460922243</v>
      </c>
      <c r="I5" s="27">
        <f>H5</f>
        <v>-0.17791617460922243</v>
      </c>
      <c r="J5" s="28">
        <f>COUNTIFS(D:D,"&lt;="&amp;H5,D:D,"&gt;"&amp;H4)</f>
        <v>12</v>
      </c>
      <c r="K5" s="29" t="str">
        <f t="shared" ref="K5:K14" si="1">TEXT(H4,"0,00%")&amp;" to "&amp;TEXT(H5,"0,00%")</f>
        <v>-22,45% to -17,79%</v>
      </c>
      <c r="L5" s="30">
        <f>J5/$I$31</f>
        <v>8.5287846481876331E-3</v>
      </c>
      <c r="M5" s="31">
        <f>M4+L5</f>
        <v>1.279317697228145E-2</v>
      </c>
    </row>
    <row r="6" spans="1:13" x14ac:dyDescent="0.25">
      <c r="B6" s="9">
        <v>45383</v>
      </c>
      <c r="C6" s="3">
        <v>185.070007</v>
      </c>
      <c r="D6" s="101">
        <f t="shared" si="0"/>
        <v>2.6000675629208381E-2</v>
      </c>
      <c r="H6" s="26">
        <f>$I$19-1.8*$I$23</f>
        <v>-0.13136942551263212</v>
      </c>
      <c r="I6" s="27">
        <f t="shared" ref="I6:I14" si="2">H6</f>
        <v>-0.13136942551263212</v>
      </c>
      <c r="J6" s="28">
        <f t="shared" ref="J6:J14" si="3">COUNTIFS(D:D,"&lt;="&amp;H6,D:D,"&gt;"&amp;H5)</f>
        <v>26</v>
      </c>
      <c r="K6" s="29" t="str">
        <f t="shared" si="1"/>
        <v>-17,79% to -13,14%</v>
      </c>
      <c r="L6" s="30">
        <f t="shared" ref="L6:L15" si="4">J6/$I$31</f>
        <v>1.8479033404406538E-2</v>
      </c>
      <c r="M6" s="31">
        <f t="shared" ref="M6:M15" si="5">M5+L6</f>
        <v>3.1272210376687988E-2</v>
      </c>
    </row>
    <row r="7" spans="1:13" x14ac:dyDescent="0.25">
      <c r="B7" s="9">
        <v>45376</v>
      </c>
      <c r="C7" s="3">
        <v>180.38000500000001</v>
      </c>
      <c r="D7" s="101">
        <f t="shared" si="0"/>
        <v>8.4419413105032426E-3</v>
      </c>
      <c r="H7" s="26">
        <f>$I$19-1.2*$I$23</f>
        <v>-8.4822676416041784E-2</v>
      </c>
      <c r="I7" s="27">
        <f t="shared" si="2"/>
        <v>-8.4822676416041784E-2</v>
      </c>
      <c r="J7" s="28">
        <f t="shared" si="3"/>
        <v>50</v>
      </c>
      <c r="K7" s="29" t="str">
        <f t="shared" si="1"/>
        <v>-13,14% to -8,48%</v>
      </c>
      <c r="L7" s="30">
        <f t="shared" si="4"/>
        <v>3.5536602700781808E-2</v>
      </c>
      <c r="M7" s="31">
        <f t="shared" si="5"/>
        <v>6.6808813077469803E-2</v>
      </c>
    </row>
    <row r="8" spans="1:13" x14ac:dyDescent="0.25">
      <c r="B8" s="9">
        <v>45369</v>
      </c>
      <c r="C8" s="3">
        <v>178.86999499999999</v>
      </c>
      <c r="D8" s="101">
        <f t="shared" si="0"/>
        <v>2.5513112320985076E-2</v>
      </c>
      <c r="H8" s="26">
        <f>$I$19-0.6*$I$23</f>
        <v>-3.827592731945146E-2</v>
      </c>
      <c r="I8" s="27">
        <f t="shared" si="2"/>
        <v>-3.827592731945146E-2</v>
      </c>
      <c r="J8" s="28">
        <f t="shared" si="3"/>
        <v>164</v>
      </c>
      <c r="K8" s="29" t="str">
        <f t="shared" si="1"/>
        <v>-8,48% to -3,83%</v>
      </c>
      <c r="L8" s="30">
        <f t="shared" si="4"/>
        <v>0.11656005685856433</v>
      </c>
      <c r="M8" s="31">
        <f t="shared" si="5"/>
        <v>0.18336886993603413</v>
      </c>
    </row>
    <row r="9" spans="1:13" x14ac:dyDescent="0.25">
      <c r="B9" s="9">
        <v>45362</v>
      </c>
      <c r="C9" s="3">
        <v>174.41999799999999</v>
      </c>
      <c r="D9" s="101">
        <f t="shared" si="0"/>
        <v>-5.3037237991312436E-3</v>
      </c>
      <c r="H9" s="26">
        <f>$I$19</f>
        <v>8.2708217771388631E-3</v>
      </c>
      <c r="I9" s="27">
        <f t="shared" si="2"/>
        <v>8.2708217771388631E-3</v>
      </c>
      <c r="J9" s="28">
        <f t="shared" si="3"/>
        <v>502</v>
      </c>
      <c r="K9" s="29" t="str">
        <f t="shared" si="1"/>
        <v>-3,83% to 0,83%</v>
      </c>
      <c r="L9" s="30">
        <f t="shared" si="4"/>
        <v>0.35678749111584934</v>
      </c>
      <c r="M9" s="31">
        <f t="shared" si="5"/>
        <v>0.54015636105188347</v>
      </c>
    </row>
    <row r="10" spans="1:13" x14ac:dyDescent="0.25">
      <c r="B10" s="9">
        <v>45355</v>
      </c>
      <c r="C10" s="3">
        <v>175.35000600000001</v>
      </c>
      <c r="D10" s="101">
        <f t="shared" si="0"/>
        <v>-1.6103663920414846E-2</v>
      </c>
      <c r="H10" s="26">
        <f>$I$19+0.6*$I$23</f>
        <v>5.4817570873729189E-2</v>
      </c>
      <c r="I10" s="27">
        <f t="shared" si="2"/>
        <v>5.4817570873729189E-2</v>
      </c>
      <c r="J10" s="28">
        <f t="shared" si="3"/>
        <v>406</v>
      </c>
      <c r="K10" s="29" t="str">
        <f t="shared" si="1"/>
        <v>0,83% to 5,48%</v>
      </c>
      <c r="L10" s="30">
        <f t="shared" si="4"/>
        <v>0.28855721393034828</v>
      </c>
      <c r="M10" s="31">
        <f t="shared" si="5"/>
        <v>0.82871357498223175</v>
      </c>
    </row>
    <row r="11" spans="1:13" x14ac:dyDescent="0.25">
      <c r="B11" s="9">
        <v>45348</v>
      </c>
      <c r="C11" s="3">
        <v>178.220001</v>
      </c>
      <c r="D11" s="101">
        <f t="shared" si="0"/>
        <v>1.8458174225436386E-2</v>
      </c>
      <c r="H11" s="26">
        <f>$I$19+1.2*$I$23</f>
        <v>0.10136431997031951</v>
      </c>
      <c r="I11" s="27">
        <f t="shared" si="2"/>
        <v>0.10136431997031951</v>
      </c>
      <c r="J11" s="28">
        <f t="shared" si="3"/>
        <v>135</v>
      </c>
      <c r="K11" s="29" t="str">
        <f t="shared" si="1"/>
        <v>5,48% to 10,14%</v>
      </c>
      <c r="L11" s="30">
        <f t="shared" si="4"/>
        <v>9.5948827292110878E-2</v>
      </c>
      <c r="M11" s="31">
        <f t="shared" si="5"/>
        <v>0.9246624022743426</v>
      </c>
    </row>
    <row r="12" spans="1:13" x14ac:dyDescent="0.25">
      <c r="B12" s="9">
        <v>45341</v>
      </c>
      <c r="C12" s="3">
        <v>174.990005</v>
      </c>
      <c r="D12" s="101">
        <f t="shared" si="0"/>
        <v>3.2328536143252151E-2</v>
      </c>
      <c r="H12" s="26">
        <f>$I$19+1.8*$I$23</f>
        <v>0.14791106906690984</v>
      </c>
      <c r="I12" s="27">
        <f t="shared" si="2"/>
        <v>0.14791106906690984</v>
      </c>
      <c r="J12" s="28">
        <f t="shared" si="3"/>
        <v>52</v>
      </c>
      <c r="K12" s="29" t="str">
        <f t="shared" si="1"/>
        <v>10,14% to 14,79%</v>
      </c>
      <c r="L12" s="30">
        <f t="shared" si="4"/>
        <v>3.6958066808813077E-2</v>
      </c>
      <c r="M12" s="31">
        <f t="shared" si="5"/>
        <v>0.96162046908315568</v>
      </c>
    </row>
    <row r="13" spans="1:13" x14ac:dyDescent="0.25">
      <c r="B13" s="9">
        <v>45334</v>
      </c>
      <c r="C13" s="3">
        <v>169.509995</v>
      </c>
      <c r="D13" s="101">
        <f t="shared" si="0"/>
        <v>-2.8317581455733709E-2</v>
      </c>
      <c r="H13" s="26">
        <f>$I$19+2.4*$I$23</f>
        <v>0.19445781816350016</v>
      </c>
      <c r="I13" s="27">
        <f t="shared" si="2"/>
        <v>0.19445781816350016</v>
      </c>
      <c r="J13" s="28">
        <f t="shared" si="3"/>
        <v>24</v>
      </c>
      <c r="K13" s="29" t="str">
        <f t="shared" si="1"/>
        <v>14,79% to 19,45%</v>
      </c>
      <c r="L13" s="30">
        <f t="shared" si="4"/>
        <v>1.7057569296375266E-2</v>
      </c>
      <c r="M13" s="31">
        <f t="shared" si="5"/>
        <v>0.97867803837953093</v>
      </c>
    </row>
    <row r="14" spans="1:13" x14ac:dyDescent="0.25">
      <c r="B14" s="9">
        <v>45327</v>
      </c>
      <c r="C14" s="3">
        <v>174.449997</v>
      </c>
      <c r="D14" s="101">
        <f t="shared" si="0"/>
        <v>1.5365805428855239E-2</v>
      </c>
      <c r="H14" s="26">
        <f>$I$19+3*$I$23</f>
        <v>0.24100456726009048</v>
      </c>
      <c r="I14" s="27">
        <f t="shared" si="2"/>
        <v>0.24100456726009048</v>
      </c>
      <c r="J14" s="28">
        <f t="shared" si="3"/>
        <v>10</v>
      </c>
      <c r="K14" s="29" t="str">
        <f t="shared" si="1"/>
        <v>19,45% to 24,10%</v>
      </c>
      <c r="L14" s="30">
        <f t="shared" si="4"/>
        <v>7.1073205401563609E-3</v>
      </c>
      <c r="M14" s="31">
        <f t="shared" si="5"/>
        <v>0.98578535891968733</v>
      </c>
    </row>
    <row r="15" spans="1:13" ht="15.75" thickBot="1" x14ac:dyDescent="0.3">
      <c r="B15" s="9">
        <v>45320</v>
      </c>
      <c r="C15" s="3">
        <v>171.80999800000001</v>
      </c>
      <c r="D15" s="101">
        <f t="shared" si="0"/>
        <v>7.9751152581421403E-2</v>
      </c>
      <c r="H15" s="32"/>
      <c r="I15" s="33" t="s">
        <v>136</v>
      </c>
      <c r="J15" s="33">
        <f>COUNTIF(D:D,"&gt;"&amp;H14)</f>
        <v>20</v>
      </c>
      <c r="K15" s="33" t="str">
        <f>"Greater than "&amp;TEXT(H14,"0,00%")</f>
        <v>Greater than 24,10%</v>
      </c>
      <c r="L15" s="34">
        <f t="shared" si="4"/>
        <v>1.4214641080312722E-2</v>
      </c>
      <c r="M15" s="34">
        <f t="shared" si="5"/>
        <v>1</v>
      </c>
    </row>
    <row r="16" spans="1:13" ht="15.75" thickBot="1" x14ac:dyDescent="0.3">
      <c r="B16" s="9">
        <v>45313</v>
      </c>
      <c r="C16" s="3">
        <v>159.11999499999999</v>
      </c>
      <c r="D16" s="101">
        <f t="shared" si="0"/>
        <v>2.4333713771950816E-2</v>
      </c>
      <c r="H16" s="35"/>
      <c r="M16" s="36"/>
    </row>
    <row r="17" spans="2:13" x14ac:dyDescent="0.25">
      <c r="B17" s="9">
        <v>45306</v>
      </c>
      <c r="C17" s="3">
        <v>155.33999600000001</v>
      </c>
      <c r="D17" s="101">
        <f t="shared" si="0"/>
        <v>4.6565840336498798E-3</v>
      </c>
      <c r="H17" s="123" t="s">
        <v>137</v>
      </c>
      <c r="I17" s="124"/>
      <c r="M17" s="36"/>
    </row>
    <row r="18" spans="2:13" x14ac:dyDescent="0.25">
      <c r="B18" s="9">
        <v>45299</v>
      </c>
      <c r="C18" s="3">
        <v>154.61999499999999</v>
      </c>
      <c r="D18" s="101">
        <f t="shared" si="0"/>
        <v>6.4582688495500973E-2</v>
      </c>
      <c r="H18" s="125"/>
      <c r="I18" s="126"/>
      <c r="M18" s="36"/>
    </row>
    <row r="19" spans="2:13" x14ac:dyDescent="0.25">
      <c r="B19" s="9">
        <v>45292</v>
      </c>
      <c r="C19" s="3">
        <v>145.240005</v>
      </c>
      <c r="D19" s="101">
        <f t="shared" si="0"/>
        <v>-4.4096333498797713E-2</v>
      </c>
      <c r="H19" s="37" t="s">
        <v>138</v>
      </c>
      <c r="I19" s="38">
        <f>AVERAGE(D:D)</f>
        <v>8.2708217771388631E-3</v>
      </c>
      <c r="M19" s="36"/>
    </row>
    <row r="20" spans="2:13" x14ac:dyDescent="0.25">
      <c r="B20" s="9">
        <v>45285</v>
      </c>
      <c r="C20" s="3">
        <v>151.94000199999999</v>
      </c>
      <c r="D20" s="101">
        <f t="shared" si="0"/>
        <v>-9.6466954718641418E-3</v>
      </c>
      <c r="H20" s="37" t="s">
        <v>139</v>
      </c>
      <c r="I20" s="38">
        <f>_xlfn.STDEV.S(D:D)/SQRT(COUNT(D:D))</f>
        <v>2.068192959686467E-3</v>
      </c>
      <c r="M20" s="36"/>
    </row>
    <row r="21" spans="2:13" x14ac:dyDescent="0.25">
      <c r="B21" s="9">
        <v>45278</v>
      </c>
      <c r="C21" s="3">
        <v>153.41999799999999</v>
      </c>
      <c r="D21" s="101">
        <f t="shared" si="0"/>
        <v>2.3004580762788551E-2</v>
      </c>
      <c r="H21" s="37" t="s">
        <v>140</v>
      </c>
      <c r="I21" s="38">
        <f>MEDIAN(D:D)</f>
        <v>3.7214194280585922E-3</v>
      </c>
      <c r="M21" s="36"/>
    </row>
    <row r="22" spans="2:13" x14ac:dyDescent="0.25">
      <c r="B22" s="9">
        <v>45271</v>
      </c>
      <c r="C22" s="3">
        <v>149.970001</v>
      </c>
      <c r="D22" s="101">
        <f t="shared" si="0"/>
        <v>1.7297537882207781E-2</v>
      </c>
      <c r="H22" s="37" t="s">
        <v>141</v>
      </c>
      <c r="I22" s="38">
        <f>MODE(D:D)</f>
        <v>0</v>
      </c>
      <c r="M22" s="36"/>
    </row>
    <row r="23" spans="2:13" x14ac:dyDescent="0.25">
      <c r="B23" s="9">
        <v>45264</v>
      </c>
      <c r="C23" s="3">
        <v>147.41999799999999</v>
      </c>
      <c r="D23" s="101">
        <f t="shared" si="0"/>
        <v>2.652513110606769E-3</v>
      </c>
      <c r="H23" s="37" t="s">
        <v>142</v>
      </c>
      <c r="I23" s="38">
        <f>_xlfn.STDEV.S(D:D)</f>
        <v>7.7577915160983876E-2</v>
      </c>
      <c r="M23" s="36"/>
    </row>
    <row r="24" spans="2:13" x14ac:dyDescent="0.25">
      <c r="B24" s="9">
        <v>45257</v>
      </c>
      <c r="C24" s="3">
        <v>147.029999</v>
      </c>
      <c r="D24" s="101">
        <f t="shared" si="0"/>
        <v>1.9762436289954E-3</v>
      </c>
      <c r="H24" s="37" t="s">
        <v>143</v>
      </c>
      <c r="I24" s="38">
        <f>_xlfn.VAR.S(D:D)</f>
        <v>6.018332920724811E-3</v>
      </c>
      <c r="M24" s="36"/>
    </row>
    <row r="25" spans="2:13" x14ac:dyDescent="0.25">
      <c r="B25" s="9">
        <v>45250</v>
      </c>
      <c r="C25" s="3">
        <v>146.740005</v>
      </c>
      <c r="D25" s="101">
        <f t="shared" si="0"/>
        <v>1.0745364893356868E-2</v>
      </c>
      <c r="H25" s="37" t="s">
        <v>144</v>
      </c>
      <c r="I25" s="39">
        <f>KURT(D:D)</f>
        <v>11.473814332069438</v>
      </c>
      <c r="M25" s="36"/>
    </row>
    <row r="26" spans="2:13" x14ac:dyDescent="0.25">
      <c r="B26" s="9">
        <v>45243</v>
      </c>
      <c r="C26" s="3">
        <v>145.179993</v>
      </c>
      <c r="D26" s="101">
        <f t="shared" si="0"/>
        <v>1.1284445685211031E-2</v>
      </c>
      <c r="H26" s="37" t="s">
        <v>145</v>
      </c>
      <c r="I26" s="39">
        <f>SKEW(D:D)</f>
        <v>1.5158941273203845</v>
      </c>
      <c r="M26" s="36"/>
    </row>
    <row r="27" spans="2:13" x14ac:dyDescent="0.25">
      <c r="B27" s="9">
        <v>45236</v>
      </c>
      <c r="C27" s="3">
        <v>143.55999800000001</v>
      </c>
      <c r="D27" s="101">
        <f t="shared" si="0"/>
        <v>3.5786376517184193E-2</v>
      </c>
      <c r="H27" s="37" t="s">
        <v>133</v>
      </c>
      <c r="I27" s="38">
        <f>I29-I28</f>
        <v>1.072360303190552</v>
      </c>
      <c r="M27" s="36"/>
    </row>
    <row r="28" spans="2:13" x14ac:dyDescent="0.25">
      <c r="B28" s="9">
        <v>45229</v>
      </c>
      <c r="C28" s="3">
        <v>138.60000600000001</v>
      </c>
      <c r="D28" s="101">
        <f t="shared" si="0"/>
        <v>8.5016503601323068E-2</v>
      </c>
      <c r="H28" s="37" t="s">
        <v>146</v>
      </c>
      <c r="I28" s="38">
        <f>MIN(D:D)</f>
        <v>-0.31967213114754101</v>
      </c>
      <c r="M28" s="36"/>
    </row>
    <row r="29" spans="2:13" x14ac:dyDescent="0.25">
      <c r="B29" s="9">
        <v>45222</v>
      </c>
      <c r="C29" s="3">
        <v>127.739998</v>
      </c>
      <c r="D29" s="101">
        <f t="shared" si="0"/>
        <v>2.0532076704195434E-2</v>
      </c>
      <c r="H29" s="37" t="s">
        <v>147</v>
      </c>
      <c r="I29" s="38">
        <f>MAX(D:D)</f>
        <v>0.75268817204301097</v>
      </c>
      <c r="M29" s="36"/>
    </row>
    <row r="30" spans="2:13" x14ac:dyDescent="0.25">
      <c r="B30" s="9">
        <v>45215</v>
      </c>
      <c r="C30" s="3">
        <v>125.16999800000001</v>
      </c>
      <c r="D30" s="101">
        <f t="shared" si="0"/>
        <v>-3.5595926105027265E-2</v>
      </c>
      <c r="H30" s="37" t="s">
        <v>148</v>
      </c>
      <c r="I30" s="39">
        <f>SUM(D:D)</f>
        <v>11.63704624043438</v>
      </c>
      <c r="M30" s="36"/>
    </row>
    <row r="31" spans="2:13" ht="15.75" thickBot="1" x14ac:dyDescent="0.3">
      <c r="B31" s="9">
        <v>45208</v>
      </c>
      <c r="C31" s="3">
        <v>129.78999300000001</v>
      </c>
      <c r="D31" s="101">
        <f t="shared" si="0"/>
        <v>1.4301297392164125E-2</v>
      </c>
      <c r="H31" s="40" t="s">
        <v>149</v>
      </c>
      <c r="I31" s="15">
        <f>COUNT(D:D)</f>
        <v>1407</v>
      </c>
      <c r="M31" s="36"/>
    </row>
    <row r="32" spans="2:13" ht="15.75" thickBot="1" x14ac:dyDescent="0.3">
      <c r="B32" s="9">
        <v>45201</v>
      </c>
      <c r="C32" s="3">
        <v>127.959999</v>
      </c>
      <c r="D32" s="101">
        <f t="shared" si="0"/>
        <v>6.6078978931427557E-3</v>
      </c>
      <c r="H32" s="41"/>
      <c r="M32" s="36"/>
    </row>
    <row r="33" spans="2:13" x14ac:dyDescent="0.25">
      <c r="B33" s="9">
        <v>45194</v>
      </c>
      <c r="C33" s="3">
        <v>127.120003</v>
      </c>
      <c r="D33" s="101">
        <f t="shared" si="0"/>
        <v>-1.5489405804267498E-2</v>
      </c>
      <c r="H33" s="42"/>
      <c r="I33" s="43" t="s">
        <v>150</v>
      </c>
      <c r="J33" s="43" t="s">
        <v>149</v>
      </c>
      <c r="K33" s="43" t="s">
        <v>151</v>
      </c>
      <c r="L33" s="44" t="s">
        <v>152</v>
      </c>
      <c r="M33" s="36"/>
    </row>
    <row r="34" spans="2:13" x14ac:dyDescent="0.25">
      <c r="B34" s="9">
        <v>45187</v>
      </c>
      <c r="C34" s="3">
        <v>129.11999499999999</v>
      </c>
      <c r="D34" s="101">
        <f t="shared" si="0"/>
        <v>-8.0276402024904936E-2</v>
      </c>
      <c r="H34" s="45" t="s">
        <v>153</v>
      </c>
      <c r="I34" s="30">
        <f>AVERAGEIF(D:D,"&gt;0")</f>
        <v>5.4712529413493284E-2</v>
      </c>
      <c r="J34" s="28">
        <f>COUNTIF(D:D,"&gt;0")</f>
        <v>751</v>
      </c>
      <c r="K34" s="30">
        <f>J34/$I$31</f>
        <v>0.5337597725657427</v>
      </c>
      <c r="L34" s="31">
        <f>K34*I34</f>
        <v>2.9203347256242684E-2</v>
      </c>
      <c r="M34" s="36"/>
    </row>
    <row r="35" spans="2:13" x14ac:dyDescent="0.25">
      <c r="B35" s="9">
        <v>45180</v>
      </c>
      <c r="C35" s="3">
        <v>140.38999899999999</v>
      </c>
      <c r="D35" s="101">
        <f t="shared" si="0"/>
        <v>1.5626152517576486E-2</v>
      </c>
      <c r="H35" s="45" t="s">
        <v>154</v>
      </c>
      <c r="I35" s="30">
        <f>AVERAGEIF(D:D,"&lt;0")</f>
        <v>-4.5171876302299178E-2</v>
      </c>
      <c r="J35" s="28">
        <f>COUNTIF(D:D,"&lt;0")</f>
        <v>652</v>
      </c>
      <c r="K35" s="30">
        <f>J35/$I$31</f>
        <v>0.46339729921819472</v>
      </c>
      <c r="L35" s="31">
        <f t="shared" ref="L35:L36" si="6">K35*I35</f>
        <v>-2.0932525479103813E-2</v>
      </c>
      <c r="M35" s="36"/>
    </row>
    <row r="36" spans="2:13" ht="15.75" thickBot="1" x14ac:dyDescent="0.3">
      <c r="B36" s="9">
        <v>45173</v>
      </c>
      <c r="C36" s="3">
        <v>138.229996</v>
      </c>
      <c r="D36" s="101">
        <f t="shared" si="0"/>
        <v>7.964161886917509E-4</v>
      </c>
      <c r="H36" s="46" t="s">
        <v>155</v>
      </c>
      <c r="I36" s="33">
        <v>0</v>
      </c>
      <c r="J36" s="33">
        <f>COUNTIF(D:D,"0")</f>
        <v>4</v>
      </c>
      <c r="K36" s="47">
        <f>J36/$I$31</f>
        <v>2.8429282160625444E-3</v>
      </c>
      <c r="L36" s="34">
        <f t="shared" si="6"/>
        <v>0</v>
      </c>
      <c r="M36" s="36"/>
    </row>
    <row r="37" spans="2:13" ht="15.75" thickBot="1" x14ac:dyDescent="0.3">
      <c r="B37" s="9">
        <v>45166</v>
      </c>
      <c r="C37" s="3">
        <v>138.11999499999999</v>
      </c>
      <c r="D37" s="101">
        <f t="shared" si="0"/>
        <v>3.6470059900572505E-2</v>
      </c>
      <c r="H37" s="41"/>
      <c r="I37" s="48"/>
      <c r="J37" s="48"/>
      <c r="K37" s="48"/>
      <c r="L37" s="48"/>
      <c r="M37" s="36"/>
    </row>
    <row r="38" spans="2:13" x14ac:dyDescent="0.25">
      <c r="B38" s="9">
        <v>45159</v>
      </c>
      <c r="C38" s="3">
        <v>133.259995</v>
      </c>
      <c r="D38" s="101">
        <f t="shared" si="0"/>
        <v>3.0021017639847436E-4</v>
      </c>
      <c r="H38" s="21" t="s">
        <v>156</v>
      </c>
      <c r="I38" s="43" t="s">
        <v>157</v>
      </c>
      <c r="J38" s="43" t="s">
        <v>158</v>
      </c>
      <c r="K38" s="43" t="s">
        <v>159</v>
      </c>
      <c r="L38" s="43" t="s">
        <v>160</v>
      </c>
      <c r="M38" s="44" t="s">
        <v>161</v>
      </c>
    </row>
    <row r="39" spans="2:13" x14ac:dyDescent="0.25">
      <c r="B39" s="9">
        <v>45152</v>
      </c>
      <c r="C39" s="3">
        <v>133.220001</v>
      </c>
      <c r="D39" s="101">
        <f t="shared" si="0"/>
        <v>-3.7497311249264809E-2</v>
      </c>
      <c r="H39" s="49">
        <v>1</v>
      </c>
      <c r="I39" s="30">
        <f>$I$19+($H39*$I$23)</f>
        <v>8.5848736938122741E-2</v>
      </c>
      <c r="J39" s="30">
        <f>$I$19-($H39*$I$23)</f>
        <v>-6.9307093383845012E-2</v>
      </c>
      <c r="K39" s="28">
        <f>COUNTIFS(D:D,"&lt;"&amp;I39,D:D,"&gt;"&amp;J39)</f>
        <v>1138</v>
      </c>
      <c r="L39" s="30">
        <f>K39/$I$31</f>
        <v>0.80881307746979392</v>
      </c>
      <c r="M39" s="31">
        <v>0.68269999999999997</v>
      </c>
    </row>
    <row r="40" spans="2:13" x14ac:dyDescent="0.25">
      <c r="B40" s="9">
        <v>45145</v>
      </c>
      <c r="C40" s="3">
        <v>138.41000399999999</v>
      </c>
      <c r="D40" s="101">
        <f t="shared" si="0"/>
        <v>-8.3112627485933954E-3</v>
      </c>
      <c r="H40" s="49">
        <v>2</v>
      </c>
      <c r="I40" s="30">
        <f>$I$19+($H40*$I$23)</f>
        <v>0.16342665209910662</v>
      </c>
      <c r="J40" s="30">
        <f>$I$19-($H40*$I$23)</f>
        <v>-0.14688500854482889</v>
      </c>
      <c r="K40" s="28">
        <f>COUNTIFS(D:D,"&lt;"&amp;I40,D:D,"&gt;"&amp;J40)</f>
        <v>1329</v>
      </c>
      <c r="L40" s="30">
        <f>K40/$I$31</f>
        <v>0.94456289978678043</v>
      </c>
      <c r="M40" s="31">
        <v>0.95450000000000002</v>
      </c>
    </row>
    <row r="41" spans="2:13" x14ac:dyDescent="0.25">
      <c r="B41" s="9">
        <v>45138</v>
      </c>
      <c r="C41" s="3">
        <v>139.570007</v>
      </c>
      <c r="D41" s="101">
        <f t="shared" si="0"/>
        <v>5.5669008473768766E-2</v>
      </c>
      <c r="H41" s="49">
        <v>3</v>
      </c>
      <c r="I41" s="30">
        <f>$I$19+($H41*$I$23)</f>
        <v>0.24100456726009048</v>
      </c>
      <c r="J41" s="30">
        <f>$I$19-($H41*$I$23)</f>
        <v>-0.22446292370581275</v>
      </c>
      <c r="K41" s="28">
        <f>COUNTIFS(D:D,"&lt;"&amp;I41,D:D,"&gt;"&amp;J41)</f>
        <v>1381</v>
      </c>
      <c r="L41" s="30">
        <f>K41/$I$31</f>
        <v>0.98152096659559351</v>
      </c>
      <c r="M41" s="50">
        <v>0.99729999999999996</v>
      </c>
    </row>
    <row r="42" spans="2:13" ht="15.75" thickBot="1" x14ac:dyDescent="0.3">
      <c r="B42" s="9">
        <v>45131</v>
      </c>
      <c r="C42" s="3">
        <v>132.21000699999999</v>
      </c>
      <c r="D42" s="101">
        <f t="shared" si="0"/>
        <v>1.7000053846153662E-2</v>
      </c>
      <c r="H42" s="26"/>
      <c r="M42" s="50"/>
    </row>
    <row r="43" spans="2:13" ht="15.75" thickBot="1" x14ac:dyDescent="0.3">
      <c r="B43" s="9">
        <v>45124</v>
      </c>
      <c r="C43" s="3">
        <v>130</v>
      </c>
      <c r="D43" s="101">
        <f t="shared" si="0"/>
        <v>-3.4748984580063036E-2</v>
      </c>
      <c r="H43" s="127" t="s">
        <v>162</v>
      </c>
      <c r="I43" s="128"/>
      <c r="J43" s="128"/>
      <c r="K43" s="128"/>
      <c r="L43" s="128"/>
      <c r="M43" s="129"/>
    </row>
    <row r="44" spans="2:13" x14ac:dyDescent="0.25">
      <c r="B44" s="9">
        <v>45117</v>
      </c>
      <c r="C44" s="3">
        <v>134.679993</v>
      </c>
      <c r="D44" s="101">
        <f t="shared" si="0"/>
        <v>3.7756156863585577E-2</v>
      </c>
      <c r="H44" s="51">
        <v>0.01</v>
      </c>
      <c r="I44" s="52">
        <f t="shared" ref="I44:I58" si="7">_xlfn.PERCENTILE.INC(D:D,H44)</f>
        <v>-0.18136566261771545</v>
      </c>
      <c r="J44" s="53">
        <v>0.2</v>
      </c>
      <c r="K44" s="52">
        <f t="shared" ref="K44:K56" si="8">_xlfn.PERCENTILE.INC(D:D,J44)</f>
        <v>-3.515497755842683E-2</v>
      </c>
      <c r="L44" s="53">
        <v>0.85</v>
      </c>
      <c r="M44" s="54">
        <f t="shared" ref="M44:M58" si="9">_xlfn.PERCENTILE.INC(D:D,L44)</f>
        <v>6.101204849406211E-2</v>
      </c>
    </row>
    <row r="45" spans="2:13" x14ac:dyDescent="0.25">
      <c r="B45" s="9">
        <v>45110</v>
      </c>
      <c r="C45" s="3">
        <v>129.779999</v>
      </c>
      <c r="D45" s="101">
        <f t="shared" si="0"/>
        <v>-4.4492328593953578E-3</v>
      </c>
      <c r="H45" s="55">
        <v>0.02</v>
      </c>
      <c r="I45" s="56">
        <f t="shared" si="7"/>
        <v>-0.15225018402843266</v>
      </c>
      <c r="J45" s="57">
        <v>0.25</v>
      </c>
      <c r="K45" s="56">
        <f t="shared" si="8"/>
        <v>-2.642643034686909E-2</v>
      </c>
      <c r="L45" s="57">
        <v>0.86</v>
      </c>
      <c r="M45" s="58">
        <f t="shared" si="9"/>
        <v>6.446335966466317E-2</v>
      </c>
    </row>
    <row r="46" spans="2:13" x14ac:dyDescent="0.25">
      <c r="B46" s="9">
        <v>45103</v>
      </c>
      <c r="C46" s="3">
        <v>130.36000100000001</v>
      </c>
      <c r="D46" s="101">
        <f t="shared" si="0"/>
        <v>7.9641149313520732E-3</v>
      </c>
      <c r="H46" s="55">
        <v>0.03</v>
      </c>
      <c r="I46" s="56">
        <f t="shared" si="7"/>
        <v>-0.13312480809374699</v>
      </c>
      <c r="J46" s="57">
        <v>0.3</v>
      </c>
      <c r="K46" s="56">
        <f t="shared" si="8"/>
        <v>-2.0872931435597632E-2</v>
      </c>
      <c r="L46" s="57">
        <v>0.87</v>
      </c>
      <c r="M46" s="58">
        <f t="shared" si="9"/>
        <v>6.7975824006029292E-2</v>
      </c>
    </row>
    <row r="47" spans="2:13" x14ac:dyDescent="0.25">
      <c r="B47" s="9">
        <v>45096</v>
      </c>
      <c r="C47" s="3">
        <v>129.33000200000001</v>
      </c>
      <c r="D47" s="101">
        <f t="shared" si="0"/>
        <v>3.0600080175314126E-2</v>
      </c>
      <c r="H47" s="55">
        <v>0.04</v>
      </c>
      <c r="I47" s="56">
        <f t="shared" si="7"/>
        <v>-0.11722783593440343</v>
      </c>
      <c r="J47" s="57">
        <v>0.35</v>
      </c>
      <c r="K47" s="56">
        <f t="shared" si="8"/>
        <v>-1.3557498226297092E-2</v>
      </c>
      <c r="L47" s="57">
        <v>0.88</v>
      </c>
      <c r="M47" s="58">
        <f t="shared" si="9"/>
        <v>7.2110766252681424E-2</v>
      </c>
    </row>
    <row r="48" spans="2:13" x14ac:dyDescent="0.25">
      <c r="B48" s="9">
        <v>45089</v>
      </c>
      <c r="C48" s="3">
        <v>125.489998</v>
      </c>
      <c r="D48" s="101">
        <f t="shared" si="0"/>
        <v>1.6689605444381472E-2</v>
      </c>
      <c r="H48" s="55">
        <v>0.05</v>
      </c>
      <c r="I48" s="56">
        <f t="shared" si="7"/>
        <v>-9.9580952380952423E-2</v>
      </c>
      <c r="J48" s="57">
        <v>0.4</v>
      </c>
      <c r="K48" s="56">
        <f t="shared" si="8"/>
        <v>-8.2971312082801511E-3</v>
      </c>
      <c r="L48" s="57">
        <v>0.89</v>
      </c>
      <c r="M48" s="58">
        <f t="shared" si="9"/>
        <v>7.6378997524151615E-2</v>
      </c>
    </row>
    <row r="49" spans="2:13" x14ac:dyDescent="0.25">
      <c r="B49" s="9">
        <v>45082</v>
      </c>
      <c r="C49" s="3">
        <v>123.43</v>
      </c>
      <c r="D49" s="101">
        <f t="shared" si="0"/>
        <v>-6.599597585512984E-3</v>
      </c>
      <c r="H49" s="55">
        <v>0.06</v>
      </c>
      <c r="I49" s="56">
        <f t="shared" si="7"/>
        <v>-8.8380505227462727E-2</v>
      </c>
      <c r="J49" s="57">
        <v>0.45</v>
      </c>
      <c r="K49" s="56">
        <f t="shared" si="8"/>
        <v>-2.0574909322469376E-3</v>
      </c>
      <c r="L49" s="57">
        <v>0.9</v>
      </c>
      <c r="M49" s="58">
        <f t="shared" si="9"/>
        <v>8.3578067024668953E-2</v>
      </c>
    </row>
    <row r="50" spans="2:13" x14ac:dyDescent="0.25">
      <c r="B50" s="9">
        <v>45075</v>
      </c>
      <c r="C50" s="3">
        <v>124.25</v>
      </c>
      <c r="D50" s="101">
        <f t="shared" si="0"/>
        <v>3.4468395350358838E-2</v>
      </c>
      <c r="H50" s="55">
        <v>7.0000000000000007E-2</v>
      </c>
      <c r="I50" s="56">
        <f t="shared" si="7"/>
        <v>-8.0457964601769918E-2</v>
      </c>
      <c r="J50" s="57">
        <v>0.5</v>
      </c>
      <c r="K50" s="56">
        <f t="shared" si="8"/>
        <v>3.7214194280585922E-3</v>
      </c>
      <c r="L50" s="57">
        <v>0.91</v>
      </c>
      <c r="M50" s="58">
        <f t="shared" si="9"/>
        <v>8.8963373562943981E-2</v>
      </c>
    </row>
    <row r="51" spans="2:13" x14ac:dyDescent="0.25">
      <c r="B51" s="9">
        <v>45068</v>
      </c>
      <c r="C51" s="3">
        <v>120.110001</v>
      </c>
      <c r="D51" s="101">
        <f t="shared" si="0"/>
        <v>3.3204309677419275E-2</v>
      </c>
      <c r="H51" s="55">
        <v>0.08</v>
      </c>
      <c r="I51" s="56">
        <f t="shared" si="7"/>
        <v>-7.5290883269796882E-2</v>
      </c>
      <c r="J51" s="57">
        <v>0.55000000000000004</v>
      </c>
      <c r="K51" s="56">
        <f t="shared" si="8"/>
        <v>9.4198531381297444E-3</v>
      </c>
      <c r="L51" s="57">
        <v>0.92</v>
      </c>
      <c r="M51" s="58">
        <f t="shared" si="9"/>
        <v>9.6512805769026544E-2</v>
      </c>
    </row>
    <row r="52" spans="2:13" x14ac:dyDescent="0.25">
      <c r="B52" s="9">
        <v>45061</v>
      </c>
      <c r="C52" s="3">
        <v>116.25</v>
      </c>
      <c r="D52" s="101">
        <f t="shared" si="0"/>
        <v>5.4326119094392888E-2</v>
      </c>
      <c r="H52" s="55">
        <v>0.09</v>
      </c>
      <c r="I52" s="56">
        <f t="shared" si="7"/>
        <v>-7.0748422214103199E-2</v>
      </c>
      <c r="J52" s="57">
        <v>0.6</v>
      </c>
      <c r="K52" s="56">
        <f t="shared" si="8"/>
        <v>1.5306084947684663E-2</v>
      </c>
      <c r="L52" s="57">
        <v>0.93</v>
      </c>
      <c r="M52" s="58">
        <f t="shared" si="9"/>
        <v>0.10635773926062424</v>
      </c>
    </row>
    <row r="53" spans="2:13" x14ac:dyDescent="0.25">
      <c r="B53" s="9">
        <v>45054</v>
      </c>
      <c r="C53" s="3">
        <v>110.260002</v>
      </c>
      <c r="D53" s="101">
        <f t="shared" si="0"/>
        <v>4.3535849194175746E-2</v>
      </c>
      <c r="H53" s="55">
        <v>0.1</v>
      </c>
      <c r="I53" s="56">
        <f t="shared" si="7"/>
        <v>-6.5298243881460591E-2</v>
      </c>
      <c r="J53" s="57">
        <v>0.65</v>
      </c>
      <c r="K53" s="56">
        <f t="shared" si="8"/>
        <v>2.2176278105388261E-2</v>
      </c>
      <c r="L53" s="57">
        <v>0.94</v>
      </c>
      <c r="M53" s="58">
        <f t="shared" si="9"/>
        <v>0.11376744549576029</v>
      </c>
    </row>
    <row r="54" spans="2:13" x14ac:dyDescent="0.25">
      <c r="B54" s="9">
        <v>45047</v>
      </c>
      <c r="C54" s="3">
        <v>105.660004</v>
      </c>
      <c r="D54" s="101">
        <f t="shared" si="0"/>
        <v>1.9915315881897655E-3</v>
      </c>
      <c r="H54" s="55">
        <v>0.11</v>
      </c>
      <c r="I54" s="56">
        <f t="shared" si="7"/>
        <v>-6.1267504630486698E-2</v>
      </c>
      <c r="J54" s="57">
        <v>0.7</v>
      </c>
      <c r="K54" s="56">
        <f t="shared" si="8"/>
        <v>2.8292994715411881E-2</v>
      </c>
      <c r="L54" s="57">
        <v>0.95</v>
      </c>
      <c r="M54" s="58">
        <f t="shared" si="9"/>
        <v>0.12682244683904778</v>
      </c>
    </row>
    <row r="55" spans="2:13" x14ac:dyDescent="0.25">
      <c r="B55" s="9">
        <v>45040</v>
      </c>
      <c r="C55" s="3">
        <v>105.449997</v>
      </c>
      <c r="D55" s="101">
        <f t="shared" si="0"/>
        <v>-1.4117445906109305E-2</v>
      </c>
      <c r="H55" s="55">
        <v>0.12</v>
      </c>
      <c r="I55" s="56">
        <f t="shared" si="7"/>
        <v>-5.601005735837189E-2</v>
      </c>
      <c r="J55" s="57">
        <v>0.75</v>
      </c>
      <c r="K55" s="56">
        <f t="shared" si="8"/>
        <v>3.6427620982586117E-2</v>
      </c>
      <c r="L55" s="57">
        <v>0.96</v>
      </c>
      <c r="M55" s="58">
        <f t="shared" si="9"/>
        <v>0.13822075738722256</v>
      </c>
    </row>
    <row r="56" spans="2:13" x14ac:dyDescent="0.25">
      <c r="B56" s="9">
        <v>45033</v>
      </c>
      <c r="C56" s="3">
        <v>106.959999</v>
      </c>
      <c r="D56" s="101">
        <f t="shared" si="0"/>
        <v>4.3410368873078253E-2</v>
      </c>
      <c r="H56" s="55">
        <v>0.13</v>
      </c>
      <c r="I56" s="56">
        <f t="shared" si="7"/>
        <v>-5.2609935373267976E-2</v>
      </c>
      <c r="J56" s="57">
        <v>0.8</v>
      </c>
      <c r="K56" s="56">
        <f t="shared" si="8"/>
        <v>4.7491587286208455E-2</v>
      </c>
      <c r="L56" s="57">
        <v>0.97</v>
      </c>
      <c r="M56" s="58">
        <f t="shared" si="9"/>
        <v>0.16716844512068069</v>
      </c>
    </row>
    <row r="57" spans="2:13" x14ac:dyDescent="0.25">
      <c r="B57" s="9">
        <v>45026</v>
      </c>
      <c r="C57" s="3">
        <v>102.510002</v>
      </c>
      <c r="D57" s="101">
        <f t="shared" si="0"/>
        <v>4.4092103548738493E-3</v>
      </c>
      <c r="H57" s="55">
        <v>0.14000000000000001</v>
      </c>
      <c r="I57" s="56">
        <f t="shared" si="7"/>
        <v>-5.0232885751250643E-2</v>
      </c>
      <c r="J57" s="57"/>
      <c r="K57" s="56"/>
      <c r="L57" s="57">
        <v>0.98</v>
      </c>
      <c r="M57" s="58">
        <f t="shared" si="9"/>
        <v>0.19842100469416962</v>
      </c>
    </row>
    <row r="58" spans="2:13" ht="15.75" thickBot="1" x14ac:dyDescent="0.3">
      <c r="B58" s="9">
        <v>45019</v>
      </c>
      <c r="C58" s="3">
        <v>102.05999799999999</v>
      </c>
      <c r="D58" s="101">
        <f t="shared" si="0"/>
        <v>-1.1908248505099861E-2</v>
      </c>
      <c r="H58" s="59">
        <v>0.15</v>
      </c>
      <c r="I58" s="60">
        <f t="shared" si="7"/>
        <v>-4.8110925629407608E-2</v>
      </c>
      <c r="J58" s="61"/>
      <c r="K58" s="62"/>
      <c r="L58" s="63">
        <v>0.99</v>
      </c>
      <c r="M58" s="64">
        <f t="shared" si="9"/>
        <v>0.25640288571004366</v>
      </c>
    </row>
    <row r="59" spans="2:13" ht="15.75" thickBot="1" x14ac:dyDescent="0.3">
      <c r="B59" s="9">
        <v>45012</v>
      </c>
      <c r="C59" s="3">
        <v>103.290001</v>
      </c>
      <c r="D59" s="101">
        <f t="shared" si="0"/>
        <v>5.2583350226740544E-2</v>
      </c>
    </row>
    <row r="60" spans="2:13" x14ac:dyDescent="0.25">
      <c r="B60" s="9">
        <v>45005</v>
      </c>
      <c r="C60" s="3">
        <v>98.129997000000003</v>
      </c>
      <c r="D60" s="101">
        <f t="shared" si="0"/>
        <v>-8.2870138945025928E-3</v>
      </c>
      <c r="H60" s="65" t="s">
        <v>163</v>
      </c>
      <c r="I60" s="66"/>
    </row>
    <row r="61" spans="2:13" ht="15.75" thickBot="1" x14ac:dyDescent="0.3">
      <c r="B61" s="9">
        <v>44998</v>
      </c>
      <c r="C61" s="3">
        <v>98.949996999999996</v>
      </c>
      <c r="D61" s="101">
        <f t="shared" si="0"/>
        <v>9.0598409877711505E-2</v>
      </c>
      <c r="H61" s="67" t="s">
        <v>164</v>
      </c>
      <c r="I61" s="68"/>
    </row>
    <row r="62" spans="2:13" ht="15.75" thickBot="1" x14ac:dyDescent="0.3">
      <c r="B62" s="9">
        <v>44991</v>
      </c>
      <c r="C62" s="3">
        <v>90.730002999999996</v>
      </c>
      <c r="D62" s="101">
        <f t="shared" si="0"/>
        <v>-4.3940979052877194E-2</v>
      </c>
      <c r="H62" s="69"/>
    </row>
    <row r="63" spans="2:13" x14ac:dyDescent="0.25">
      <c r="B63" s="9">
        <v>44984</v>
      </c>
      <c r="C63" s="3">
        <v>94.900002000000001</v>
      </c>
      <c r="D63" s="101">
        <f t="shared" si="0"/>
        <v>1.4973283422459849E-2</v>
      </c>
      <c r="H63" s="65" t="s">
        <v>165</v>
      </c>
      <c r="I63" s="70"/>
    </row>
    <row r="64" spans="2:13" x14ac:dyDescent="0.25">
      <c r="B64" s="9">
        <v>44977</v>
      </c>
      <c r="C64" s="3">
        <v>93.5</v>
      </c>
      <c r="D64" s="101">
        <f t="shared" si="0"/>
        <v>-3.8065813932072423E-2</v>
      </c>
      <c r="H64" s="71" t="s">
        <v>166</v>
      </c>
      <c r="I64" s="72">
        <f>I63*(1-I60)</f>
        <v>0</v>
      </c>
    </row>
    <row r="65" spans="2:9" ht="15.75" thickBot="1" x14ac:dyDescent="0.3">
      <c r="B65" s="9">
        <v>44970</v>
      </c>
      <c r="C65" s="3">
        <v>97.199996999999996</v>
      </c>
      <c r="D65" s="101">
        <f t="shared" si="0"/>
        <v>-4.2004302407496752E-3</v>
      </c>
      <c r="H65" s="67" t="s">
        <v>167</v>
      </c>
      <c r="I65" s="73">
        <f>I63*(1+I61)</f>
        <v>0</v>
      </c>
    </row>
    <row r="66" spans="2:9" x14ac:dyDescent="0.25">
      <c r="B66" s="9">
        <v>44963</v>
      </c>
      <c r="C66" s="3">
        <v>97.610000999999997</v>
      </c>
      <c r="D66" s="101">
        <f t="shared" si="0"/>
        <v>-5.5904807582017768E-2</v>
      </c>
    </row>
    <row r="67" spans="2:9" x14ac:dyDescent="0.25">
      <c r="B67" s="9">
        <v>44956</v>
      </c>
      <c r="C67" s="3">
        <v>103.389999</v>
      </c>
      <c r="D67" s="101">
        <f t="shared" ref="D67:D130" si="10">C67/C68-1</f>
        <v>1.1248053819406412E-2</v>
      </c>
    </row>
    <row r="68" spans="2:9" x14ac:dyDescent="0.25">
      <c r="B68" s="9">
        <v>44949</v>
      </c>
      <c r="C68" s="3">
        <v>102.239998</v>
      </c>
      <c r="D68" s="101">
        <f t="shared" si="10"/>
        <v>5.1311033419023211E-2</v>
      </c>
    </row>
    <row r="69" spans="2:9" x14ac:dyDescent="0.25">
      <c r="B69" s="9">
        <v>44942</v>
      </c>
      <c r="C69" s="3">
        <v>97.25</v>
      </c>
      <c r="D69" s="101">
        <f t="shared" si="10"/>
        <v>-8.8667241479802872E-3</v>
      </c>
    </row>
    <row r="70" spans="2:9" x14ac:dyDescent="0.25">
      <c r="B70" s="9">
        <v>44935</v>
      </c>
      <c r="C70" s="3">
        <v>98.120002999999997</v>
      </c>
      <c r="D70" s="101">
        <f t="shared" si="10"/>
        <v>0.13986989684317153</v>
      </c>
    </row>
    <row r="71" spans="2:9" x14ac:dyDescent="0.25">
      <c r="B71" s="9">
        <v>44928</v>
      </c>
      <c r="C71" s="3">
        <v>86.080001999999993</v>
      </c>
      <c r="D71" s="101">
        <f t="shared" si="10"/>
        <v>2.4761928571428449E-2</v>
      </c>
    </row>
    <row r="72" spans="2:9" x14ac:dyDescent="0.25">
      <c r="B72" s="9">
        <v>44921</v>
      </c>
      <c r="C72" s="3">
        <v>84</v>
      </c>
      <c r="D72" s="101">
        <f t="shared" si="10"/>
        <v>-1.4662756598240456E-2</v>
      </c>
    </row>
    <row r="73" spans="2:9" x14ac:dyDescent="0.25">
      <c r="B73" s="9">
        <v>44914</v>
      </c>
      <c r="C73" s="3">
        <v>85.25</v>
      </c>
      <c r="D73" s="101">
        <f t="shared" si="10"/>
        <v>-2.9706362056608593E-2</v>
      </c>
    </row>
    <row r="74" spans="2:9" x14ac:dyDescent="0.25">
      <c r="B74" s="9">
        <v>44907</v>
      </c>
      <c r="C74" s="3">
        <v>87.860000999999997</v>
      </c>
      <c r="D74" s="101">
        <f t="shared" si="10"/>
        <v>-1.3806207826072892E-2</v>
      </c>
    </row>
    <row r="75" spans="2:9" x14ac:dyDescent="0.25">
      <c r="B75" s="9">
        <v>44900</v>
      </c>
      <c r="C75" s="3">
        <v>89.089995999999999</v>
      </c>
      <c r="D75" s="101">
        <f t="shared" si="10"/>
        <v>-5.3542984814925698E-2</v>
      </c>
    </row>
    <row r="76" spans="2:9" x14ac:dyDescent="0.25">
      <c r="B76" s="9">
        <v>44893</v>
      </c>
      <c r="C76" s="3">
        <v>94.129997000000003</v>
      </c>
      <c r="D76" s="101">
        <f t="shared" si="10"/>
        <v>7.7078789119846558E-3</v>
      </c>
    </row>
    <row r="77" spans="2:9" x14ac:dyDescent="0.25">
      <c r="B77" s="9">
        <v>44886</v>
      </c>
      <c r="C77" s="3">
        <v>93.410004000000001</v>
      </c>
      <c r="D77" s="101">
        <f t="shared" si="10"/>
        <v>-7.754355298006721E-3</v>
      </c>
    </row>
    <row r="78" spans="2:9" x14ac:dyDescent="0.25">
      <c r="B78" s="9">
        <v>44879</v>
      </c>
      <c r="C78" s="3">
        <v>94.139999000000003</v>
      </c>
      <c r="D78" s="101">
        <f t="shared" si="10"/>
        <v>-6.597878692351633E-2</v>
      </c>
    </row>
    <row r="79" spans="2:9" x14ac:dyDescent="0.25">
      <c r="B79" s="9">
        <v>44872</v>
      </c>
      <c r="C79" s="3">
        <v>100.790001</v>
      </c>
      <c r="D79" s="101">
        <f t="shared" si="10"/>
        <v>0.10782587026294133</v>
      </c>
    </row>
    <row r="80" spans="2:9" x14ac:dyDescent="0.25">
      <c r="B80" s="9">
        <v>44865</v>
      </c>
      <c r="C80" s="3">
        <v>90.980002999999996</v>
      </c>
      <c r="D80" s="101">
        <f t="shared" si="10"/>
        <v>-0.1202011461096163</v>
      </c>
    </row>
    <row r="81" spans="2:4" x14ac:dyDescent="0.25">
      <c r="B81" s="9">
        <v>44858</v>
      </c>
      <c r="C81" s="3">
        <v>103.410004</v>
      </c>
      <c r="D81" s="101">
        <f t="shared" si="10"/>
        <v>-0.13333888702648333</v>
      </c>
    </row>
    <row r="82" spans="2:4" x14ac:dyDescent="0.25">
      <c r="B82" s="9">
        <v>44851</v>
      </c>
      <c r="C82" s="3">
        <v>119.32</v>
      </c>
      <c r="D82" s="101">
        <f t="shared" si="10"/>
        <v>0.11618332804147191</v>
      </c>
    </row>
    <row r="83" spans="2:4" x14ac:dyDescent="0.25">
      <c r="B83" s="9">
        <v>44844</v>
      </c>
      <c r="C83" s="3">
        <v>106.900002</v>
      </c>
      <c r="D83" s="101">
        <f t="shared" si="10"/>
        <v>-6.6864491390790648E-2</v>
      </c>
    </row>
    <row r="84" spans="2:4" x14ac:dyDescent="0.25">
      <c r="B84" s="9">
        <v>44837</v>
      </c>
      <c r="C84" s="3">
        <v>114.55999799999999</v>
      </c>
      <c r="D84" s="101">
        <f t="shared" si="10"/>
        <v>1.3805292035398153E-2</v>
      </c>
    </row>
    <row r="85" spans="2:4" x14ac:dyDescent="0.25">
      <c r="B85" s="9">
        <v>44830</v>
      </c>
      <c r="C85" s="3">
        <v>113</v>
      </c>
      <c r="D85" s="101">
        <f t="shared" si="10"/>
        <v>-6.8553261281010247E-3</v>
      </c>
    </row>
    <row r="86" spans="2:4" x14ac:dyDescent="0.25">
      <c r="B86" s="9">
        <v>44823</v>
      </c>
      <c r="C86" s="3">
        <v>113.779999</v>
      </c>
      <c r="D86" s="101">
        <f t="shared" si="10"/>
        <v>-7.8928196218960522E-2</v>
      </c>
    </row>
    <row r="87" spans="2:4" x14ac:dyDescent="0.25">
      <c r="B87" s="9">
        <v>44816</v>
      </c>
      <c r="C87" s="3">
        <v>123.529999</v>
      </c>
      <c r="D87" s="101">
        <f t="shared" si="10"/>
        <v>-7.3084750563975343E-2</v>
      </c>
    </row>
    <row r="88" spans="2:4" x14ac:dyDescent="0.25">
      <c r="B88" s="9">
        <v>44809</v>
      </c>
      <c r="C88" s="3">
        <v>133.270004</v>
      </c>
      <c r="D88" s="101">
        <f t="shared" si="10"/>
        <v>4.5172942590025134E-2</v>
      </c>
    </row>
    <row r="89" spans="2:4" x14ac:dyDescent="0.25">
      <c r="B89" s="9">
        <v>44802</v>
      </c>
      <c r="C89" s="3">
        <v>127.510002</v>
      </c>
      <c r="D89" s="101">
        <f t="shared" si="10"/>
        <v>-2.478009942638626E-2</v>
      </c>
    </row>
    <row r="90" spans="2:4" x14ac:dyDescent="0.25">
      <c r="B90" s="9">
        <v>44795</v>
      </c>
      <c r="C90" s="3">
        <v>130.75</v>
      </c>
      <c r="D90" s="101">
        <f t="shared" si="10"/>
        <v>-5.4112683328153999E-2</v>
      </c>
    </row>
    <row r="91" spans="2:4" x14ac:dyDescent="0.25">
      <c r="B91" s="9">
        <v>44788</v>
      </c>
      <c r="C91" s="3">
        <v>138.229996</v>
      </c>
      <c r="D91" s="101">
        <f t="shared" si="10"/>
        <v>-3.7060305738899957E-2</v>
      </c>
    </row>
    <row r="92" spans="2:4" x14ac:dyDescent="0.25">
      <c r="B92" s="9">
        <v>44781</v>
      </c>
      <c r="C92" s="3">
        <v>143.550003</v>
      </c>
      <c r="D92" s="101">
        <f t="shared" si="10"/>
        <v>1.9531249583851107E-2</v>
      </c>
    </row>
    <row r="93" spans="2:4" x14ac:dyDescent="0.25">
      <c r="B93" s="9">
        <v>44774</v>
      </c>
      <c r="C93" s="3">
        <v>140.800003</v>
      </c>
      <c r="D93" s="101">
        <f t="shared" si="10"/>
        <v>4.3349434087056826E-2</v>
      </c>
    </row>
    <row r="94" spans="2:4" x14ac:dyDescent="0.25">
      <c r="B94" s="9">
        <v>44767</v>
      </c>
      <c r="C94" s="3">
        <v>134.949997</v>
      </c>
      <c r="D94" s="101">
        <f t="shared" si="10"/>
        <v>0.10235255027532331</v>
      </c>
    </row>
    <row r="95" spans="2:4" x14ac:dyDescent="0.25">
      <c r="B95" s="9">
        <v>44760</v>
      </c>
      <c r="C95" s="3">
        <v>122.41999800000001</v>
      </c>
      <c r="D95" s="101">
        <f t="shared" si="10"/>
        <v>7.8115321582157948E-2</v>
      </c>
    </row>
    <row r="96" spans="2:4" x14ac:dyDescent="0.25">
      <c r="B96" s="9">
        <v>44753</v>
      </c>
      <c r="C96" s="3">
        <v>113.550003</v>
      </c>
      <c r="D96" s="101">
        <f t="shared" si="10"/>
        <v>-1.7223454931422411E-2</v>
      </c>
    </row>
    <row r="97" spans="2:4" x14ac:dyDescent="0.25">
      <c r="B97" s="9">
        <v>44746</v>
      </c>
      <c r="C97" s="3">
        <v>115.540001</v>
      </c>
      <c r="D97" s="101">
        <f t="shared" si="10"/>
        <v>5.458199259916019E-2</v>
      </c>
    </row>
    <row r="98" spans="2:4" x14ac:dyDescent="0.25">
      <c r="B98" s="9">
        <v>44739</v>
      </c>
      <c r="C98" s="3">
        <v>109.55999799999999</v>
      </c>
      <c r="D98" s="101">
        <f t="shared" si="10"/>
        <v>-5.9247819502385557E-2</v>
      </c>
    </row>
    <row r="99" spans="2:4" x14ac:dyDescent="0.25">
      <c r="B99" s="9">
        <v>44732</v>
      </c>
      <c r="C99" s="3">
        <v>116.459999</v>
      </c>
      <c r="D99" s="101">
        <f t="shared" si="10"/>
        <v>9.6403670717344569E-2</v>
      </c>
    </row>
    <row r="100" spans="2:4" x14ac:dyDescent="0.25">
      <c r="B100" s="9">
        <v>44725</v>
      </c>
      <c r="C100" s="3">
        <v>106.220001</v>
      </c>
      <c r="D100" s="101">
        <f t="shared" si="10"/>
        <v>-3.1281358298561712E-2</v>
      </c>
    </row>
    <row r="101" spans="2:4" x14ac:dyDescent="0.25">
      <c r="B101" s="9">
        <v>44718</v>
      </c>
      <c r="C101" s="3">
        <v>109.650002</v>
      </c>
      <c r="D101" s="101">
        <f t="shared" si="10"/>
        <v>-0.10380054113282455</v>
      </c>
    </row>
    <row r="102" spans="2:4" x14ac:dyDescent="0.25">
      <c r="B102" s="9">
        <v>44711</v>
      </c>
      <c r="C102" s="3">
        <v>122.349998</v>
      </c>
      <c r="D102" s="101">
        <f t="shared" si="10"/>
        <v>6.255941778516938E-2</v>
      </c>
    </row>
    <row r="103" spans="2:4" x14ac:dyDescent="0.25">
      <c r="B103" s="9">
        <v>44704</v>
      </c>
      <c r="C103" s="3">
        <v>115.1465</v>
      </c>
      <c r="D103" s="101">
        <f t="shared" si="10"/>
        <v>7.0224245423197829E-2</v>
      </c>
    </row>
    <row r="104" spans="2:4" x14ac:dyDescent="0.25">
      <c r="B104" s="9">
        <v>44697</v>
      </c>
      <c r="C104" s="3">
        <v>107.591003</v>
      </c>
      <c r="D104" s="101">
        <f t="shared" si="10"/>
        <v>-4.8330432090575415E-2</v>
      </c>
    </row>
    <row r="105" spans="2:4" x14ac:dyDescent="0.25">
      <c r="B105" s="9">
        <v>44690</v>
      </c>
      <c r="C105" s="3">
        <v>113.05500000000001</v>
      </c>
      <c r="D105" s="101">
        <f t="shared" si="10"/>
        <v>-1.4964377485585545E-2</v>
      </c>
    </row>
    <row r="106" spans="2:4" x14ac:dyDescent="0.25">
      <c r="B106" s="9">
        <v>44683</v>
      </c>
      <c r="C106" s="3">
        <v>114.772499</v>
      </c>
      <c r="D106" s="101">
        <f t="shared" si="10"/>
        <v>-7.6511812675067348E-2</v>
      </c>
    </row>
    <row r="107" spans="2:4" x14ac:dyDescent="0.25">
      <c r="B107" s="9">
        <v>44676</v>
      </c>
      <c r="C107" s="3">
        <v>124.281502</v>
      </c>
      <c r="D107" s="101">
        <f t="shared" si="10"/>
        <v>-0.13902669321676375</v>
      </c>
    </row>
    <row r="108" spans="2:4" x14ac:dyDescent="0.25">
      <c r="B108" s="9">
        <v>44669</v>
      </c>
      <c r="C108" s="3">
        <v>144.35000600000001</v>
      </c>
      <c r="D108" s="101">
        <f t="shared" si="10"/>
        <v>-4.8491601516578497E-2</v>
      </c>
    </row>
    <row r="109" spans="2:4" x14ac:dyDescent="0.25">
      <c r="B109" s="9">
        <v>44662</v>
      </c>
      <c r="C109" s="3">
        <v>151.70649700000001</v>
      </c>
      <c r="D109" s="101">
        <f t="shared" si="10"/>
        <v>-1.7829788775440614E-2</v>
      </c>
    </row>
    <row r="110" spans="2:4" x14ac:dyDescent="0.25">
      <c r="B110" s="9">
        <v>44655</v>
      </c>
      <c r="C110" s="3">
        <v>154.46049500000001</v>
      </c>
      <c r="D110" s="101">
        <f t="shared" si="10"/>
        <v>-5.56340371195162E-2</v>
      </c>
    </row>
    <row r="111" spans="2:4" x14ac:dyDescent="0.25">
      <c r="B111" s="9">
        <v>44648</v>
      </c>
      <c r="C111" s="3">
        <v>163.55999800000001</v>
      </c>
      <c r="D111" s="101">
        <f t="shared" si="10"/>
        <v>-7.364661231112013E-3</v>
      </c>
    </row>
    <row r="112" spans="2:4" x14ac:dyDescent="0.25">
      <c r="B112" s="9">
        <v>44641</v>
      </c>
      <c r="C112" s="3">
        <v>164.77349899999999</v>
      </c>
      <c r="D112" s="101">
        <f t="shared" si="10"/>
        <v>2.1847962720165981E-2</v>
      </c>
    </row>
    <row r="113" spans="2:4" x14ac:dyDescent="0.25">
      <c r="B113" s="9">
        <v>44634</v>
      </c>
      <c r="C113" s="3">
        <v>161.25050400000001</v>
      </c>
      <c r="D113" s="101">
        <f t="shared" si="10"/>
        <v>0.1080642596374799</v>
      </c>
    </row>
    <row r="114" spans="2:4" x14ac:dyDescent="0.25">
      <c r="B114" s="9">
        <v>44627</v>
      </c>
      <c r="C114" s="3">
        <v>145.524506</v>
      </c>
      <c r="D114" s="101">
        <f t="shared" si="10"/>
        <v>-7.9991207970642186E-4</v>
      </c>
    </row>
    <row r="115" spans="2:4" x14ac:dyDescent="0.25">
      <c r="B115" s="9">
        <v>44620</v>
      </c>
      <c r="C115" s="3">
        <v>145.641006</v>
      </c>
      <c r="D115" s="101">
        <f t="shared" si="10"/>
        <v>-5.2978552401233503E-2</v>
      </c>
    </row>
    <row r="116" spans="2:4" x14ac:dyDescent="0.25">
      <c r="B116" s="9">
        <v>44613</v>
      </c>
      <c r="C116" s="3">
        <v>153.788498</v>
      </c>
      <c r="D116" s="101">
        <f t="shared" si="10"/>
        <v>7.7784097287483256E-3</v>
      </c>
    </row>
    <row r="117" spans="2:4" x14ac:dyDescent="0.25">
      <c r="B117" s="9">
        <v>44606</v>
      </c>
      <c r="C117" s="3">
        <v>152.60150100000001</v>
      </c>
      <c r="D117" s="101">
        <f t="shared" si="10"/>
        <v>-4.5142291516423461E-3</v>
      </c>
    </row>
    <row r="118" spans="2:4" x14ac:dyDescent="0.25">
      <c r="B118" s="9">
        <v>44599</v>
      </c>
      <c r="C118" s="3">
        <v>153.29350299999999</v>
      </c>
      <c r="D118" s="101">
        <f t="shared" si="10"/>
        <v>-2.7569188625165442E-2</v>
      </c>
    </row>
    <row r="119" spans="2:4" x14ac:dyDescent="0.25">
      <c r="B119" s="9">
        <v>44592</v>
      </c>
      <c r="C119" s="3">
        <v>157.63949600000001</v>
      </c>
      <c r="D119" s="101">
        <f t="shared" si="10"/>
        <v>9.4886019285294054E-2</v>
      </c>
    </row>
    <row r="120" spans="2:4" x14ac:dyDescent="0.25">
      <c r="B120" s="9">
        <v>44585</v>
      </c>
      <c r="C120" s="3">
        <v>143.97799699999999</v>
      </c>
      <c r="D120" s="101">
        <f t="shared" si="10"/>
        <v>9.3589727726222094E-3</v>
      </c>
    </row>
    <row r="121" spans="2:4" x14ac:dyDescent="0.25">
      <c r="B121" s="9">
        <v>44578</v>
      </c>
      <c r="C121" s="3">
        <v>142.64300499999999</v>
      </c>
      <c r="D121" s="101">
        <f t="shared" si="10"/>
        <v>-0.12023705115395533</v>
      </c>
    </row>
    <row r="122" spans="2:4" x14ac:dyDescent="0.25">
      <c r="B122" s="9">
        <v>44571</v>
      </c>
      <c r="C122" s="3">
        <v>162.13800000000001</v>
      </c>
      <c r="D122" s="101">
        <f t="shared" si="10"/>
        <v>-2.5591557109688745E-3</v>
      </c>
    </row>
    <row r="123" spans="2:4" x14ac:dyDescent="0.25">
      <c r="B123" s="9">
        <v>44564</v>
      </c>
      <c r="C123" s="3">
        <v>162.554001</v>
      </c>
      <c r="D123" s="101">
        <f t="shared" si="10"/>
        <v>-2.497042368116098E-2</v>
      </c>
    </row>
    <row r="124" spans="2:4" x14ac:dyDescent="0.25">
      <c r="B124" s="9">
        <v>44557</v>
      </c>
      <c r="C124" s="3">
        <v>166.716995</v>
      </c>
      <c r="D124" s="101">
        <f t="shared" si="10"/>
        <v>-2.5437190811350874E-2</v>
      </c>
    </row>
    <row r="125" spans="2:4" x14ac:dyDescent="0.25">
      <c r="B125" s="9">
        <v>44550</v>
      </c>
      <c r="C125" s="3">
        <v>171.06849700000001</v>
      </c>
      <c r="D125" s="101">
        <f t="shared" si="10"/>
        <v>6.1816871065427659E-3</v>
      </c>
    </row>
    <row r="126" spans="2:4" x14ac:dyDescent="0.25">
      <c r="B126" s="9">
        <v>44543</v>
      </c>
      <c r="C126" s="3">
        <v>170.01750200000001</v>
      </c>
      <c r="D126" s="101">
        <f t="shared" si="10"/>
        <v>-1.2743037207289643E-2</v>
      </c>
    </row>
    <row r="127" spans="2:4" x14ac:dyDescent="0.25">
      <c r="B127" s="9">
        <v>44536</v>
      </c>
      <c r="C127" s="3">
        <v>172.212006</v>
      </c>
      <c r="D127" s="101">
        <f t="shared" si="10"/>
        <v>1.60629653628932E-2</v>
      </c>
    </row>
    <row r="128" spans="2:4" x14ac:dyDescent="0.25">
      <c r="B128" s="9">
        <v>44529</v>
      </c>
      <c r="C128" s="3">
        <v>169.48950199999999</v>
      </c>
      <c r="D128" s="101">
        <f t="shared" si="10"/>
        <v>-3.2748733639864636E-2</v>
      </c>
    </row>
    <row r="129" spans="2:4" x14ac:dyDescent="0.25">
      <c r="B129" s="9">
        <v>44522</v>
      </c>
      <c r="C129" s="3">
        <v>175.22799699999999</v>
      </c>
      <c r="D129" s="101">
        <f t="shared" si="10"/>
        <v>-4.6785502352937658E-2</v>
      </c>
    </row>
    <row r="130" spans="2:4" x14ac:dyDescent="0.25">
      <c r="B130" s="9">
        <v>44515</v>
      </c>
      <c r="C130" s="3">
        <v>183.828506</v>
      </c>
      <c r="D130" s="101">
        <f t="shared" si="10"/>
        <v>4.2954193151046871E-2</v>
      </c>
    </row>
    <row r="131" spans="2:4" x14ac:dyDescent="0.25">
      <c r="B131" s="9">
        <v>44508</v>
      </c>
      <c r="C131" s="3">
        <v>176.257507</v>
      </c>
      <c r="D131" s="101">
        <f t="shared" ref="D131:D194" si="11">C131/C132-1</f>
        <v>1.7505819127310307E-3</v>
      </c>
    </row>
    <row r="132" spans="2:4" x14ac:dyDescent="0.25">
      <c r="B132" s="9">
        <v>44501</v>
      </c>
      <c r="C132" s="3">
        <v>175.94949299999999</v>
      </c>
      <c r="D132" s="101">
        <f t="shared" si="11"/>
        <v>4.345819921688987E-2</v>
      </c>
    </row>
    <row r="133" spans="2:4" x14ac:dyDescent="0.25">
      <c r="B133" s="9">
        <v>44494</v>
      </c>
      <c r="C133" s="3">
        <v>168.62150600000001</v>
      </c>
      <c r="D133" s="101">
        <f t="shared" si="11"/>
        <v>1.1056707554836898E-2</v>
      </c>
    </row>
    <row r="134" spans="2:4" x14ac:dyDescent="0.25">
      <c r="B134" s="9">
        <v>44487</v>
      </c>
      <c r="C134" s="3">
        <v>166.77749600000001</v>
      </c>
      <c r="D134" s="101">
        <f t="shared" si="11"/>
        <v>-2.1551694702836688E-2</v>
      </c>
    </row>
    <row r="135" spans="2:4" x14ac:dyDescent="0.25">
      <c r="B135" s="9">
        <v>44480</v>
      </c>
      <c r="C135" s="3">
        <v>170.45100400000001</v>
      </c>
      <c r="D135" s="101">
        <f t="shared" si="11"/>
        <v>3.6611125639326003E-2</v>
      </c>
    </row>
    <row r="136" spans="2:4" x14ac:dyDescent="0.25">
      <c r="B136" s="9">
        <v>44473</v>
      </c>
      <c r="C136" s="3">
        <v>164.43100000000001</v>
      </c>
      <c r="D136" s="101">
        <f t="shared" si="11"/>
        <v>1.6325603808127198E-3</v>
      </c>
    </row>
    <row r="137" spans="2:4" x14ac:dyDescent="0.25">
      <c r="B137" s="9">
        <v>44466</v>
      </c>
      <c r="C137" s="3">
        <v>164.162994</v>
      </c>
      <c r="D137" s="101">
        <f t="shared" si="11"/>
        <v>-4.1529501847722416E-2</v>
      </c>
    </row>
    <row r="138" spans="2:4" x14ac:dyDescent="0.25">
      <c r="B138" s="9">
        <v>44459</v>
      </c>
      <c r="C138" s="3">
        <v>171.27600100000001</v>
      </c>
      <c r="D138" s="101">
        <f t="shared" si="11"/>
        <v>-1.0685893079021791E-2</v>
      </c>
    </row>
    <row r="139" spans="2:4" x14ac:dyDescent="0.25">
      <c r="B139" s="9">
        <v>44452</v>
      </c>
      <c r="C139" s="3">
        <v>173.12600699999999</v>
      </c>
      <c r="D139" s="101">
        <f t="shared" si="11"/>
        <v>-1.9111136293071818E-3</v>
      </c>
    </row>
    <row r="140" spans="2:4" x14ac:dyDescent="0.25">
      <c r="B140" s="9">
        <v>44445</v>
      </c>
      <c r="C140" s="3">
        <v>173.457504</v>
      </c>
      <c r="D140" s="101">
        <f t="shared" si="11"/>
        <v>-2.5588591896922308E-3</v>
      </c>
    </row>
    <row r="141" spans="2:4" x14ac:dyDescent="0.25">
      <c r="B141" s="9">
        <v>44438</v>
      </c>
      <c r="C141" s="3">
        <v>173.90249600000001</v>
      </c>
      <c r="D141" s="101">
        <f t="shared" si="11"/>
        <v>3.8338501685075688E-2</v>
      </c>
    </row>
    <row r="142" spans="2:4" x14ac:dyDescent="0.25">
      <c r="B142" s="9">
        <v>44431</v>
      </c>
      <c r="C142" s="3">
        <v>167.481506</v>
      </c>
      <c r="D142" s="101">
        <f t="shared" si="11"/>
        <v>4.6775781456282362E-2</v>
      </c>
    </row>
    <row r="143" spans="2:4" x14ac:dyDescent="0.25">
      <c r="B143" s="9">
        <v>44424</v>
      </c>
      <c r="C143" s="3">
        <v>159.99749800000001</v>
      </c>
      <c r="D143" s="101">
        <f t="shared" si="11"/>
        <v>-2.8543088995429899E-2</v>
      </c>
    </row>
    <row r="144" spans="2:4" x14ac:dyDescent="0.25">
      <c r="B144" s="9">
        <v>44417</v>
      </c>
      <c r="C144" s="3">
        <v>164.69850199999999</v>
      </c>
      <c r="D144" s="101">
        <f t="shared" si="11"/>
        <v>-1.5237894200956559E-2</v>
      </c>
    </row>
    <row r="145" spans="2:4" x14ac:dyDescent="0.25">
      <c r="B145" s="9">
        <v>44410</v>
      </c>
      <c r="C145" s="3">
        <v>167.246994</v>
      </c>
      <c r="D145" s="101">
        <f t="shared" si="11"/>
        <v>5.2139415900760433E-3</v>
      </c>
    </row>
    <row r="146" spans="2:4" x14ac:dyDescent="0.25">
      <c r="B146" s="9">
        <v>44403</v>
      </c>
      <c r="C146" s="3">
        <v>166.379501</v>
      </c>
      <c r="D146" s="101">
        <f t="shared" si="11"/>
        <v>-8.9986982092921441E-2</v>
      </c>
    </row>
    <row r="147" spans="2:4" x14ac:dyDescent="0.25">
      <c r="B147" s="9">
        <v>44396</v>
      </c>
      <c r="C147" s="3">
        <v>182.83200099999999</v>
      </c>
      <c r="D147" s="101">
        <f t="shared" si="11"/>
        <v>2.3228470380619148E-2</v>
      </c>
    </row>
    <row r="148" spans="2:4" x14ac:dyDescent="0.25">
      <c r="B148" s="9">
        <v>44389</v>
      </c>
      <c r="C148" s="3">
        <v>178.68150299999999</v>
      </c>
      <c r="D148" s="101">
        <f t="shared" si="11"/>
        <v>-3.9176263508479026E-2</v>
      </c>
    </row>
    <row r="149" spans="2:4" x14ac:dyDescent="0.25">
      <c r="B149" s="9">
        <v>44382</v>
      </c>
      <c r="C149" s="3">
        <v>185.966995</v>
      </c>
      <c r="D149" s="101">
        <f t="shared" si="11"/>
        <v>5.9345249687443369E-2</v>
      </c>
    </row>
    <row r="150" spans="2:4" x14ac:dyDescent="0.25">
      <c r="B150" s="9">
        <v>44375</v>
      </c>
      <c r="C150" s="3">
        <v>175.54899599999999</v>
      </c>
      <c r="D150" s="101">
        <f t="shared" si="11"/>
        <v>3.2197927151257577E-2</v>
      </c>
    </row>
    <row r="151" spans="2:4" x14ac:dyDescent="0.25">
      <c r="B151" s="9">
        <v>44368</v>
      </c>
      <c r="C151" s="3">
        <v>170.07299800000001</v>
      </c>
      <c r="D151" s="101">
        <f t="shared" si="11"/>
        <v>-2.4503157391934538E-2</v>
      </c>
    </row>
    <row r="152" spans="2:4" x14ac:dyDescent="0.25">
      <c r="B152" s="9">
        <v>44361</v>
      </c>
      <c r="C152" s="3">
        <v>174.345001</v>
      </c>
      <c r="D152" s="101">
        <f t="shared" si="11"/>
        <v>4.1851505496481423E-2</v>
      </c>
    </row>
    <row r="153" spans="2:4" x14ac:dyDescent="0.25">
      <c r="B153" s="9">
        <v>44354</v>
      </c>
      <c r="C153" s="3">
        <v>167.34150700000001</v>
      </c>
      <c r="D153" s="101">
        <f t="shared" si="11"/>
        <v>4.3855392210909061E-2</v>
      </c>
    </row>
    <row r="154" spans="2:4" x14ac:dyDescent="0.25">
      <c r="B154" s="9">
        <v>44347</v>
      </c>
      <c r="C154" s="3">
        <v>160.31100499999999</v>
      </c>
      <c r="D154" s="101">
        <f t="shared" si="11"/>
        <v>-5.2279223492895932E-3</v>
      </c>
    </row>
    <row r="155" spans="2:4" x14ac:dyDescent="0.25">
      <c r="B155" s="9">
        <v>44340</v>
      </c>
      <c r="C155" s="3">
        <v>161.153503</v>
      </c>
      <c r="D155" s="101">
        <f t="shared" si="11"/>
        <v>6.2408429156568523E-3</v>
      </c>
    </row>
    <row r="156" spans="2:4" x14ac:dyDescent="0.25">
      <c r="B156" s="9">
        <v>44333</v>
      </c>
      <c r="C156" s="3">
        <v>160.15400700000001</v>
      </c>
      <c r="D156" s="101">
        <f t="shared" si="11"/>
        <v>-6.1497221471413788E-3</v>
      </c>
    </row>
    <row r="157" spans="2:4" x14ac:dyDescent="0.25">
      <c r="B157" s="9">
        <v>44326</v>
      </c>
      <c r="C157" s="3">
        <v>161.145004</v>
      </c>
      <c r="D157" s="101">
        <f t="shared" si="11"/>
        <v>-2.0874288847272604E-2</v>
      </c>
    </row>
    <row r="158" spans="2:4" x14ac:dyDescent="0.25">
      <c r="B158" s="9">
        <v>44319</v>
      </c>
      <c r="C158" s="3">
        <v>164.58050499999999</v>
      </c>
      <c r="D158" s="101">
        <f t="shared" si="11"/>
        <v>-5.0703386948181883E-2</v>
      </c>
    </row>
    <row r="159" spans="2:4" x14ac:dyDescent="0.25">
      <c r="B159" s="9">
        <v>44312</v>
      </c>
      <c r="C159" s="3">
        <v>173.371002</v>
      </c>
      <c r="D159" s="101">
        <f t="shared" si="11"/>
        <v>3.7876222867883058E-2</v>
      </c>
    </row>
    <row r="160" spans="2:4" x14ac:dyDescent="0.25">
      <c r="B160" s="9">
        <v>44305</v>
      </c>
      <c r="C160" s="3">
        <v>167.044006</v>
      </c>
      <c r="D160" s="101">
        <f t="shared" si="11"/>
        <v>-1.7226331395759353E-2</v>
      </c>
    </row>
    <row r="161" spans="2:4" x14ac:dyDescent="0.25">
      <c r="B161" s="9">
        <v>44298</v>
      </c>
      <c r="C161" s="3">
        <v>169.97200000000001</v>
      </c>
      <c r="D161" s="101">
        <f t="shared" si="11"/>
        <v>8.0778067251183749E-3</v>
      </c>
    </row>
    <row r="162" spans="2:4" x14ac:dyDescent="0.25">
      <c r="B162" s="9">
        <v>44291</v>
      </c>
      <c r="C162" s="3">
        <v>168.61000100000001</v>
      </c>
      <c r="D162" s="101">
        <f t="shared" si="11"/>
        <v>6.6814285349934499E-2</v>
      </c>
    </row>
    <row r="163" spans="2:4" x14ac:dyDescent="0.25">
      <c r="B163" s="9">
        <v>44284</v>
      </c>
      <c r="C163" s="3">
        <v>158.050003</v>
      </c>
      <c r="D163" s="101">
        <f t="shared" si="11"/>
        <v>3.5704118008642594E-2</v>
      </c>
    </row>
    <row r="164" spans="2:4" x14ac:dyDescent="0.25">
      <c r="B164" s="9">
        <v>44277</v>
      </c>
      <c r="C164" s="3">
        <v>152.60150100000001</v>
      </c>
      <c r="D164" s="101">
        <f t="shared" si="11"/>
        <v>-7.4570075223285848E-3</v>
      </c>
    </row>
    <row r="165" spans="2:4" x14ac:dyDescent="0.25">
      <c r="B165" s="9">
        <v>44270</v>
      </c>
      <c r="C165" s="3">
        <v>153.74800099999999</v>
      </c>
      <c r="D165" s="101">
        <f t="shared" si="11"/>
        <v>-4.7030544581199152E-3</v>
      </c>
    </row>
    <row r="166" spans="2:4" x14ac:dyDescent="0.25">
      <c r="B166" s="9">
        <v>44263</v>
      </c>
      <c r="C166" s="3">
        <v>154.474503</v>
      </c>
      <c r="D166" s="101">
        <f t="shared" si="11"/>
        <v>2.9672171256146296E-2</v>
      </c>
    </row>
    <row r="167" spans="2:4" x14ac:dyDescent="0.25">
      <c r="B167" s="9">
        <v>44256</v>
      </c>
      <c r="C167" s="3">
        <v>150.02299500000001</v>
      </c>
      <c r="D167" s="101">
        <f t="shared" si="11"/>
        <v>-2.9897249533613723E-2</v>
      </c>
    </row>
    <row r="168" spans="2:4" x14ac:dyDescent="0.25">
      <c r="B168" s="9">
        <v>44249</v>
      </c>
      <c r="C168" s="3">
        <v>154.6465</v>
      </c>
      <c r="D168" s="101">
        <f t="shared" si="11"/>
        <v>-4.8299918406717657E-2</v>
      </c>
    </row>
    <row r="169" spans="2:4" x14ac:dyDescent="0.25">
      <c r="B169" s="9">
        <v>44242</v>
      </c>
      <c r="C169" s="3">
        <v>162.49499499999999</v>
      </c>
      <c r="D169" s="101">
        <f t="shared" si="11"/>
        <v>-8.4846006325710599E-3</v>
      </c>
    </row>
    <row r="170" spans="2:4" x14ac:dyDescent="0.25">
      <c r="B170" s="9">
        <v>44235</v>
      </c>
      <c r="C170" s="3">
        <v>163.88549800000001</v>
      </c>
      <c r="D170" s="101">
        <f t="shared" si="11"/>
        <v>-2.2206643762440637E-2</v>
      </c>
    </row>
    <row r="171" spans="2:4" x14ac:dyDescent="0.25">
      <c r="B171" s="9">
        <v>44228</v>
      </c>
      <c r="C171" s="3">
        <v>167.60749799999999</v>
      </c>
      <c r="D171" s="101">
        <f t="shared" si="11"/>
        <v>4.5521178286085373E-2</v>
      </c>
    </row>
    <row r="172" spans="2:4" x14ac:dyDescent="0.25">
      <c r="B172" s="9">
        <v>44221</v>
      </c>
      <c r="C172" s="3">
        <v>160.30999800000001</v>
      </c>
      <c r="D172" s="101">
        <f t="shared" si="11"/>
        <v>-2.613121260984097E-2</v>
      </c>
    </row>
    <row r="173" spans="2:4" x14ac:dyDescent="0.25">
      <c r="B173" s="9">
        <v>44214</v>
      </c>
      <c r="C173" s="3">
        <v>164.61149599999999</v>
      </c>
      <c r="D173" s="101">
        <f t="shared" si="11"/>
        <v>6.0555705006582805E-2</v>
      </c>
    </row>
    <row r="174" spans="2:4" x14ac:dyDescent="0.25">
      <c r="B174" s="9">
        <v>44207</v>
      </c>
      <c r="C174" s="3">
        <v>155.21249399999999</v>
      </c>
      <c r="D174" s="101">
        <f t="shared" si="11"/>
        <v>-2.4648890082285213E-2</v>
      </c>
    </row>
    <row r="175" spans="2:4" x14ac:dyDescent="0.25">
      <c r="B175" s="9">
        <v>44200</v>
      </c>
      <c r="C175" s="3">
        <v>159.134995</v>
      </c>
      <c r="D175" s="101">
        <f t="shared" si="11"/>
        <v>-2.2791414420170186E-2</v>
      </c>
    </row>
    <row r="176" spans="2:4" x14ac:dyDescent="0.25">
      <c r="B176" s="9">
        <v>44193</v>
      </c>
      <c r="C176" s="3">
        <v>162.846497</v>
      </c>
      <c r="D176" s="101">
        <f t="shared" si="11"/>
        <v>2.6551543584092618E-2</v>
      </c>
    </row>
    <row r="177" spans="2:4" x14ac:dyDescent="0.25">
      <c r="B177" s="9">
        <v>44186</v>
      </c>
      <c r="C177" s="3">
        <v>158.63450599999999</v>
      </c>
      <c r="D177" s="101">
        <f t="shared" si="11"/>
        <v>-9.0453232790512761E-3</v>
      </c>
    </row>
    <row r="178" spans="2:4" x14ac:dyDescent="0.25">
      <c r="B178" s="9">
        <v>44179</v>
      </c>
      <c r="C178" s="3">
        <v>160.082504</v>
      </c>
      <c r="D178" s="101">
        <f t="shared" si="11"/>
        <v>2.7348720822923278E-2</v>
      </c>
    </row>
    <row r="179" spans="2:4" x14ac:dyDescent="0.25">
      <c r="B179" s="9">
        <v>44172</v>
      </c>
      <c r="C179" s="3">
        <v>155.820999</v>
      </c>
      <c r="D179" s="101">
        <f t="shared" si="11"/>
        <v>-1.4595672072746591E-2</v>
      </c>
    </row>
    <row r="180" spans="2:4" x14ac:dyDescent="0.25">
      <c r="B180" s="9">
        <v>44165</v>
      </c>
      <c r="C180" s="3">
        <v>158.128998</v>
      </c>
      <c r="D180" s="101">
        <f t="shared" si="11"/>
        <v>-1.0252430229677367E-2</v>
      </c>
    </row>
    <row r="181" spans="2:4" x14ac:dyDescent="0.25">
      <c r="B181" s="9">
        <v>44158</v>
      </c>
      <c r="C181" s="3">
        <v>159.766998</v>
      </c>
      <c r="D181" s="101">
        <f t="shared" si="11"/>
        <v>3.0954358708431551E-2</v>
      </c>
    </row>
    <row r="182" spans="2:4" x14ac:dyDescent="0.25">
      <c r="B182" s="9">
        <v>44151</v>
      </c>
      <c r="C182" s="3">
        <v>154.970001</v>
      </c>
      <c r="D182" s="101">
        <f t="shared" si="11"/>
        <v>-9.399771437711979E-3</v>
      </c>
    </row>
    <row r="183" spans="2:4" x14ac:dyDescent="0.25">
      <c r="B183" s="9">
        <v>44144</v>
      </c>
      <c r="C183" s="3">
        <v>156.440506</v>
      </c>
      <c r="D183" s="101">
        <f t="shared" si="11"/>
        <v>-5.5131206512069819E-2</v>
      </c>
    </row>
    <row r="184" spans="2:4" x14ac:dyDescent="0.25">
      <c r="B184" s="9">
        <v>44137</v>
      </c>
      <c r="C184" s="3">
        <v>165.56849700000001</v>
      </c>
      <c r="D184" s="101">
        <f t="shared" si="11"/>
        <v>9.0647711432166211E-2</v>
      </c>
    </row>
    <row r="185" spans="2:4" x14ac:dyDescent="0.25">
      <c r="B185" s="9">
        <v>44130</v>
      </c>
      <c r="C185" s="3">
        <v>151.80749499999999</v>
      </c>
      <c r="D185" s="101">
        <f t="shared" si="11"/>
        <v>-5.2505966467944365E-2</v>
      </c>
    </row>
    <row r="186" spans="2:4" x14ac:dyDescent="0.25">
      <c r="B186" s="9">
        <v>44123</v>
      </c>
      <c r="C186" s="3">
        <v>160.220001</v>
      </c>
      <c r="D186" s="101">
        <f t="shared" si="11"/>
        <v>-2.0872592082678887E-2</v>
      </c>
    </row>
    <row r="187" spans="2:4" x14ac:dyDescent="0.25">
      <c r="B187" s="9">
        <v>44116</v>
      </c>
      <c r="C187" s="3">
        <v>163.63549800000001</v>
      </c>
      <c r="D187" s="101">
        <f t="shared" si="11"/>
        <v>-4.2414372265634492E-3</v>
      </c>
    </row>
    <row r="188" spans="2:4" x14ac:dyDescent="0.25">
      <c r="B188" s="9">
        <v>44109</v>
      </c>
      <c r="C188" s="3">
        <v>164.332504</v>
      </c>
      <c r="D188" s="101">
        <f t="shared" si="11"/>
        <v>5.1728025599999894E-2</v>
      </c>
    </row>
    <row r="189" spans="2:4" x14ac:dyDescent="0.25">
      <c r="B189" s="9">
        <v>44102</v>
      </c>
      <c r="C189" s="3">
        <v>156.25</v>
      </c>
      <c r="D189" s="101">
        <f t="shared" si="11"/>
        <v>9.6506447225157554E-3</v>
      </c>
    </row>
    <row r="190" spans="2:4" x14ac:dyDescent="0.25">
      <c r="B190" s="9">
        <v>44095</v>
      </c>
      <c r="C190" s="3">
        <v>154.75649999999999</v>
      </c>
      <c r="D190" s="101">
        <f t="shared" si="11"/>
        <v>4.7453229015118614E-2</v>
      </c>
    </row>
    <row r="191" spans="2:4" x14ac:dyDescent="0.25">
      <c r="B191" s="9">
        <v>44088</v>
      </c>
      <c r="C191" s="3">
        <v>147.745499</v>
      </c>
      <c r="D191" s="101">
        <f t="shared" si="11"/>
        <v>-5.1764674773774777E-2</v>
      </c>
    </row>
    <row r="192" spans="2:4" x14ac:dyDescent="0.25">
      <c r="B192" s="9">
        <v>44081</v>
      </c>
      <c r="C192" s="3">
        <v>155.81100499999999</v>
      </c>
      <c r="D192" s="101">
        <f t="shared" si="11"/>
        <v>-5.4148872025018835E-2</v>
      </c>
    </row>
    <row r="193" spans="2:4" x14ac:dyDescent="0.25">
      <c r="B193" s="9">
        <v>44074</v>
      </c>
      <c r="C193" s="3">
        <v>164.73100299999999</v>
      </c>
      <c r="D193" s="101">
        <f t="shared" si="11"/>
        <v>-3.1506808901330285E-2</v>
      </c>
    </row>
    <row r="194" spans="2:4" x14ac:dyDescent="0.25">
      <c r="B194" s="9">
        <v>44067</v>
      </c>
      <c r="C194" s="3">
        <v>170.08999600000001</v>
      </c>
      <c r="D194" s="101">
        <f t="shared" si="11"/>
        <v>3.5643855702469862E-2</v>
      </c>
    </row>
    <row r="195" spans="2:4" x14ac:dyDescent="0.25">
      <c r="B195" s="9">
        <v>44060</v>
      </c>
      <c r="C195" s="3">
        <v>164.23599200000001</v>
      </c>
      <c r="D195" s="101">
        <f t="shared" ref="D195:D258" si="12">C195/C196-1</f>
        <v>4.3424063103639332E-2</v>
      </c>
    </row>
    <row r="196" spans="2:4" x14ac:dyDescent="0.25">
      <c r="B196" s="9">
        <v>44053</v>
      </c>
      <c r="C196" s="3">
        <v>157.40100100000001</v>
      </c>
      <c r="D196" s="101">
        <f t="shared" si="12"/>
        <v>-6.1374097470059397E-3</v>
      </c>
    </row>
    <row r="197" spans="2:4" x14ac:dyDescent="0.25">
      <c r="B197" s="9">
        <v>44046</v>
      </c>
      <c r="C197" s="3">
        <v>158.37300099999999</v>
      </c>
      <c r="D197" s="101">
        <f t="shared" si="12"/>
        <v>8.7849011761642615E-4</v>
      </c>
    </row>
    <row r="198" spans="2:4" x14ac:dyDescent="0.25">
      <c r="B198" s="9">
        <v>44039</v>
      </c>
      <c r="C198" s="3">
        <v>158.233994</v>
      </c>
      <c r="D198" s="101">
        <f t="shared" si="12"/>
        <v>5.1769565770184434E-2</v>
      </c>
    </row>
    <row r="199" spans="2:4" x14ac:dyDescent="0.25">
      <c r="B199" s="9">
        <v>44032</v>
      </c>
      <c r="C199" s="3">
        <v>150.44549599999999</v>
      </c>
      <c r="D199" s="101">
        <f t="shared" si="12"/>
        <v>1.5847568201148743E-2</v>
      </c>
    </row>
    <row r="200" spans="2:4" x14ac:dyDescent="0.25">
      <c r="B200" s="9">
        <v>44025</v>
      </c>
      <c r="C200" s="3">
        <v>148.09849500000001</v>
      </c>
      <c r="D200" s="101">
        <f t="shared" si="12"/>
        <v>-7.4384406249999868E-2</v>
      </c>
    </row>
    <row r="201" spans="2:4" x14ac:dyDescent="0.25">
      <c r="B201" s="9">
        <v>44018</v>
      </c>
      <c r="C201" s="3">
        <v>160</v>
      </c>
      <c r="D201" s="101">
        <f t="shared" si="12"/>
        <v>0.10715151442515669</v>
      </c>
    </row>
    <row r="202" spans="2:4" x14ac:dyDescent="0.25">
      <c r="B202" s="9">
        <v>44011</v>
      </c>
      <c r="C202" s="3">
        <v>144.51499899999999</v>
      </c>
      <c r="D202" s="101">
        <f t="shared" si="12"/>
        <v>7.3315870724507404E-2</v>
      </c>
    </row>
    <row r="203" spans="2:4" x14ac:dyDescent="0.25">
      <c r="B203" s="9">
        <v>44004</v>
      </c>
      <c r="C203" s="3">
        <v>134.643494</v>
      </c>
      <c r="D203" s="101">
        <f t="shared" si="12"/>
        <v>6.6765355889799594E-3</v>
      </c>
    </row>
    <row r="204" spans="2:4" x14ac:dyDescent="0.25">
      <c r="B204" s="9">
        <v>43997</v>
      </c>
      <c r="C204" s="3">
        <v>133.75050400000001</v>
      </c>
      <c r="D204" s="101">
        <f t="shared" si="12"/>
        <v>5.1076259134122948E-2</v>
      </c>
    </row>
    <row r="205" spans="2:4" x14ac:dyDescent="0.25">
      <c r="B205" s="9">
        <v>43990</v>
      </c>
      <c r="C205" s="3">
        <v>127.25099899999999</v>
      </c>
      <c r="D205" s="101">
        <f t="shared" si="12"/>
        <v>2.4977824809056415E-2</v>
      </c>
    </row>
    <row r="206" spans="2:4" x14ac:dyDescent="0.25">
      <c r="B206" s="9">
        <v>43983</v>
      </c>
      <c r="C206" s="3">
        <v>124.150002</v>
      </c>
      <c r="D206" s="101">
        <f t="shared" si="12"/>
        <v>1.6635497488095563E-2</v>
      </c>
    </row>
    <row r="207" spans="2:4" x14ac:dyDescent="0.25">
      <c r="B207" s="9">
        <v>43976</v>
      </c>
      <c r="C207" s="3">
        <v>122.1185</v>
      </c>
      <c r="D207" s="101">
        <f t="shared" si="12"/>
        <v>2.2528642813290922E-3</v>
      </c>
    </row>
    <row r="208" spans="2:4" x14ac:dyDescent="0.25">
      <c r="B208" s="9">
        <v>43969</v>
      </c>
      <c r="C208" s="3">
        <v>121.844002</v>
      </c>
      <c r="D208" s="101">
        <f t="shared" si="12"/>
        <v>1.1245873253921568E-2</v>
      </c>
    </row>
    <row r="209" spans="2:4" x14ac:dyDescent="0.25">
      <c r="B209" s="9">
        <v>43962</v>
      </c>
      <c r="C209" s="3">
        <v>120.488998</v>
      </c>
      <c r="D209" s="101">
        <f t="shared" si="12"/>
        <v>1.267853986727685E-2</v>
      </c>
    </row>
    <row r="210" spans="2:4" x14ac:dyDescent="0.25">
      <c r="B210" s="9">
        <v>43955</v>
      </c>
      <c r="C210" s="3">
        <v>118.98049899999999</v>
      </c>
      <c r="D210" s="101">
        <f t="shared" si="12"/>
        <v>4.0931015364017886E-2</v>
      </c>
    </row>
    <row r="211" spans="2:4" x14ac:dyDescent="0.25">
      <c r="B211" s="9">
        <v>43948</v>
      </c>
      <c r="C211" s="3">
        <v>114.302002</v>
      </c>
      <c r="D211" s="101">
        <f t="shared" si="12"/>
        <v>-5.1522266821746321E-2</v>
      </c>
    </row>
    <row r="212" spans="2:4" x14ac:dyDescent="0.25">
      <c r="B212" s="9">
        <v>43941</v>
      </c>
      <c r="C212" s="3">
        <v>120.511002</v>
      </c>
      <c r="D212" s="101">
        <f t="shared" si="12"/>
        <v>1.4829490526315769E-2</v>
      </c>
    </row>
    <row r="213" spans="2:4" x14ac:dyDescent="0.25">
      <c r="B213" s="9">
        <v>43934</v>
      </c>
      <c r="C213" s="3">
        <v>118.75</v>
      </c>
      <c r="D213" s="101">
        <f t="shared" si="12"/>
        <v>0.16264269909338336</v>
      </c>
    </row>
    <row r="214" spans="2:4" x14ac:dyDescent="0.25">
      <c r="B214" s="9">
        <v>43927</v>
      </c>
      <c r="C214" s="3">
        <v>102.13800000000001</v>
      </c>
      <c r="D214" s="101">
        <f t="shared" si="12"/>
        <v>7.1420726457617656E-2</v>
      </c>
    </row>
    <row r="215" spans="2:4" x14ac:dyDescent="0.25">
      <c r="B215" s="9">
        <v>43920</v>
      </c>
      <c r="C215" s="3">
        <v>95.329498000000001</v>
      </c>
      <c r="D215" s="101">
        <f t="shared" si="12"/>
        <v>3.4156203383701733E-3</v>
      </c>
    </row>
    <row r="216" spans="2:4" x14ac:dyDescent="0.25">
      <c r="B216" s="9">
        <v>43913</v>
      </c>
      <c r="C216" s="3">
        <v>95.004997000000003</v>
      </c>
      <c r="D216" s="101">
        <f t="shared" si="12"/>
        <v>2.9256429402350737E-2</v>
      </c>
    </row>
    <row r="217" spans="2:4" x14ac:dyDescent="0.25">
      <c r="B217" s="9">
        <v>43906</v>
      </c>
      <c r="C217" s="3">
        <v>92.304496999999998</v>
      </c>
      <c r="D217" s="101">
        <f t="shared" si="12"/>
        <v>3.4224056022408966E-2</v>
      </c>
    </row>
    <row r="218" spans="2:4" x14ac:dyDescent="0.25">
      <c r="B218" s="9">
        <v>43899</v>
      </c>
      <c r="C218" s="3">
        <v>89.25</v>
      </c>
      <c r="D218" s="101">
        <f t="shared" si="12"/>
        <v>-6.1064938358466048E-2</v>
      </c>
    </row>
    <row r="219" spans="2:4" x14ac:dyDescent="0.25">
      <c r="B219" s="9">
        <v>43892</v>
      </c>
      <c r="C219" s="3">
        <v>95.054496999999998</v>
      </c>
      <c r="D219" s="101">
        <f t="shared" si="12"/>
        <v>9.2050112806900675E-3</v>
      </c>
    </row>
    <row r="220" spans="2:4" x14ac:dyDescent="0.25">
      <c r="B220" s="9">
        <v>43885</v>
      </c>
      <c r="C220" s="3">
        <v>94.1875</v>
      </c>
      <c r="D220" s="101">
        <f t="shared" si="12"/>
        <v>-0.10125144920967388</v>
      </c>
    </row>
    <row r="221" spans="2:4" x14ac:dyDescent="0.25">
      <c r="B221" s="9">
        <v>43878</v>
      </c>
      <c r="C221" s="3">
        <v>104.7985</v>
      </c>
      <c r="D221" s="101">
        <f t="shared" si="12"/>
        <v>-1.8221250005855061E-2</v>
      </c>
    </row>
    <row r="222" spans="2:4" x14ac:dyDescent="0.25">
      <c r="B222" s="9">
        <v>43871</v>
      </c>
      <c r="C222" s="3">
        <v>106.7435</v>
      </c>
      <c r="D222" s="101">
        <f t="shared" si="12"/>
        <v>2.67352456639387E-2</v>
      </c>
    </row>
    <row r="223" spans="2:4" x14ac:dyDescent="0.25">
      <c r="B223" s="9">
        <v>43864</v>
      </c>
      <c r="C223" s="3">
        <v>103.96399700000001</v>
      </c>
      <c r="D223" s="101">
        <f t="shared" si="12"/>
        <v>3.5126847996540533E-2</v>
      </c>
    </row>
    <row r="224" spans="2:4" x14ac:dyDescent="0.25">
      <c r="B224" s="9">
        <v>43857</v>
      </c>
      <c r="C224" s="3">
        <v>100.435997</v>
      </c>
      <c r="D224" s="101">
        <f t="shared" si="12"/>
        <v>7.90055641369376E-2</v>
      </c>
    </row>
    <row r="225" spans="2:4" x14ac:dyDescent="0.25">
      <c r="B225" s="9">
        <v>43850</v>
      </c>
      <c r="C225" s="3">
        <v>93.082001000000005</v>
      </c>
      <c r="D225" s="101">
        <f t="shared" si="12"/>
        <v>-1.6517117851473362E-3</v>
      </c>
    </row>
    <row r="226" spans="2:4" x14ac:dyDescent="0.25">
      <c r="B226" s="9">
        <v>43843</v>
      </c>
      <c r="C226" s="3">
        <v>93.236000000000004</v>
      </c>
      <c r="D226" s="101">
        <f t="shared" si="12"/>
        <v>-9.792020108499E-3</v>
      </c>
    </row>
    <row r="227" spans="2:4" x14ac:dyDescent="0.25">
      <c r="B227" s="9">
        <v>43836</v>
      </c>
      <c r="C227" s="3">
        <v>94.157996999999995</v>
      </c>
      <c r="D227" s="101">
        <f t="shared" si="12"/>
        <v>4.3680700288986074E-3</v>
      </c>
    </row>
    <row r="228" spans="2:4" x14ac:dyDescent="0.25">
      <c r="B228" s="9">
        <v>43829</v>
      </c>
      <c r="C228" s="3">
        <v>93.748497</v>
      </c>
      <c r="D228" s="101">
        <f t="shared" si="12"/>
        <v>2.7649909672691209E-3</v>
      </c>
    </row>
    <row r="229" spans="2:4" x14ac:dyDescent="0.25">
      <c r="B229" s="9">
        <v>43822</v>
      </c>
      <c r="C229" s="3">
        <v>93.489998</v>
      </c>
      <c r="D229" s="101">
        <f t="shared" si="12"/>
        <v>4.6627496668149915E-2</v>
      </c>
    </row>
    <row r="230" spans="2:4" x14ac:dyDescent="0.25">
      <c r="B230" s="9">
        <v>43815</v>
      </c>
      <c r="C230" s="3">
        <v>89.324996999999996</v>
      </c>
      <c r="D230" s="101">
        <f t="shared" si="12"/>
        <v>1.4514975451121792E-2</v>
      </c>
    </row>
    <row r="231" spans="2:4" x14ac:dyDescent="0.25">
      <c r="B231" s="9">
        <v>43808</v>
      </c>
      <c r="C231" s="3">
        <v>88.046997000000005</v>
      </c>
      <c r="D231" s="101">
        <f t="shared" si="12"/>
        <v>5.332210428586226E-3</v>
      </c>
    </row>
    <row r="232" spans="2:4" x14ac:dyDescent="0.25">
      <c r="B232" s="9">
        <v>43801</v>
      </c>
      <c r="C232" s="3">
        <v>87.580001999999993</v>
      </c>
      <c r="D232" s="101">
        <f t="shared" si="12"/>
        <v>-2.7321179172354881E-2</v>
      </c>
    </row>
    <row r="233" spans="2:4" x14ac:dyDescent="0.25">
      <c r="B233" s="9">
        <v>43794</v>
      </c>
      <c r="C233" s="3">
        <v>90.040001000000004</v>
      </c>
      <c r="D233" s="101">
        <f t="shared" si="12"/>
        <v>3.1551427552479527E-2</v>
      </c>
    </row>
    <row r="234" spans="2:4" x14ac:dyDescent="0.25">
      <c r="B234" s="9">
        <v>43787</v>
      </c>
      <c r="C234" s="3">
        <v>87.286002999999994</v>
      </c>
      <c r="D234" s="101">
        <f t="shared" si="12"/>
        <v>3.5815093993696312E-3</v>
      </c>
    </row>
    <row r="235" spans="2:4" x14ac:dyDescent="0.25">
      <c r="B235" s="9">
        <v>43780</v>
      </c>
      <c r="C235" s="3">
        <v>86.974502999999999</v>
      </c>
      <c r="D235" s="101">
        <f t="shared" si="12"/>
        <v>-2.5975944923241734E-2</v>
      </c>
    </row>
    <row r="236" spans="2:4" x14ac:dyDescent="0.25">
      <c r="B236" s="9">
        <v>43773</v>
      </c>
      <c r="C236" s="3">
        <v>89.293998999999999</v>
      </c>
      <c r="D236" s="101">
        <f t="shared" si="12"/>
        <v>-3.1036484962226885E-3</v>
      </c>
    </row>
    <row r="237" spans="2:4" x14ac:dyDescent="0.25">
      <c r="B237" s="9">
        <v>43766</v>
      </c>
      <c r="C237" s="3">
        <v>89.571999000000005</v>
      </c>
      <c r="D237" s="101">
        <f t="shared" si="12"/>
        <v>1.7095047880750336E-2</v>
      </c>
    </row>
    <row r="238" spans="2:4" x14ac:dyDescent="0.25">
      <c r="B238" s="9">
        <v>43759</v>
      </c>
      <c r="C238" s="3">
        <v>88.066497999999996</v>
      </c>
      <c r="D238" s="101">
        <f t="shared" si="12"/>
        <v>2.1734612184982627E-3</v>
      </c>
    </row>
    <row r="239" spans="2:4" x14ac:dyDescent="0.25">
      <c r="B239" s="9">
        <v>43752</v>
      </c>
      <c r="C239" s="3">
        <v>87.875504000000006</v>
      </c>
      <c r="D239" s="101">
        <f t="shared" si="12"/>
        <v>1.4775543734404151E-2</v>
      </c>
    </row>
    <row r="240" spans="2:4" x14ac:dyDescent="0.25">
      <c r="B240" s="9">
        <v>43745</v>
      </c>
      <c r="C240" s="3">
        <v>86.596001000000001</v>
      </c>
      <c r="D240" s="101">
        <f t="shared" si="12"/>
        <v>-4.4433881399911224E-3</v>
      </c>
    </row>
    <row r="241" spans="2:4" x14ac:dyDescent="0.25">
      <c r="B241" s="9">
        <v>43738</v>
      </c>
      <c r="C241" s="3">
        <v>86.982498000000007</v>
      </c>
      <c r="D241" s="101">
        <f t="shared" si="12"/>
        <v>8.2297256742267511E-3</v>
      </c>
    </row>
    <row r="242" spans="2:4" x14ac:dyDescent="0.25">
      <c r="B242" s="9">
        <v>43731</v>
      </c>
      <c r="C242" s="3">
        <v>86.272498999999996</v>
      </c>
      <c r="D242" s="101">
        <f t="shared" si="12"/>
        <v>-3.8296484148570897E-2</v>
      </c>
    </row>
    <row r="243" spans="2:4" x14ac:dyDescent="0.25">
      <c r="B243" s="9">
        <v>43724</v>
      </c>
      <c r="C243" s="3">
        <v>89.707999999999998</v>
      </c>
      <c r="D243" s="101">
        <f t="shared" si="12"/>
        <v>-2.456319034338883E-2</v>
      </c>
    </row>
    <row r="244" spans="2:4" x14ac:dyDescent="0.25">
      <c r="B244" s="9">
        <v>43717</v>
      </c>
      <c r="C244" s="3">
        <v>91.967003000000005</v>
      </c>
      <c r="D244" s="101">
        <f t="shared" si="12"/>
        <v>3.1797372600066431E-3</v>
      </c>
    </row>
    <row r="245" spans="2:4" x14ac:dyDescent="0.25">
      <c r="B245" s="9">
        <v>43710</v>
      </c>
      <c r="C245" s="3">
        <v>91.675499000000002</v>
      </c>
      <c r="D245" s="101">
        <f t="shared" si="12"/>
        <v>3.2213208791506132E-2</v>
      </c>
    </row>
    <row r="246" spans="2:4" x14ac:dyDescent="0.25">
      <c r="B246" s="9">
        <v>43703</v>
      </c>
      <c r="C246" s="3">
        <v>88.814498999999998</v>
      </c>
      <c r="D246" s="101">
        <f t="shared" si="12"/>
        <v>1.5243263728926371E-2</v>
      </c>
    </row>
    <row r="247" spans="2:4" x14ac:dyDescent="0.25">
      <c r="B247" s="9">
        <v>43696</v>
      </c>
      <c r="C247" s="3">
        <v>87.481003000000001</v>
      </c>
      <c r="D247" s="101">
        <f t="shared" si="12"/>
        <v>-2.3960001027351741E-2</v>
      </c>
    </row>
    <row r="248" spans="2:4" x14ac:dyDescent="0.25">
      <c r="B248" s="9">
        <v>43689</v>
      </c>
      <c r="C248" s="3">
        <v>89.628501999999997</v>
      </c>
      <c r="D248" s="101">
        <f t="shared" si="12"/>
        <v>-8.303876084131856E-3</v>
      </c>
    </row>
    <row r="249" spans="2:4" x14ac:dyDescent="0.25">
      <c r="B249" s="9">
        <v>43682</v>
      </c>
      <c r="C249" s="3">
        <v>90.378997999999996</v>
      </c>
      <c r="D249" s="101">
        <f t="shared" si="12"/>
        <v>-8.5891596743437049E-3</v>
      </c>
    </row>
    <row r="250" spans="2:4" x14ac:dyDescent="0.25">
      <c r="B250" s="9">
        <v>43675</v>
      </c>
      <c r="C250" s="3">
        <v>91.162002999999999</v>
      </c>
      <c r="D250" s="101">
        <f t="shared" si="12"/>
        <v>-6.1660721511467953E-2</v>
      </c>
    </row>
    <row r="251" spans="2:4" x14ac:dyDescent="0.25">
      <c r="B251" s="9">
        <v>43668</v>
      </c>
      <c r="C251" s="3">
        <v>97.152495999999999</v>
      </c>
      <c r="D251" s="101">
        <f t="shared" si="12"/>
        <v>-1.0928898884794314E-2</v>
      </c>
    </row>
    <row r="252" spans="2:4" x14ac:dyDescent="0.25">
      <c r="B252" s="9">
        <v>43661</v>
      </c>
      <c r="C252" s="3">
        <v>98.225998000000004</v>
      </c>
      <c r="D252" s="101">
        <f t="shared" si="12"/>
        <v>-2.3112928201503902E-2</v>
      </c>
    </row>
    <row r="253" spans="2:4" x14ac:dyDescent="0.25">
      <c r="B253" s="9">
        <v>43654</v>
      </c>
      <c r="C253" s="3">
        <v>100.550003</v>
      </c>
      <c r="D253" s="101">
        <f t="shared" si="12"/>
        <v>3.5045400970708851E-2</v>
      </c>
    </row>
    <row r="254" spans="2:4" x14ac:dyDescent="0.25">
      <c r="B254" s="9">
        <v>43647</v>
      </c>
      <c r="C254" s="3">
        <v>97.145499999999998</v>
      </c>
      <c r="D254" s="101">
        <f t="shared" si="12"/>
        <v>2.6024058785800941E-2</v>
      </c>
    </row>
    <row r="255" spans="2:4" x14ac:dyDescent="0.25">
      <c r="B255" s="9">
        <v>43640</v>
      </c>
      <c r="C255" s="3">
        <v>94.681503000000006</v>
      </c>
      <c r="D255" s="101">
        <f t="shared" si="12"/>
        <v>-9.2450058233661814E-3</v>
      </c>
    </row>
    <row r="256" spans="2:4" x14ac:dyDescent="0.25">
      <c r="B256" s="9">
        <v>43633</v>
      </c>
      <c r="C256" s="3">
        <v>95.565002000000007</v>
      </c>
      <c r="D256" s="101">
        <f t="shared" si="12"/>
        <v>2.2266004637524484E-2</v>
      </c>
    </row>
    <row r="257" spans="2:4" x14ac:dyDescent="0.25">
      <c r="B257" s="9">
        <v>43626</v>
      </c>
      <c r="C257" s="3">
        <v>93.483497999999997</v>
      </c>
      <c r="D257" s="101">
        <f t="shared" si="12"/>
        <v>3.638518206459973E-2</v>
      </c>
    </row>
    <row r="258" spans="2:4" x14ac:dyDescent="0.25">
      <c r="B258" s="9">
        <v>43619</v>
      </c>
      <c r="C258" s="3">
        <v>90.201499999999996</v>
      </c>
      <c r="D258" s="101">
        <f t="shared" si="12"/>
        <v>1.6314826653262671E-2</v>
      </c>
    </row>
    <row r="259" spans="2:4" x14ac:dyDescent="0.25">
      <c r="B259" s="9">
        <v>43612</v>
      </c>
      <c r="C259" s="3">
        <v>88.753501999999997</v>
      </c>
      <c r="D259" s="101">
        <f t="shared" ref="D259:D322" si="13">C259/C260-1</f>
        <v>-2.6441347171675789E-2</v>
      </c>
    </row>
    <row r="260" spans="2:4" x14ac:dyDescent="0.25">
      <c r="B260" s="9">
        <v>43605</v>
      </c>
      <c r="C260" s="3">
        <v>91.164000999999999</v>
      </c>
      <c r="D260" s="101">
        <f t="shared" si="13"/>
        <v>-2.4462237275406196E-2</v>
      </c>
    </row>
    <row r="261" spans="2:4" x14ac:dyDescent="0.25">
      <c r="B261" s="9">
        <v>43598</v>
      </c>
      <c r="C261" s="3">
        <v>93.449996999999996</v>
      </c>
      <c r="D261" s="101">
        <f t="shared" si="13"/>
        <v>-1.1100688778710066E-2</v>
      </c>
    </row>
    <row r="262" spans="2:4" x14ac:dyDescent="0.25">
      <c r="B262" s="9">
        <v>43591</v>
      </c>
      <c r="C262" s="3">
        <v>94.499001000000007</v>
      </c>
      <c r="D262" s="101">
        <f t="shared" si="13"/>
        <v>-3.6933236479385623E-2</v>
      </c>
    </row>
    <row r="263" spans="2:4" x14ac:dyDescent="0.25">
      <c r="B263" s="9">
        <v>43584</v>
      </c>
      <c r="C263" s="3">
        <v>98.123001000000002</v>
      </c>
      <c r="D263" s="101">
        <f t="shared" si="13"/>
        <v>6.0646969222313274E-3</v>
      </c>
    </row>
    <row r="264" spans="2:4" x14ac:dyDescent="0.25">
      <c r="B264" s="9">
        <v>43577</v>
      </c>
      <c r="C264" s="3">
        <v>97.531502000000003</v>
      </c>
      <c r="D264" s="101">
        <f t="shared" si="13"/>
        <v>4.7773784643830641E-2</v>
      </c>
    </row>
    <row r="265" spans="2:4" x14ac:dyDescent="0.25">
      <c r="B265" s="9">
        <v>43570</v>
      </c>
      <c r="C265" s="3">
        <v>93.084502999999998</v>
      </c>
      <c r="D265" s="101">
        <f t="shared" si="13"/>
        <v>1.0108222195696293E-2</v>
      </c>
    </row>
    <row r="266" spans="2:4" x14ac:dyDescent="0.25">
      <c r="B266" s="9">
        <v>43563</v>
      </c>
      <c r="C266" s="3">
        <v>92.153000000000006</v>
      </c>
      <c r="D266" s="101">
        <f t="shared" si="13"/>
        <v>3.1459767296433405E-3</v>
      </c>
    </row>
    <row r="267" spans="2:4" x14ac:dyDescent="0.25">
      <c r="B267" s="9">
        <v>43556</v>
      </c>
      <c r="C267" s="3">
        <v>91.863997999999995</v>
      </c>
      <c r="D267" s="101">
        <f t="shared" si="13"/>
        <v>3.1745051955525572E-2</v>
      </c>
    </row>
    <row r="268" spans="2:4" x14ac:dyDescent="0.25">
      <c r="B268" s="9">
        <v>43549</v>
      </c>
      <c r="C268" s="3">
        <v>89.037497999999999</v>
      </c>
      <c r="D268" s="101">
        <f t="shared" si="13"/>
        <v>9.0549473623777743E-3</v>
      </c>
    </row>
    <row r="269" spans="2:4" x14ac:dyDescent="0.25">
      <c r="B269" s="9">
        <v>43542</v>
      </c>
      <c r="C269" s="3">
        <v>88.238502999999994</v>
      </c>
      <c r="D269" s="101">
        <f t="shared" si="13"/>
        <v>3.0606964918917123E-2</v>
      </c>
    </row>
    <row r="270" spans="2:4" x14ac:dyDescent="0.25">
      <c r="B270" s="9">
        <v>43535</v>
      </c>
      <c r="C270" s="3">
        <v>85.617996000000005</v>
      </c>
      <c r="D270" s="101">
        <f t="shared" si="13"/>
        <v>5.649055952010662E-2</v>
      </c>
    </row>
    <row r="271" spans="2:4" x14ac:dyDescent="0.25">
      <c r="B271" s="9">
        <v>43528</v>
      </c>
      <c r="C271" s="3">
        <v>81.040001000000004</v>
      </c>
      <c r="D271" s="101">
        <f t="shared" si="13"/>
        <v>-3.0465457209825519E-2</v>
      </c>
    </row>
    <row r="272" spans="2:4" x14ac:dyDescent="0.25">
      <c r="B272" s="9">
        <v>43521</v>
      </c>
      <c r="C272" s="3">
        <v>83.586501999999996</v>
      </c>
      <c r="D272" s="101">
        <f t="shared" si="13"/>
        <v>2.4620595333769035E-2</v>
      </c>
    </row>
    <row r="273" spans="2:4" x14ac:dyDescent="0.25">
      <c r="B273" s="9">
        <v>43514</v>
      </c>
      <c r="C273" s="3">
        <v>81.578002999999995</v>
      </c>
      <c r="D273" s="101">
        <f t="shared" si="13"/>
        <v>1.4683342326357707E-2</v>
      </c>
    </row>
    <row r="274" spans="2:4" x14ac:dyDescent="0.25">
      <c r="B274" s="9">
        <v>43507</v>
      </c>
      <c r="C274" s="3">
        <v>80.397498999999996</v>
      </c>
      <c r="D274" s="101">
        <f t="shared" si="13"/>
        <v>1.242266137854986E-2</v>
      </c>
    </row>
    <row r="275" spans="2:4" x14ac:dyDescent="0.25">
      <c r="B275" s="9">
        <v>43500</v>
      </c>
      <c r="C275" s="3">
        <v>79.411002999999994</v>
      </c>
      <c r="D275" s="101">
        <f t="shared" si="13"/>
        <v>-2.3373052724730892E-2</v>
      </c>
    </row>
    <row r="276" spans="2:4" x14ac:dyDescent="0.25">
      <c r="B276" s="9">
        <v>43493</v>
      </c>
      <c r="C276" s="3">
        <v>81.311501000000007</v>
      </c>
      <c r="D276" s="101">
        <f t="shared" si="13"/>
        <v>-2.654186200368025E-2</v>
      </c>
    </row>
    <row r="277" spans="2:4" x14ac:dyDescent="0.25">
      <c r="B277" s="9">
        <v>43486</v>
      </c>
      <c r="C277" s="3">
        <v>83.528503000000001</v>
      </c>
      <c r="D277" s="101">
        <f t="shared" si="13"/>
        <v>-1.5110187834222022E-2</v>
      </c>
    </row>
    <row r="278" spans="2:4" x14ac:dyDescent="0.25">
      <c r="B278" s="9">
        <v>43479</v>
      </c>
      <c r="C278" s="3">
        <v>84.809997999999993</v>
      </c>
      <c r="D278" s="101">
        <f t="shared" si="13"/>
        <v>3.3915224069829719E-2</v>
      </c>
    </row>
    <row r="279" spans="2:4" x14ac:dyDescent="0.25">
      <c r="B279" s="9">
        <v>43472</v>
      </c>
      <c r="C279" s="3">
        <v>82.028000000000006</v>
      </c>
      <c r="D279" s="101">
        <f t="shared" si="13"/>
        <v>4.1367521167869237E-2</v>
      </c>
    </row>
    <row r="280" spans="2:4" x14ac:dyDescent="0.25">
      <c r="B280" s="9">
        <v>43465</v>
      </c>
      <c r="C280" s="3">
        <v>78.769501000000005</v>
      </c>
      <c r="D280" s="101">
        <f t="shared" si="13"/>
        <v>6.5878674633920165E-2</v>
      </c>
    </row>
    <row r="281" spans="2:4" x14ac:dyDescent="0.25">
      <c r="B281" s="9">
        <v>43458</v>
      </c>
      <c r="C281" s="3">
        <v>73.901000999999994</v>
      </c>
      <c r="D281" s="101">
        <f t="shared" si="13"/>
        <v>7.3011770242455976E-2</v>
      </c>
    </row>
    <row r="282" spans="2:4" x14ac:dyDescent="0.25">
      <c r="B282" s="9">
        <v>43451</v>
      </c>
      <c r="C282" s="3">
        <v>68.872497999999993</v>
      </c>
      <c r="D282" s="101">
        <f t="shared" si="13"/>
        <v>-0.13471866379576725</v>
      </c>
    </row>
    <row r="283" spans="2:4" x14ac:dyDescent="0.25">
      <c r="B283" s="9">
        <v>43444</v>
      </c>
      <c r="C283" s="3">
        <v>79.595496999999995</v>
      </c>
      <c r="D283" s="101">
        <f t="shared" si="13"/>
        <v>-2.2846550840505797E-2</v>
      </c>
    </row>
    <row r="284" spans="2:4" x14ac:dyDescent="0.25">
      <c r="B284" s="9">
        <v>43437</v>
      </c>
      <c r="C284" s="3">
        <v>81.456496999999999</v>
      </c>
      <c r="D284" s="101">
        <f t="shared" si="13"/>
        <v>-3.6114734448188468E-2</v>
      </c>
    </row>
    <row r="285" spans="2:4" x14ac:dyDescent="0.25">
      <c r="B285" s="9">
        <v>43430</v>
      </c>
      <c r="C285" s="3">
        <v>84.508499</v>
      </c>
      <c r="D285" s="101">
        <f t="shared" si="13"/>
        <v>0.12523470934189218</v>
      </c>
    </row>
    <row r="286" spans="2:4" x14ac:dyDescent="0.25">
      <c r="B286" s="9">
        <v>43423</v>
      </c>
      <c r="C286" s="3">
        <v>75.102997000000002</v>
      </c>
      <c r="D286" s="101">
        <f t="shared" si="13"/>
        <v>-5.732993875198622E-2</v>
      </c>
    </row>
    <row r="287" spans="2:4" x14ac:dyDescent="0.25">
      <c r="B287" s="9">
        <v>43416</v>
      </c>
      <c r="C287" s="3">
        <v>79.670501999999999</v>
      </c>
      <c r="D287" s="101">
        <f t="shared" si="13"/>
        <v>-6.9503525855153847E-2</v>
      </c>
    </row>
    <row r="288" spans="2:4" x14ac:dyDescent="0.25">
      <c r="B288" s="9">
        <v>43409</v>
      </c>
      <c r="C288" s="3">
        <v>85.621498000000003</v>
      </c>
      <c r="D288" s="101">
        <f t="shared" si="13"/>
        <v>2.8159217600135067E-2</v>
      </c>
    </row>
    <row r="289" spans="2:4" x14ac:dyDescent="0.25">
      <c r="B289" s="9">
        <v>43402</v>
      </c>
      <c r="C289" s="3">
        <v>83.276497000000006</v>
      </c>
      <c r="D289" s="101">
        <f t="shared" si="13"/>
        <v>1.3829888526492251E-2</v>
      </c>
    </row>
    <row r="290" spans="2:4" x14ac:dyDescent="0.25">
      <c r="B290" s="9">
        <v>43395</v>
      </c>
      <c r="C290" s="3">
        <v>82.140502999999995</v>
      </c>
      <c r="D290" s="101">
        <f t="shared" si="13"/>
        <v>-6.8717618181096674E-2</v>
      </c>
    </row>
    <row r="291" spans="2:4" x14ac:dyDescent="0.25">
      <c r="B291" s="9">
        <v>43388</v>
      </c>
      <c r="C291" s="3">
        <v>88.201499999999996</v>
      </c>
      <c r="D291" s="101">
        <f t="shared" si="13"/>
        <v>-1.3742471024649205E-2</v>
      </c>
    </row>
    <row r="292" spans="2:4" x14ac:dyDescent="0.25">
      <c r="B292" s="9">
        <v>43381</v>
      </c>
      <c r="C292" s="3">
        <v>89.430496000000005</v>
      </c>
      <c r="D292" s="101">
        <f t="shared" si="13"/>
        <v>-5.3470241652586292E-2</v>
      </c>
    </row>
    <row r="293" spans="2:4" x14ac:dyDescent="0.25">
      <c r="B293" s="9">
        <v>43374</v>
      </c>
      <c r="C293" s="3">
        <v>94.482498000000007</v>
      </c>
      <c r="D293" s="101">
        <f t="shared" si="13"/>
        <v>-5.6590153637740226E-2</v>
      </c>
    </row>
    <row r="294" spans="2:4" x14ac:dyDescent="0.25">
      <c r="B294" s="9">
        <v>43367</v>
      </c>
      <c r="C294" s="3">
        <v>100.150002</v>
      </c>
      <c r="D294" s="101">
        <f t="shared" si="13"/>
        <v>4.59475179368245E-2</v>
      </c>
    </row>
    <row r="295" spans="2:4" x14ac:dyDescent="0.25">
      <c r="B295" s="9">
        <v>43360</v>
      </c>
      <c r="C295" s="3">
        <v>95.750504000000006</v>
      </c>
      <c r="D295" s="101">
        <f t="shared" si="13"/>
        <v>-2.800740058580542E-2</v>
      </c>
    </row>
    <row r="296" spans="2:4" x14ac:dyDescent="0.25">
      <c r="B296" s="9">
        <v>43353</v>
      </c>
      <c r="C296" s="3">
        <v>98.509499000000005</v>
      </c>
      <c r="D296" s="101">
        <f t="shared" si="13"/>
        <v>9.282443764824011E-3</v>
      </c>
    </row>
    <row r="297" spans="2:4" x14ac:dyDescent="0.25">
      <c r="B297" s="9">
        <v>43346</v>
      </c>
      <c r="C297" s="3">
        <v>97.603499999999997</v>
      </c>
      <c r="D297" s="101">
        <f t="shared" si="13"/>
        <v>-3.0128513896756415E-2</v>
      </c>
    </row>
    <row r="298" spans="2:4" x14ac:dyDescent="0.25">
      <c r="B298" s="9">
        <v>43339</v>
      </c>
      <c r="C298" s="3">
        <v>100.635498</v>
      </c>
      <c r="D298" s="101">
        <f t="shared" si="13"/>
        <v>5.6324394939362588E-2</v>
      </c>
    </row>
    <row r="299" spans="2:4" x14ac:dyDescent="0.25">
      <c r="B299" s="9">
        <v>43332</v>
      </c>
      <c r="C299" s="3">
        <v>95.269501000000005</v>
      </c>
      <c r="D299" s="101">
        <f t="shared" si="13"/>
        <v>1.2309942514690198E-2</v>
      </c>
    </row>
    <row r="300" spans="2:4" x14ac:dyDescent="0.25">
      <c r="B300" s="9">
        <v>43325</v>
      </c>
      <c r="C300" s="3">
        <v>94.111000000000004</v>
      </c>
      <c r="D300" s="101">
        <f t="shared" si="13"/>
        <v>-2.1629856934106684E-3</v>
      </c>
    </row>
    <row r="301" spans="2:4" x14ac:dyDescent="0.25">
      <c r="B301" s="9">
        <v>43318</v>
      </c>
      <c r="C301" s="3">
        <v>94.315002000000007</v>
      </c>
      <c r="D301" s="101">
        <f t="shared" si="13"/>
        <v>3.4558464135440836E-2</v>
      </c>
    </row>
    <row r="302" spans="2:4" x14ac:dyDescent="0.25">
      <c r="B302" s="9">
        <v>43311</v>
      </c>
      <c r="C302" s="3">
        <v>91.164496999999997</v>
      </c>
      <c r="D302" s="101">
        <f t="shared" si="13"/>
        <v>3.3125951571557621E-3</v>
      </c>
    </row>
    <row r="303" spans="2:4" x14ac:dyDescent="0.25">
      <c r="B303" s="9">
        <v>43304</v>
      </c>
      <c r="C303" s="3">
        <v>90.863502999999994</v>
      </c>
      <c r="D303" s="101">
        <f t="shared" si="13"/>
        <v>1.9684071669716641E-3</v>
      </c>
    </row>
    <row r="304" spans="2:4" x14ac:dyDescent="0.25">
      <c r="B304" s="9">
        <v>43297</v>
      </c>
      <c r="C304" s="3">
        <v>90.684997999999993</v>
      </c>
      <c r="D304" s="101">
        <f t="shared" si="13"/>
        <v>3.695581552281002E-4</v>
      </c>
    </row>
    <row r="305" spans="2:4" x14ac:dyDescent="0.25">
      <c r="B305" s="9">
        <v>43290</v>
      </c>
      <c r="C305" s="3">
        <v>90.651497000000006</v>
      </c>
      <c r="D305" s="101">
        <f t="shared" si="13"/>
        <v>5.9860927030136901E-2</v>
      </c>
    </row>
    <row r="306" spans="2:4" x14ac:dyDescent="0.25">
      <c r="B306" s="9">
        <v>43283</v>
      </c>
      <c r="C306" s="3">
        <v>85.531502000000003</v>
      </c>
      <c r="D306" s="101">
        <f t="shared" si="13"/>
        <v>6.3713850187407939E-3</v>
      </c>
    </row>
    <row r="307" spans="2:4" x14ac:dyDescent="0.25">
      <c r="B307" s="9">
        <v>43276</v>
      </c>
      <c r="C307" s="3">
        <v>84.989998</v>
      </c>
      <c r="D307" s="101">
        <f t="shared" si="13"/>
        <v>-9.2500654642202473E-3</v>
      </c>
    </row>
    <row r="308" spans="2:4" x14ac:dyDescent="0.25">
      <c r="B308" s="9">
        <v>43269</v>
      </c>
      <c r="C308" s="3">
        <v>85.783501000000001</v>
      </c>
      <c r="D308" s="101">
        <f t="shared" si="13"/>
        <v>-1.7481657604745404E-4</v>
      </c>
    </row>
    <row r="309" spans="2:4" x14ac:dyDescent="0.25">
      <c r="B309" s="9">
        <v>43262</v>
      </c>
      <c r="C309" s="3">
        <v>85.798500000000004</v>
      </c>
      <c r="D309" s="101">
        <f t="shared" si="13"/>
        <v>1.8990599481106374E-2</v>
      </c>
    </row>
    <row r="310" spans="2:4" x14ac:dyDescent="0.25">
      <c r="B310" s="9">
        <v>43255</v>
      </c>
      <c r="C310" s="3">
        <v>84.199500999999998</v>
      </c>
      <c r="D310" s="101">
        <f t="shared" si="13"/>
        <v>2.5859837986530687E-2</v>
      </c>
    </row>
    <row r="311" spans="2:4" x14ac:dyDescent="0.25">
      <c r="B311" s="9">
        <v>43248</v>
      </c>
      <c r="C311" s="3">
        <v>82.077003000000005</v>
      </c>
      <c r="D311" s="101">
        <f t="shared" si="13"/>
        <v>1.9495115361922943E-2</v>
      </c>
    </row>
    <row r="312" spans="2:4" x14ac:dyDescent="0.25">
      <c r="B312" s="9">
        <v>43241</v>
      </c>
      <c r="C312" s="3">
        <v>80.507499999999993</v>
      </c>
      <c r="D312" s="101">
        <f t="shared" si="13"/>
        <v>2.2726576922237562E-2</v>
      </c>
    </row>
    <row r="313" spans="2:4" x14ac:dyDescent="0.25">
      <c r="B313" s="9">
        <v>43234</v>
      </c>
      <c r="C313" s="3">
        <v>78.718497999999997</v>
      </c>
      <c r="D313" s="101">
        <f t="shared" si="13"/>
        <v>-1.7805141898172727E-2</v>
      </c>
    </row>
    <row r="314" spans="2:4" x14ac:dyDescent="0.25">
      <c r="B314" s="9">
        <v>43227</v>
      </c>
      <c r="C314" s="3">
        <v>80.145499999999998</v>
      </c>
      <c r="D314" s="101">
        <f t="shared" si="13"/>
        <v>1.3890369538690495E-2</v>
      </c>
    </row>
    <row r="315" spans="2:4" x14ac:dyDescent="0.25">
      <c r="B315" s="9">
        <v>43220</v>
      </c>
      <c r="C315" s="3">
        <v>79.047500999999997</v>
      </c>
      <c r="D315" s="101">
        <f t="shared" si="13"/>
        <v>5.2969441554964192E-3</v>
      </c>
    </row>
    <row r="316" spans="2:4" x14ac:dyDescent="0.25">
      <c r="B316" s="9">
        <v>43213</v>
      </c>
      <c r="C316" s="3">
        <v>78.630996999999994</v>
      </c>
      <c r="D316" s="101">
        <f t="shared" si="13"/>
        <v>2.9545216246009698E-2</v>
      </c>
    </row>
    <row r="317" spans="2:4" x14ac:dyDescent="0.25">
      <c r="B317" s="9">
        <v>43206</v>
      </c>
      <c r="C317" s="3">
        <v>76.374495999999994</v>
      </c>
      <c r="D317" s="101">
        <f t="shared" si="13"/>
        <v>6.7585029288086851E-2</v>
      </c>
    </row>
    <row r="318" spans="2:4" x14ac:dyDescent="0.25">
      <c r="B318" s="9">
        <v>43199</v>
      </c>
      <c r="C318" s="3">
        <v>71.539496999999997</v>
      </c>
      <c r="D318" s="101">
        <f t="shared" si="13"/>
        <v>1.8189194004790243E-2</v>
      </c>
    </row>
    <row r="319" spans="2:4" x14ac:dyDescent="0.25">
      <c r="B319" s="9">
        <v>43192</v>
      </c>
      <c r="C319" s="3">
        <v>70.261497000000006</v>
      </c>
      <c r="D319" s="101">
        <f t="shared" si="13"/>
        <v>-2.9094754339467621E-2</v>
      </c>
    </row>
    <row r="320" spans="2:4" x14ac:dyDescent="0.25">
      <c r="B320" s="9">
        <v>43185</v>
      </c>
      <c r="C320" s="3">
        <v>72.366996999999998</v>
      </c>
      <c r="D320" s="101">
        <f t="shared" si="13"/>
        <v>-3.2242143411163826E-2</v>
      </c>
    </row>
    <row r="321" spans="2:4" x14ac:dyDescent="0.25">
      <c r="B321" s="9">
        <v>43178</v>
      </c>
      <c r="C321" s="3">
        <v>74.778000000000006</v>
      </c>
      <c r="D321" s="101">
        <f t="shared" si="13"/>
        <v>-4.8432250839865576E-2</v>
      </c>
    </row>
    <row r="322" spans="2:4" x14ac:dyDescent="0.25">
      <c r="B322" s="9">
        <v>43171</v>
      </c>
      <c r="C322" s="3">
        <v>78.584000000000003</v>
      </c>
      <c r="D322" s="101">
        <f t="shared" si="13"/>
        <v>-4.5665496865999744E-3</v>
      </c>
    </row>
    <row r="323" spans="2:4" x14ac:dyDescent="0.25">
      <c r="B323" s="9">
        <v>43164</v>
      </c>
      <c r="C323" s="3">
        <v>78.944503999999995</v>
      </c>
      <c r="D323" s="101">
        <f t="shared" ref="D323:D386" si="14">C323/C324-1</f>
        <v>5.2418025759094489E-2</v>
      </c>
    </row>
    <row r="324" spans="2:4" x14ac:dyDescent="0.25">
      <c r="B324" s="9">
        <v>43157</v>
      </c>
      <c r="C324" s="3">
        <v>75.012496999999996</v>
      </c>
      <c r="D324" s="101">
        <f t="shared" si="14"/>
        <v>1.6662666666666937E-4</v>
      </c>
    </row>
    <row r="325" spans="2:4" x14ac:dyDescent="0.25">
      <c r="B325" s="9">
        <v>43150</v>
      </c>
      <c r="C325" s="3">
        <v>75</v>
      </c>
      <c r="D325" s="101">
        <f t="shared" si="14"/>
        <v>3.5418176824077552E-2</v>
      </c>
    </row>
    <row r="326" spans="2:4" x14ac:dyDescent="0.25">
      <c r="B326" s="9">
        <v>43143</v>
      </c>
      <c r="C326" s="3">
        <v>72.434501999999995</v>
      </c>
      <c r="D326" s="101">
        <f t="shared" si="14"/>
        <v>8.1434738066524126E-2</v>
      </c>
    </row>
    <row r="327" spans="2:4" x14ac:dyDescent="0.25">
      <c r="B327" s="9">
        <v>43136</v>
      </c>
      <c r="C327" s="3">
        <v>66.980002999999996</v>
      </c>
      <c r="D327" s="101">
        <f t="shared" si="14"/>
        <v>-6.3183959248476085E-2</v>
      </c>
    </row>
    <row r="328" spans="2:4" x14ac:dyDescent="0.25">
      <c r="B328" s="9">
        <v>43129</v>
      </c>
      <c r="C328" s="3">
        <v>71.497497999999993</v>
      </c>
      <c r="D328" s="101">
        <f t="shared" si="14"/>
        <v>1.9899389894805442E-2</v>
      </c>
    </row>
    <row r="329" spans="2:4" x14ac:dyDescent="0.25">
      <c r="B329" s="9">
        <v>43122</v>
      </c>
      <c r="C329" s="3">
        <v>70.102501000000004</v>
      </c>
      <c r="D329" s="101">
        <f t="shared" si="14"/>
        <v>8.3015423257916776E-2</v>
      </c>
    </row>
    <row r="330" spans="2:4" x14ac:dyDescent="0.25">
      <c r="B330" s="9">
        <v>43115</v>
      </c>
      <c r="C330" s="3">
        <v>64.728995999999995</v>
      </c>
      <c r="D330" s="101">
        <f t="shared" si="14"/>
        <v>-8.136775723666112E-3</v>
      </c>
    </row>
    <row r="331" spans="2:4" x14ac:dyDescent="0.25">
      <c r="B331" s="9">
        <v>43108</v>
      </c>
      <c r="C331" s="3">
        <v>65.260002</v>
      </c>
      <c r="D331" s="101">
        <f t="shared" si="14"/>
        <v>6.1880679794316773E-2</v>
      </c>
    </row>
    <row r="332" spans="2:4" x14ac:dyDescent="0.25">
      <c r="B332" s="9">
        <v>43101</v>
      </c>
      <c r="C332" s="3">
        <v>61.457000999999998</v>
      </c>
      <c r="D332" s="101">
        <f t="shared" si="14"/>
        <v>5.102314811022346E-2</v>
      </c>
    </row>
    <row r="333" spans="2:4" x14ac:dyDescent="0.25">
      <c r="B333" s="9">
        <v>43094</v>
      </c>
      <c r="C333" s="3">
        <v>58.473498999999997</v>
      </c>
      <c r="D333" s="101">
        <f t="shared" si="14"/>
        <v>9.5004965849643241E-4</v>
      </c>
    </row>
    <row r="334" spans="2:4" x14ac:dyDescent="0.25">
      <c r="B334" s="9">
        <v>43087</v>
      </c>
      <c r="C334" s="3">
        <v>58.417999000000002</v>
      </c>
      <c r="D334" s="101">
        <f t="shared" si="14"/>
        <v>-9.1422899885968967E-3</v>
      </c>
    </row>
    <row r="335" spans="2:4" x14ac:dyDescent="0.25">
      <c r="B335" s="9">
        <v>43080</v>
      </c>
      <c r="C335" s="3">
        <v>58.957000999999998</v>
      </c>
      <c r="D335" s="101">
        <f t="shared" si="14"/>
        <v>1.4750482435472723E-2</v>
      </c>
    </row>
    <row r="336" spans="2:4" x14ac:dyDescent="0.25">
      <c r="B336" s="9">
        <v>43073</v>
      </c>
      <c r="C336" s="3">
        <v>58.099997999999999</v>
      </c>
      <c r="D336" s="101">
        <f t="shared" si="14"/>
        <v>-3.0114853529483732E-4</v>
      </c>
    </row>
    <row r="337" spans="2:4" x14ac:dyDescent="0.25">
      <c r="B337" s="9">
        <v>43066</v>
      </c>
      <c r="C337" s="3">
        <v>58.1175</v>
      </c>
      <c r="D337" s="101">
        <f t="shared" si="14"/>
        <v>-1.9940961550437786E-2</v>
      </c>
    </row>
    <row r="338" spans="2:4" x14ac:dyDescent="0.25">
      <c r="B338" s="9">
        <v>43059</v>
      </c>
      <c r="C338" s="3">
        <v>59.299999</v>
      </c>
      <c r="D338" s="101">
        <f t="shared" si="14"/>
        <v>4.9668992276507007E-2</v>
      </c>
    </row>
    <row r="339" spans="2:4" x14ac:dyDescent="0.25">
      <c r="B339" s="9">
        <v>43052</v>
      </c>
      <c r="C339" s="3">
        <v>56.493999000000002</v>
      </c>
      <c r="D339" s="101">
        <f t="shared" si="14"/>
        <v>4.0253608557210274E-3</v>
      </c>
    </row>
    <row r="340" spans="2:4" x14ac:dyDescent="0.25">
      <c r="B340" s="9">
        <v>43045</v>
      </c>
      <c r="C340" s="3">
        <v>56.267502</v>
      </c>
      <c r="D340" s="101">
        <f t="shared" si="14"/>
        <v>1.2369556949638039E-2</v>
      </c>
    </row>
    <row r="341" spans="2:4" x14ac:dyDescent="0.25">
      <c r="B341" s="9">
        <v>43038</v>
      </c>
      <c r="C341" s="3">
        <v>55.580002</v>
      </c>
      <c r="D341" s="101">
        <f t="shared" si="14"/>
        <v>9.673481817094709E-3</v>
      </c>
    </row>
    <row r="342" spans="2:4" x14ac:dyDescent="0.25">
      <c r="B342" s="9">
        <v>43031</v>
      </c>
      <c r="C342" s="3">
        <v>55.047500999999997</v>
      </c>
      <c r="D342" s="101">
        <f t="shared" si="14"/>
        <v>0.12009239910062974</v>
      </c>
    </row>
    <row r="343" spans="2:4" x14ac:dyDescent="0.25">
      <c r="B343" s="9">
        <v>43024</v>
      </c>
      <c r="C343" s="3">
        <v>49.145499999999998</v>
      </c>
      <c r="D343" s="101">
        <f t="shared" si="14"/>
        <v>-1.9971264880676132E-2</v>
      </c>
    </row>
    <row r="344" spans="2:4" x14ac:dyDescent="0.25">
      <c r="B344" s="9">
        <v>43017</v>
      </c>
      <c r="C344" s="3">
        <v>50.146999000000001</v>
      </c>
      <c r="D344" s="101">
        <f t="shared" si="14"/>
        <v>1.3500656844317893E-2</v>
      </c>
    </row>
    <row r="345" spans="2:4" x14ac:dyDescent="0.25">
      <c r="B345" s="9">
        <v>43010</v>
      </c>
      <c r="C345" s="3">
        <v>49.478999999999999</v>
      </c>
      <c r="D345" s="101">
        <f t="shared" si="14"/>
        <v>2.9364934116296038E-2</v>
      </c>
    </row>
    <row r="346" spans="2:4" x14ac:dyDescent="0.25">
      <c r="B346" s="9">
        <v>43003</v>
      </c>
      <c r="C346" s="3">
        <v>48.067501</v>
      </c>
      <c r="D346" s="101">
        <f t="shared" si="14"/>
        <v>6.5438172642902082E-3</v>
      </c>
    </row>
    <row r="347" spans="2:4" x14ac:dyDescent="0.25">
      <c r="B347" s="9">
        <v>42996</v>
      </c>
      <c r="C347" s="3">
        <v>47.755001</v>
      </c>
      <c r="D347" s="101">
        <f t="shared" si="14"/>
        <v>-3.211420869688586E-2</v>
      </c>
    </row>
    <row r="348" spans="2:4" x14ac:dyDescent="0.25">
      <c r="B348" s="9">
        <v>42989</v>
      </c>
      <c r="C348" s="3">
        <v>49.339500000000001</v>
      </c>
      <c r="D348" s="101">
        <f t="shared" si="14"/>
        <v>2.1627539978363863E-2</v>
      </c>
    </row>
    <row r="349" spans="2:4" x14ac:dyDescent="0.25">
      <c r="B349" s="9">
        <v>42982</v>
      </c>
      <c r="C349" s="3">
        <v>48.294998</v>
      </c>
      <c r="D349" s="101">
        <f t="shared" si="14"/>
        <v>-1.262458523381893E-2</v>
      </c>
    </row>
    <row r="350" spans="2:4" x14ac:dyDescent="0.25">
      <c r="B350" s="9">
        <v>42975</v>
      </c>
      <c r="C350" s="3">
        <v>48.912497999999999</v>
      </c>
      <c r="D350" s="101">
        <f t="shared" si="14"/>
        <v>3.4900408353257362E-2</v>
      </c>
    </row>
    <row r="351" spans="2:4" x14ac:dyDescent="0.25">
      <c r="B351" s="9">
        <v>42968</v>
      </c>
      <c r="C351" s="3">
        <v>47.262999999999998</v>
      </c>
      <c r="D351" s="101">
        <f t="shared" si="14"/>
        <v>-1.3782382338518695E-2</v>
      </c>
    </row>
    <row r="352" spans="2:4" x14ac:dyDescent="0.25">
      <c r="B352" s="9">
        <v>42961</v>
      </c>
      <c r="C352" s="3">
        <v>47.923499999999997</v>
      </c>
      <c r="D352" s="101">
        <f t="shared" si="14"/>
        <v>-9.8348532594405569E-3</v>
      </c>
    </row>
    <row r="353" spans="2:4" x14ac:dyDescent="0.25">
      <c r="B353" s="9">
        <v>42954</v>
      </c>
      <c r="C353" s="3">
        <v>48.399501999999998</v>
      </c>
      <c r="D353" s="101">
        <f t="shared" si="14"/>
        <v>-1.983636688323509E-2</v>
      </c>
    </row>
    <row r="354" spans="2:4" x14ac:dyDescent="0.25">
      <c r="B354" s="9">
        <v>42947</v>
      </c>
      <c r="C354" s="3">
        <v>49.379002</v>
      </c>
      <c r="D354" s="101">
        <f t="shared" si="14"/>
        <v>-3.1822223281875672E-2</v>
      </c>
    </row>
    <row r="355" spans="2:4" x14ac:dyDescent="0.25">
      <c r="B355" s="9">
        <v>42940</v>
      </c>
      <c r="C355" s="3">
        <v>51.001998999999998</v>
      </c>
      <c r="D355" s="101">
        <f t="shared" si="14"/>
        <v>-5.4891338249314359E-3</v>
      </c>
    </row>
    <row r="356" spans="2:4" x14ac:dyDescent="0.25">
      <c r="B356" s="9">
        <v>42933</v>
      </c>
      <c r="C356" s="3">
        <v>51.283501000000001</v>
      </c>
      <c r="D356" s="101">
        <f t="shared" si="14"/>
        <v>2.3816911390383444E-2</v>
      </c>
    </row>
    <row r="357" spans="2:4" x14ac:dyDescent="0.25">
      <c r="B357" s="9">
        <v>42926</v>
      </c>
      <c r="C357" s="3">
        <v>50.090499999999999</v>
      </c>
      <c r="D357" s="101">
        <f t="shared" si="14"/>
        <v>2.3550206383587291E-2</v>
      </c>
    </row>
    <row r="358" spans="2:4" x14ac:dyDescent="0.25">
      <c r="B358" s="9">
        <v>42919</v>
      </c>
      <c r="C358" s="3">
        <v>48.938000000000002</v>
      </c>
      <c r="D358" s="101">
        <f t="shared" si="14"/>
        <v>1.1115660697700092E-2</v>
      </c>
    </row>
    <row r="359" spans="2:4" x14ac:dyDescent="0.25">
      <c r="B359" s="9">
        <v>42912</v>
      </c>
      <c r="C359" s="3">
        <v>48.400002000000001</v>
      </c>
      <c r="D359" s="101">
        <f t="shared" si="14"/>
        <v>-3.5606790603144201E-2</v>
      </c>
    </row>
    <row r="360" spans="2:4" x14ac:dyDescent="0.25">
      <c r="B360" s="9">
        <v>42905</v>
      </c>
      <c r="C360" s="3">
        <v>50.186999999999998</v>
      </c>
      <c r="D360" s="101">
        <f t="shared" si="14"/>
        <v>1.6229418909217364E-2</v>
      </c>
    </row>
    <row r="361" spans="2:4" x14ac:dyDescent="0.25">
      <c r="B361" s="9">
        <v>42898</v>
      </c>
      <c r="C361" s="3">
        <v>49.385502000000002</v>
      </c>
      <c r="D361" s="101">
        <f t="shared" si="14"/>
        <v>9.6084265803595414E-3</v>
      </c>
    </row>
    <row r="362" spans="2:4" x14ac:dyDescent="0.25">
      <c r="B362" s="9">
        <v>42891</v>
      </c>
      <c r="C362" s="3">
        <v>48.915500999999999</v>
      </c>
      <c r="D362" s="101">
        <f t="shared" si="14"/>
        <v>-2.8229953541861419E-2</v>
      </c>
    </row>
    <row r="363" spans="2:4" x14ac:dyDescent="0.25">
      <c r="B363" s="9">
        <v>42884</v>
      </c>
      <c r="C363" s="3">
        <v>50.336497999999999</v>
      </c>
      <c r="D363" s="101">
        <f t="shared" si="14"/>
        <v>1.0996344353243703E-2</v>
      </c>
    </row>
    <row r="364" spans="2:4" x14ac:dyDescent="0.25">
      <c r="B364" s="9">
        <v>42877</v>
      </c>
      <c r="C364" s="3">
        <v>49.789000999999999</v>
      </c>
      <c r="D364" s="101">
        <f t="shared" si="14"/>
        <v>3.744373984322924E-2</v>
      </c>
    </row>
    <row r="365" spans="2:4" x14ac:dyDescent="0.25">
      <c r="B365" s="9">
        <v>42870</v>
      </c>
      <c r="C365" s="3">
        <v>47.992001000000002</v>
      </c>
      <c r="D365" s="101">
        <f t="shared" si="14"/>
        <v>-1.5707078260631668E-3</v>
      </c>
    </row>
    <row r="366" spans="2:4" x14ac:dyDescent="0.25">
      <c r="B366" s="9">
        <v>42863</v>
      </c>
      <c r="C366" s="3">
        <v>48.067501</v>
      </c>
      <c r="D366" s="101">
        <f t="shared" si="14"/>
        <v>2.9117400845688479E-2</v>
      </c>
    </row>
    <row r="367" spans="2:4" x14ac:dyDescent="0.25">
      <c r="B367" s="9">
        <v>42856</v>
      </c>
      <c r="C367" s="3">
        <v>46.707500000000003</v>
      </c>
      <c r="D367" s="101">
        <f t="shared" si="14"/>
        <v>9.902809760105713E-3</v>
      </c>
    </row>
    <row r="368" spans="2:4" x14ac:dyDescent="0.25">
      <c r="B368" s="9">
        <v>42849</v>
      </c>
      <c r="C368" s="3">
        <v>46.249499999999998</v>
      </c>
      <c r="D368" s="101">
        <f t="shared" si="14"/>
        <v>2.9448144389086162E-2</v>
      </c>
    </row>
    <row r="369" spans="2:4" x14ac:dyDescent="0.25">
      <c r="B369" s="9">
        <v>42842</v>
      </c>
      <c r="C369" s="3">
        <v>44.926498000000002</v>
      </c>
      <c r="D369" s="101">
        <f t="shared" si="14"/>
        <v>1.5666790652632434E-2</v>
      </c>
    </row>
    <row r="370" spans="2:4" x14ac:dyDescent="0.25">
      <c r="B370" s="9">
        <v>42835</v>
      </c>
      <c r="C370" s="3">
        <v>44.233500999999997</v>
      </c>
      <c r="D370" s="101">
        <f t="shared" si="14"/>
        <v>-1.1409306530692609E-2</v>
      </c>
    </row>
    <row r="371" spans="2:4" x14ac:dyDescent="0.25">
      <c r="B371" s="9">
        <v>42828</v>
      </c>
      <c r="C371" s="3">
        <v>44.743999000000002</v>
      </c>
      <c r="D371" s="101">
        <f t="shared" si="14"/>
        <v>9.4073363864011217E-3</v>
      </c>
    </row>
    <row r="372" spans="2:4" x14ac:dyDescent="0.25">
      <c r="B372" s="9">
        <v>42821</v>
      </c>
      <c r="C372" s="3">
        <v>44.326999999999998</v>
      </c>
      <c r="D372" s="101">
        <f t="shared" si="14"/>
        <v>4.8402952860135295E-2</v>
      </c>
    </row>
    <row r="373" spans="2:4" x14ac:dyDescent="0.25">
      <c r="B373" s="9">
        <v>42814</v>
      </c>
      <c r="C373" s="3">
        <v>42.280498999999999</v>
      </c>
      <c r="D373" s="101">
        <f t="shared" si="14"/>
        <v>-7.8610362928738242E-3</v>
      </c>
    </row>
    <row r="374" spans="2:4" x14ac:dyDescent="0.25">
      <c r="B374" s="9">
        <v>42807</v>
      </c>
      <c r="C374" s="3">
        <v>42.615501000000002</v>
      </c>
      <c r="D374" s="101">
        <f t="shared" si="14"/>
        <v>-1.7596133130093339E-4</v>
      </c>
    </row>
    <row r="375" spans="2:4" x14ac:dyDescent="0.25">
      <c r="B375" s="9">
        <v>42800</v>
      </c>
      <c r="C375" s="3">
        <v>42.623001000000002</v>
      </c>
      <c r="D375" s="101">
        <f t="shared" si="14"/>
        <v>3.0357698271701317E-3</v>
      </c>
    </row>
    <row r="376" spans="2:4" x14ac:dyDescent="0.25">
      <c r="B376" s="9">
        <v>42793</v>
      </c>
      <c r="C376" s="3">
        <v>42.493999000000002</v>
      </c>
      <c r="D376" s="101">
        <f t="shared" si="14"/>
        <v>5.4895176402083301E-3</v>
      </c>
    </row>
    <row r="377" spans="2:4" x14ac:dyDescent="0.25">
      <c r="B377" s="9">
        <v>42786</v>
      </c>
      <c r="C377" s="3">
        <v>42.262000999999998</v>
      </c>
      <c r="D377" s="101">
        <f t="shared" si="14"/>
        <v>2.0114309105068173E-4</v>
      </c>
    </row>
    <row r="378" spans="2:4" x14ac:dyDescent="0.25">
      <c r="B378" s="9">
        <v>42779</v>
      </c>
      <c r="C378" s="3">
        <v>42.253501999999997</v>
      </c>
      <c r="D378" s="101">
        <f t="shared" si="14"/>
        <v>2.1282019160272947E-2</v>
      </c>
    </row>
    <row r="379" spans="2:4" x14ac:dyDescent="0.25">
      <c r="B379" s="9">
        <v>42772</v>
      </c>
      <c r="C379" s="3">
        <v>41.373001000000002</v>
      </c>
      <c r="D379" s="101">
        <f t="shared" si="14"/>
        <v>2.1303456988568614E-2</v>
      </c>
    </row>
    <row r="380" spans="2:4" x14ac:dyDescent="0.25">
      <c r="B380" s="9">
        <v>42765</v>
      </c>
      <c r="C380" s="3">
        <v>40.509998000000003</v>
      </c>
      <c r="D380" s="101">
        <f t="shared" si="14"/>
        <v>-3.0594635816330484E-2</v>
      </c>
    </row>
    <row r="381" spans="2:4" x14ac:dyDescent="0.25">
      <c r="B381" s="9">
        <v>42758</v>
      </c>
      <c r="C381" s="3">
        <v>41.788502000000001</v>
      </c>
      <c r="D381" s="101">
        <f t="shared" si="14"/>
        <v>3.3946581223015304E-2</v>
      </c>
    </row>
    <row r="382" spans="2:4" x14ac:dyDescent="0.25">
      <c r="B382" s="9">
        <v>42751</v>
      </c>
      <c r="C382" s="3">
        <v>40.416499999999999</v>
      </c>
      <c r="D382" s="101">
        <f t="shared" si="14"/>
        <v>-1.0781457805588146E-2</v>
      </c>
    </row>
    <row r="383" spans="2:4" x14ac:dyDescent="0.25">
      <c r="B383" s="9">
        <v>42744</v>
      </c>
      <c r="C383" s="3">
        <v>40.856997999999997</v>
      </c>
      <c r="D383" s="101">
        <f t="shared" si="14"/>
        <v>2.6570635309488777E-2</v>
      </c>
    </row>
    <row r="384" spans="2:4" x14ac:dyDescent="0.25">
      <c r="B384" s="9">
        <v>42737</v>
      </c>
      <c r="C384" s="3">
        <v>39.799500000000002</v>
      </c>
      <c r="D384" s="101">
        <f t="shared" si="14"/>
        <v>6.1503994025631226E-2</v>
      </c>
    </row>
    <row r="385" spans="2:4" x14ac:dyDescent="0.25">
      <c r="B385" s="9">
        <v>42730</v>
      </c>
      <c r="C385" s="3">
        <v>37.493499999999997</v>
      </c>
      <c r="D385" s="101">
        <f t="shared" si="14"/>
        <v>-1.409429558880082E-2</v>
      </c>
    </row>
    <row r="386" spans="2:4" x14ac:dyDescent="0.25">
      <c r="B386" s="9">
        <v>42723</v>
      </c>
      <c r="C386" s="3">
        <v>38.029499000000001</v>
      </c>
      <c r="D386" s="101">
        <f t="shared" si="14"/>
        <v>3.7214194280585922E-3</v>
      </c>
    </row>
    <row r="387" spans="2:4" x14ac:dyDescent="0.25">
      <c r="B387" s="9">
        <v>42716</v>
      </c>
      <c r="C387" s="3">
        <v>37.888500000000001</v>
      </c>
      <c r="D387" s="101">
        <f t="shared" ref="D387:D450" si="15">C387/C388-1</f>
        <v>-1.4167486643444138E-2</v>
      </c>
    </row>
    <row r="388" spans="2:4" x14ac:dyDescent="0.25">
      <c r="B388" s="9">
        <v>42709</v>
      </c>
      <c r="C388" s="3">
        <v>38.432999000000002</v>
      </c>
      <c r="D388" s="101">
        <f t="shared" si="15"/>
        <v>3.825272378921718E-2</v>
      </c>
    </row>
    <row r="389" spans="2:4" x14ac:dyDescent="0.25">
      <c r="B389" s="9">
        <v>42702</v>
      </c>
      <c r="C389" s="3">
        <v>37.016998000000001</v>
      </c>
      <c r="D389" s="101">
        <f t="shared" si="15"/>
        <v>-5.1296255589111439E-2</v>
      </c>
    </row>
    <row r="390" spans="2:4" x14ac:dyDescent="0.25">
      <c r="B390" s="9">
        <v>42695</v>
      </c>
      <c r="C390" s="3">
        <v>39.018501000000001</v>
      </c>
      <c r="D390" s="101">
        <f t="shared" si="15"/>
        <v>2.6586561423557198E-2</v>
      </c>
    </row>
    <row r="391" spans="2:4" x14ac:dyDescent="0.25">
      <c r="B391" s="9">
        <v>42688</v>
      </c>
      <c r="C391" s="3">
        <v>38.007998999999998</v>
      </c>
      <c r="D391" s="101">
        <f t="shared" si="15"/>
        <v>2.8619342092799815E-2</v>
      </c>
    </row>
    <row r="392" spans="2:4" x14ac:dyDescent="0.25">
      <c r="B392" s="9">
        <v>42681</v>
      </c>
      <c r="C392" s="3">
        <v>36.950499999999998</v>
      </c>
      <c r="D392" s="101">
        <f t="shared" si="15"/>
        <v>-2.1243600324312384E-2</v>
      </c>
    </row>
    <row r="393" spans="2:4" x14ac:dyDescent="0.25">
      <c r="B393" s="9">
        <v>42674</v>
      </c>
      <c r="C393" s="3">
        <v>37.752499</v>
      </c>
      <c r="D393" s="101">
        <f t="shared" si="15"/>
        <v>-2.7398571341788247E-2</v>
      </c>
    </row>
    <row r="394" spans="2:4" x14ac:dyDescent="0.25">
      <c r="B394" s="9">
        <v>42667</v>
      </c>
      <c r="C394" s="3">
        <v>38.816001999999997</v>
      </c>
      <c r="D394" s="101">
        <f t="shared" si="15"/>
        <v>-5.2100732558377216E-2</v>
      </c>
    </row>
    <row r="395" spans="2:4" x14ac:dyDescent="0.25">
      <c r="B395" s="9">
        <v>42660</v>
      </c>
      <c r="C395" s="3">
        <v>40.949500999999998</v>
      </c>
      <c r="D395" s="101">
        <f t="shared" si="15"/>
        <v>-4.8240012837562629E-3</v>
      </c>
    </row>
    <row r="396" spans="2:4" x14ac:dyDescent="0.25">
      <c r="B396" s="9">
        <v>42653</v>
      </c>
      <c r="C396" s="3">
        <v>41.147998999999999</v>
      </c>
      <c r="D396" s="101">
        <f t="shared" si="15"/>
        <v>-1.9620480564192411E-2</v>
      </c>
    </row>
    <row r="397" spans="2:4" x14ac:dyDescent="0.25">
      <c r="B397" s="9">
        <v>42646</v>
      </c>
      <c r="C397" s="3">
        <v>41.971499999999999</v>
      </c>
      <c r="D397" s="101">
        <f t="shared" si="15"/>
        <v>2.5318937422962318E-3</v>
      </c>
    </row>
    <row r="398" spans="2:4" x14ac:dyDescent="0.25">
      <c r="B398" s="9">
        <v>42639</v>
      </c>
      <c r="C398" s="3">
        <v>41.865501000000002</v>
      </c>
      <c r="D398" s="101">
        <f t="shared" si="15"/>
        <v>3.9168552983856353E-2</v>
      </c>
    </row>
    <row r="399" spans="2:4" x14ac:dyDescent="0.25">
      <c r="B399" s="9">
        <v>42632</v>
      </c>
      <c r="C399" s="3">
        <v>40.287497999999999</v>
      </c>
      <c r="D399" s="101">
        <f t="shared" si="15"/>
        <v>3.4976597517766939E-2</v>
      </c>
    </row>
    <row r="400" spans="2:4" x14ac:dyDescent="0.25">
      <c r="B400" s="9">
        <v>42625</v>
      </c>
      <c r="C400" s="3">
        <v>38.925998999999997</v>
      </c>
      <c r="D400" s="101">
        <f t="shared" si="15"/>
        <v>2.4179730049727732E-2</v>
      </c>
    </row>
    <row r="401" spans="2:4" x14ac:dyDescent="0.25">
      <c r="B401" s="9">
        <v>42618</v>
      </c>
      <c r="C401" s="3">
        <v>38.006999999999998</v>
      </c>
      <c r="D401" s="101">
        <f t="shared" si="15"/>
        <v>-1.592361783835039E-2</v>
      </c>
    </row>
    <row r="402" spans="2:4" x14ac:dyDescent="0.25">
      <c r="B402" s="9">
        <v>42611</v>
      </c>
      <c r="C402" s="3">
        <v>38.622002000000002</v>
      </c>
      <c r="D402" s="101">
        <f t="shared" si="15"/>
        <v>4.4733678940607202E-3</v>
      </c>
    </row>
    <row r="403" spans="2:4" x14ac:dyDescent="0.25">
      <c r="B403" s="9">
        <v>42604</v>
      </c>
      <c r="C403" s="3">
        <v>38.450001</v>
      </c>
      <c r="D403" s="101">
        <f t="shared" si="15"/>
        <v>1.5436214616571409E-2</v>
      </c>
    </row>
    <row r="404" spans="2:4" x14ac:dyDescent="0.25">
      <c r="B404" s="9">
        <v>42597</v>
      </c>
      <c r="C404" s="3">
        <v>37.865501000000002</v>
      </c>
      <c r="D404" s="101">
        <f t="shared" si="15"/>
        <v>-1.9739490511519575E-2</v>
      </c>
    </row>
    <row r="405" spans="2:4" x14ac:dyDescent="0.25">
      <c r="B405" s="9">
        <v>42590</v>
      </c>
      <c r="C405" s="3">
        <v>38.627997999999998</v>
      </c>
      <c r="D405" s="101">
        <f t="shared" si="15"/>
        <v>8.5902503981827305E-3</v>
      </c>
    </row>
    <row r="406" spans="2:4" x14ac:dyDescent="0.25">
      <c r="B406" s="9">
        <v>42583</v>
      </c>
      <c r="C406" s="3">
        <v>38.298999999999999</v>
      </c>
      <c r="D406" s="101">
        <f t="shared" si="15"/>
        <v>9.4490588921631868E-3</v>
      </c>
    </row>
    <row r="407" spans="2:4" x14ac:dyDescent="0.25">
      <c r="B407" s="9">
        <v>42576</v>
      </c>
      <c r="C407" s="3">
        <v>37.940497999999998</v>
      </c>
      <c r="D407" s="101">
        <f t="shared" si="15"/>
        <v>1.8728297935182381E-2</v>
      </c>
    </row>
    <row r="408" spans="2:4" x14ac:dyDescent="0.25">
      <c r="B408" s="9">
        <v>42569</v>
      </c>
      <c r="C408" s="3">
        <v>37.243000000000002</v>
      </c>
      <c r="D408" s="101">
        <f t="shared" si="15"/>
        <v>1.2808686305033401E-2</v>
      </c>
    </row>
    <row r="409" spans="2:4" x14ac:dyDescent="0.25">
      <c r="B409" s="9">
        <v>42562</v>
      </c>
      <c r="C409" s="3">
        <v>36.771999000000001</v>
      </c>
      <c r="D409" s="101">
        <f t="shared" si="15"/>
        <v>-1.3904398870908108E-2</v>
      </c>
    </row>
    <row r="410" spans="2:4" x14ac:dyDescent="0.25">
      <c r="B410" s="9">
        <v>42555</v>
      </c>
      <c r="C410" s="3">
        <v>37.290500999999999</v>
      </c>
      <c r="D410" s="101">
        <f t="shared" si="15"/>
        <v>2.7739527064270852E-2</v>
      </c>
    </row>
    <row r="411" spans="2:4" x14ac:dyDescent="0.25">
      <c r="B411" s="9">
        <v>42548</v>
      </c>
      <c r="C411" s="3">
        <v>36.283999999999999</v>
      </c>
      <c r="D411" s="101">
        <f t="shared" si="15"/>
        <v>3.8228165375519874E-2</v>
      </c>
    </row>
    <row r="412" spans="2:4" x14ac:dyDescent="0.25">
      <c r="B412" s="9">
        <v>42541</v>
      </c>
      <c r="C412" s="3">
        <v>34.948002000000002</v>
      </c>
      <c r="D412" s="101">
        <f t="shared" si="15"/>
        <v>-1.0518212318973763E-2</v>
      </c>
    </row>
    <row r="413" spans="2:4" x14ac:dyDescent="0.25">
      <c r="B413" s="9">
        <v>42534</v>
      </c>
      <c r="C413" s="3">
        <v>35.319499999999998</v>
      </c>
      <c r="D413" s="101">
        <f t="shared" si="15"/>
        <v>-1.6046579654831361E-2</v>
      </c>
    </row>
    <row r="414" spans="2:4" x14ac:dyDescent="0.25">
      <c r="B414" s="9">
        <v>42527</v>
      </c>
      <c r="C414" s="3">
        <v>35.895499999999998</v>
      </c>
      <c r="D414" s="101">
        <f t="shared" si="15"/>
        <v>-1.0516305096893386E-2</v>
      </c>
    </row>
    <row r="415" spans="2:4" x14ac:dyDescent="0.25">
      <c r="B415" s="9">
        <v>42520</v>
      </c>
      <c r="C415" s="3">
        <v>36.277000000000001</v>
      </c>
      <c r="D415" s="101">
        <f t="shared" si="15"/>
        <v>1.8673480849151991E-2</v>
      </c>
    </row>
    <row r="416" spans="2:4" x14ac:dyDescent="0.25">
      <c r="B416" s="9">
        <v>42513</v>
      </c>
      <c r="C416" s="3">
        <v>35.612000000000002</v>
      </c>
      <c r="D416" s="101">
        <f t="shared" si="15"/>
        <v>1.3432015180193879E-2</v>
      </c>
    </row>
    <row r="417" spans="2:4" x14ac:dyDescent="0.25">
      <c r="B417" s="9">
        <v>42506</v>
      </c>
      <c r="C417" s="3">
        <v>35.139999000000003</v>
      </c>
      <c r="D417" s="101">
        <f t="shared" si="15"/>
        <v>-1.0029271468856793E-2</v>
      </c>
    </row>
    <row r="418" spans="2:4" x14ac:dyDescent="0.25">
      <c r="B418" s="9">
        <v>42499</v>
      </c>
      <c r="C418" s="3">
        <v>35.495998</v>
      </c>
      <c r="D418" s="101">
        <f t="shared" si="15"/>
        <v>5.3371915030605344E-2</v>
      </c>
    </row>
    <row r="419" spans="2:4" x14ac:dyDescent="0.25">
      <c r="B419" s="9">
        <v>42492</v>
      </c>
      <c r="C419" s="3">
        <v>33.697498000000003</v>
      </c>
      <c r="D419" s="101">
        <f t="shared" si="15"/>
        <v>2.1771039585196883E-2</v>
      </c>
    </row>
    <row r="420" spans="2:4" x14ac:dyDescent="0.25">
      <c r="B420" s="9">
        <v>42485</v>
      </c>
      <c r="C420" s="3">
        <v>32.979500000000002</v>
      </c>
      <c r="D420" s="101">
        <f t="shared" si="15"/>
        <v>6.29975825946818E-2</v>
      </c>
    </row>
    <row r="421" spans="2:4" x14ac:dyDescent="0.25">
      <c r="B421" s="9">
        <v>42478</v>
      </c>
      <c r="C421" s="3">
        <v>31.024999999999999</v>
      </c>
      <c r="D421" s="101">
        <f t="shared" si="15"/>
        <v>-8.6117368866733823E-3</v>
      </c>
    </row>
    <row r="422" spans="2:4" x14ac:dyDescent="0.25">
      <c r="B422" s="9">
        <v>42471</v>
      </c>
      <c r="C422" s="3">
        <v>31.294499999999999</v>
      </c>
      <c r="D422" s="101">
        <f t="shared" si="15"/>
        <v>5.2623612512613382E-2</v>
      </c>
    </row>
    <row r="423" spans="2:4" x14ac:dyDescent="0.25">
      <c r="B423" s="9">
        <v>42464</v>
      </c>
      <c r="C423" s="3">
        <v>29.73</v>
      </c>
      <c r="D423" s="101">
        <f t="shared" si="15"/>
        <v>-6.516257527694469E-3</v>
      </c>
    </row>
    <row r="424" spans="2:4" x14ac:dyDescent="0.25">
      <c r="B424" s="9">
        <v>42457</v>
      </c>
      <c r="C424" s="3">
        <v>29.924999</v>
      </c>
      <c r="D424" s="101">
        <f t="shared" si="15"/>
        <v>2.6674672842428082E-2</v>
      </c>
    </row>
    <row r="425" spans="2:4" x14ac:dyDescent="0.25">
      <c r="B425" s="9">
        <v>42450</v>
      </c>
      <c r="C425" s="3">
        <v>29.147499</v>
      </c>
      <c r="D425" s="101">
        <f t="shared" si="15"/>
        <v>5.5915773076365749E-2</v>
      </c>
    </row>
    <row r="426" spans="2:4" x14ac:dyDescent="0.25">
      <c r="B426" s="9">
        <v>42443</v>
      </c>
      <c r="C426" s="3">
        <v>27.603999999999999</v>
      </c>
      <c r="D426" s="101">
        <f t="shared" si="15"/>
        <v>-3.0775408815695182E-2</v>
      </c>
    </row>
    <row r="427" spans="2:4" x14ac:dyDescent="0.25">
      <c r="B427" s="9">
        <v>42436</v>
      </c>
      <c r="C427" s="3">
        <v>28.480498999999998</v>
      </c>
      <c r="D427" s="101">
        <f t="shared" si="15"/>
        <v>-9.6150850227771922E-3</v>
      </c>
    </row>
    <row r="428" spans="2:4" x14ac:dyDescent="0.25">
      <c r="B428" s="9">
        <v>42429</v>
      </c>
      <c r="C428" s="3">
        <v>28.757000000000001</v>
      </c>
      <c r="D428" s="101">
        <f t="shared" si="15"/>
        <v>3.5859050694632799E-2</v>
      </c>
    </row>
    <row r="429" spans="2:4" x14ac:dyDescent="0.25">
      <c r="B429" s="9">
        <v>42422</v>
      </c>
      <c r="C429" s="3">
        <v>27.761499000000001</v>
      </c>
      <c r="D429" s="101">
        <f t="shared" si="15"/>
        <v>3.8007027930191617E-2</v>
      </c>
    </row>
    <row r="430" spans="2:4" x14ac:dyDescent="0.25">
      <c r="B430" s="9">
        <v>42415</v>
      </c>
      <c r="C430" s="3">
        <v>26.745000999999998</v>
      </c>
      <c r="D430" s="101">
        <f t="shared" si="15"/>
        <v>5.4863177407904029E-2</v>
      </c>
    </row>
    <row r="431" spans="2:4" x14ac:dyDescent="0.25">
      <c r="B431" s="9">
        <v>42408</v>
      </c>
      <c r="C431" s="3">
        <v>25.353999999999999</v>
      </c>
      <c r="D431" s="101">
        <f t="shared" si="15"/>
        <v>9.8579646761609574E-3</v>
      </c>
    </row>
    <row r="432" spans="2:4" x14ac:dyDescent="0.25">
      <c r="B432" s="9">
        <v>42401</v>
      </c>
      <c r="C432" s="3">
        <v>25.106501000000002</v>
      </c>
      <c r="D432" s="101">
        <f t="shared" si="15"/>
        <v>-0.14458258943781943</v>
      </c>
    </row>
    <row r="433" spans="2:4" x14ac:dyDescent="0.25">
      <c r="B433" s="9">
        <v>42394</v>
      </c>
      <c r="C433" s="3">
        <v>29.35</v>
      </c>
      <c r="D433" s="101">
        <f t="shared" si="15"/>
        <v>-1.5728226969381809E-2</v>
      </c>
    </row>
    <row r="434" spans="2:4" x14ac:dyDescent="0.25">
      <c r="B434" s="9">
        <v>42387</v>
      </c>
      <c r="C434" s="3">
        <v>29.818999999999999</v>
      </c>
      <c r="D434" s="101">
        <f t="shared" si="15"/>
        <v>4.5950364939129074E-2</v>
      </c>
    </row>
    <row r="435" spans="2:4" x14ac:dyDescent="0.25">
      <c r="B435" s="9">
        <v>42380</v>
      </c>
      <c r="C435" s="3">
        <v>28.509001000000001</v>
      </c>
      <c r="D435" s="101">
        <f t="shared" si="15"/>
        <v>-6.0736345911000855E-2</v>
      </c>
    </row>
    <row r="436" spans="2:4" x14ac:dyDescent="0.25">
      <c r="B436" s="9">
        <v>42373</v>
      </c>
      <c r="C436" s="3">
        <v>30.352501</v>
      </c>
      <c r="D436" s="101">
        <f t="shared" si="15"/>
        <v>-0.10185081015258746</v>
      </c>
    </row>
    <row r="437" spans="2:4" x14ac:dyDescent="0.25">
      <c r="B437" s="9">
        <v>42366</v>
      </c>
      <c r="C437" s="3">
        <v>33.794497999999997</v>
      </c>
      <c r="D437" s="101">
        <f t="shared" si="15"/>
        <v>1.9764872734953753E-2</v>
      </c>
    </row>
    <row r="438" spans="2:4" x14ac:dyDescent="0.25">
      <c r="B438" s="9">
        <v>42359</v>
      </c>
      <c r="C438" s="3">
        <v>33.139499999999998</v>
      </c>
      <c r="D438" s="101">
        <f t="shared" si="15"/>
        <v>-2.032734000881331E-3</v>
      </c>
    </row>
    <row r="439" spans="2:4" x14ac:dyDescent="0.25">
      <c r="B439" s="9">
        <v>42352</v>
      </c>
      <c r="C439" s="3">
        <v>33.207000999999998</v>
      </c>
      <c r="D439" s="101">
        <f t="shared" si="15"/>
        <v>3.7475622900882577E-2</v>
      </c>
    </row>
    <row r="440" spans="2:4" x14ac:dyDescent="0.25">
      <c r="B440" s="9">
        <v>42345</v>
      </c>
      <c r="C440" s="3">
        <v>32.0075</v>
      </c>
      <c r="D440" s="101">
        <f t="shared" si="15"/>
        <v>-4.8302212178877202E-2</v>
      </c>
    </row>
    <row r="441" spans="2:4" x14ac:dyDescent="0.25">
      <c r="B441" s="9">
        <v>42338</v>
      </c>
      <c r="C441" s="3">
        <v>33.631999999999998</v>
      </c>
      <c r="D441" s="101">
        <f t="shared" si="15"/>
        <v>-9.2083301671475049E-4</v>
      </c>
    </row>
    <row r="442" spans="2:4" x14ac:dyDescent="0.25">
      <c r="B442" s="9">
        <v>42331</v>
      </c>
      <c r="C442" s="3">
        <v>33.662998000000002</v>
      </c>
      <c r="D442" s="101">
        <f t="shared" si="15"/>
        <v>7.1956613899122335E-3</v>
      </c>
    </row>
    <row r="443" spans="2:4" x14ac:dyDescent="0.25">
      <c r="B443" s="9">
        <v>42324</v>
      </c>
      <c r="C443" s="3">
        <v>33.422500999999997</v>
      </c>
      <c r="D443" s="101">
        <f t="shared" si="15"/>
        <v>4.0632085311745891E-2</v>
      </c>
    </row>
    <row r="444" spans="2:4" x14ac:dyDescent="0.25">
      <c r="B444" s="9">
        <v>42317</v>
      </c>
      <c r="C444" s="3">
        <v>32.1175</v>
      </c>
      <c r="D444" s="101">
        <f t="shared" si="15"/>
        <v>-2.5812458911534164E-2</v>
      </c>
    </row>
    <row r="445" spans="2:4" x14ac:dyDescent="0.25">
      <c r="B445" s="9">
        <v>42310</v>
      </c>
      <c r="C445" s="3">
        <v>32.968497999999997</v>
      </c>
      <c r="D445" s="101">
        <f t="shared" si="15"/>
        <v>5.3474932097778982E-2</v>
      </c>
    </row>
    <row r="446" spans="2:4" x14ac:dyDescent="0.25">
      <c r="B446" s="9">
        <v>42303</v>
      </c>
      <c r="C446" s="3">
        <v>31.295000000000002</v>
      </c>
      <c r="D446" s="101">
        <f t="shared" si="15"/>
        <v>4.4855850291304344E-2</v>
      </c>
    </row>
    <row r="447" spans="2:4" x14ac:dyDescent="0.25">
      <c r="B447" s="9">
        <v>42296</v>
      </c>
      <c r="C447" s="3">
        <v>29.951499999999999</v>
      </c>
      <c r="D447" s="101">
        <f t="shared" si="15"/>
        <v>4.9530450627233824E-2</v>
      </c>
    </row>
    <row r="448" spans="2:4" x14ac:dyDescent="0.25">
      <c r="B448" s="9">
        <v>42289</v>
      </c>
      <c r="C448" s="3">
        <v>28.538</v>
      </c>
      <c r="D448" s="101">
        <f t="shared" si="15"/>
        <v>5.7354575768803429E-2</v>
      </c>
    </row>
    <row r="449" spans="2:4" x14ac:dyDescent="0.25">
      <c r="B449" s="9">
        <v>42282</v>
      </c>
      <c r="C449" s="3">
        <v>26.99</v>
      </c>
      <c r="D449" s="101">
        <f t="shared" si="15"/>
        <v>1.3632740690549427E-2</v>
      </c>
    </row>
    <row r="450" spans="2:4" x14ac:dyDescent="0.25">
      <c r="B450" s="9">
        <v>42275</v>
      </c>
      <c r="C450" s="3">
        <v>26.627001</v>
      </c>
      <c r="D450" s="101">
        <f t="shared" si="15"/>
        <v>1.5813104434907022E-2</v>
      </c>
    </row>
    <row r="451" spans="2:4" x14ac:dyDescent="0.25">
      <c r="B451" s="9">
        <v>42268</v>
      </c>
      <c r="C451" s="3">
        <v>26.212499999999999</v>
      </c>
      <c r="D451" s="101">
        <f t="shared" ref="D451:D514" si="16">C451/C452-1</f>
        <v>-2.9633879983711697E-2</v>
      </c>
    </row>
    <row r="452" spans="2:4" x14ac:dyDescent="0.25">
      <c r="B452" s="9">
        <v>42261</v>
      </c>
      <c r="C452" s="3">
        <v>27.013000000000002</v>
      </c>
      <c r="D452" s="101">
        <f t="shared" si="16"/>
        <v>2.043668782109398E-2</v>
      </c>
    </row>
    <row r="453" spans="2:4" x14ac:dyDescent="0.25">
      <c r="B453" s="9">
        <v>42254</v>
      </c>
      <c r="C453" s="3">
        <v>26.472000000000001</v>
      </c>
      <c r="D453" s="101">
        <f t="shared" si="16"/>
        <v>6.100196148288739E-2</v>
      </c>
    </row>
    <row r="454" spans="2:4" x14ac:dyDescent="0.25">
      <c r="B454" s="9">
        <v>42247</v>
      </c>
      <c r="C454" s="3">
        <v>24.950001</v>
      </c>
      <c r="D454" s="101">
        <f t="shared" si="16"/>
        <v>-3.6698057438970588E-2</v>
      </c>
    </row>
    <row r="455" spans="2:4" x14ac:dyDescent="0.25">
      <c r="B455" s="9">
        <v>42240</v>
      </c>
      <c r="C455" s="3">
        <v>25.900499</v>
      </c>
      <c r="D455" s="101">
        <f t="shared" si="16"/>
        <v>4.7606530127471069E-2</v>
      </c>
    </row>
    <row r="456" spans="2:4" x14ac:dyDescent="0.25">
      <c r="B456" s="9">
        <v>42233</v>
      </c>
      <c r="C456" s="3">
        <v>24.723499</v>
      </c>
      <c r="D456" s="101">
        <f t="shared" si="16"/>
        <v>-6.9705787176399747E-2</v>
      </c>
    </row>
    <row r="457" spans="2:4" x14ac:dyDescent="0.25">
      <c r="B457" s="9">
        <v>42226</v>
      </c>
      <c r="C457" s="3">
        <v>26.576000000000001</v>
      </c>
      <c r="D457" s="101">
        <f t="shared" si="16"/>
        <v>1.7029542802436071E-2</v>
      </c>
    </row>
    <row r="458" spans="2:4" x14ac:dyDescent="0.25">
      <c r="B458" s="9">
        <v>42219</v>
      </c>
      <c r="C458" s="3">
        <v>26.131001000000001</v>
      </c>
      <c r="D458" s="101">
        <f t="shared" si="16"/>
        <v>-2.5235474205521746E-2</v>
      </c>
    </row>
    <row r="459" spans="2:4" x14ac:dyDescent="0.25">
      <c r="B459" s="9">
        <v>42212</v>
      </c>
      <c r="C459" s="3">
        <v>26.807500999999998</v>
      </c>
      <c r="D459" s="101">
        <f t="shared" si="16"/>
        <v>1.2712023999394528E-2</v>
      </c>
    </row>
    <row r="460" spans="2:4" x14ac:dyDescent="0.25">
      <c r="B460" s="9">
        <v>42205</v>
      </c>
      <c r="C460" s="3">
        <v>26.471001000000001</v>
      </c>
      <c r="D460" s="101">
        <f t="shared" si="16"/>
        <v>9.6085053977559731E-2</v>
      </c>
    </row>
    <row r="461" spans="2:4" x14ac:dyDescent="0.25">
      <c r="B461" s="9">
        <v>42198</v>
      </c>
      <c r="C461" s="3">
        <v>24.150499</v>
      </c>
      <c r="D461" s="101">
        <f t="shared" si="16"/>
        <v>8.9062159181882761E-2</v>
      </c>
    </row>
    <row r="462" spans="2:4" x14ac:dyDescent="0.25">
      <c r="B462" s="9">
        <v>42191</v>
      </c>
      <c r="C462" s="3">
        <v>22.175501000000001</v>
      </c>
      <c r="D462" s="101">
        <f t="shared" si="16"/>
        <v>1.3250828173904994E-2</v>
      </c>
    </row>
    <row r="463" spans="2:4" x14ac:dyDescent="0.25">
      <c r="B463" s="9">
        <v>42184</v>
      </c>
      <c r="C463" s="3">
        <v>21.8855</v>
      </c>
      <c r="D463" s="101">
        <f t="shared" si="16"/>
        <v>-8.9025332616954334E-4</v>
      </c>
    </row>
    <row r="464" spans="2:4" x14ac:dyDescent="0.25">
      <c r="B464" s="9">
        <v>42177</v>
      </c>
      <c r="C464" s="3">
        <v>21.905000999999999</v>
      </c>
      <c r="D464" s="101">
        <f t="shared" si="16"/>
        <v>7.3117354915845922E-3</v>
      </c>
    </row>
    <row r="465" spans="2:4" x14ac:dyDescent="0.25">
      <c r="B465" s="9">
        <v>42170</v>
      </c>
      <c r="C465" s="3">
        <v>21.745999999999999</v>
      </c>
      <c r="D465" s="101">
        <f t="shared" si="16"/>
        <v>1.1630070710829887E-2</v>
      </c>
    </row>
    <row r="466" spans="2:4" x14ac:dyDescent="0.25">
      <c r="B466" s="9">
        <v>42163</v>
      </c>
      <c r="C466" s="3">
        <v>21.495999999999999</v>
      </c>
      <c r="D466" s="101">
        <f t="shared" si="16"/>
        <v>6.9563180700316085E-3</v>
      </c>
    </row>
    <row r="467" spans="2:4" x14ac:dyDescent="0.25">
      <c r="B467" s="9">
        <v>42156</v>
      </c>
      <c r="C467" s="3">
        <v>21.3475</v>
      </c>
      <c r="D467" s="101">
        <f t="shared" si="16"/>
        <v>-5.3118374764112852E-3</v>
      </c>
    </row>
    <row r="468" spans="2:4" x14ac:dyDescent="0.25">
      <c r="B468" s="9">
        <v>42149</v>
      </c>
      <c r="C468" s="3">
        <v>21.461500000000001</v>
      </c>
      <c r="D468" s="101">
        <f t="shared" si="16"/>
        <v>3.7415522765007481E-3</v>
      </c>
    </row>
    <row r="469" spans="2:4" x14ac:dyDescent="0.25">
      <c r="B469" s="9">
        <v>42142</v>
      </c>
      <c r="C469" s="3">
        <v>21.381499999999999</v>
      </c>
      <c r="D469" s="101">
        <f t="shared" si="16"/>
        <v>3.826338207809199E-3</v>
      </c>
    </row>
    <row r="470" spans="2:4" x14ac:dyDescent="0.25">
      <c r="B470" s="9">
        <v>42135</v>
      </c>
      <c r="C470" s="3">
        <v>21.299999</v>
      </c>
      <c r="D470" s="101">
        <f t="shared" si="16"/>
        <v>-1.7731605524683558E-2</v>
      </c>
    </row>
    <row r="471" spans="2:4" x14ac:dyDescent="0.25">
      <c r="B471" s="9">
        <v>42128</v>
      </c>
      <c r="C471" s="3">
        <v>21.6845</v>
      </c>
      <c r="D471" s="101">
        <f t="shared" si="16"/>
        <v>2.5587108358933408E-2</v>
      </c>
    </row>
    <row r="472" spans="2:4" x14ac:dyDescent="0.25">
      <c r="B472" s="9">
        <v>42121</v>
      </c>
      <c r="C472" s="3">
        <v>21.143498999999998</v>
      </c>
      <c r="D472" s="101">
        <f t="shared" si="16"/>
        <v>-4.9943835090713873E-2</v>
      </c>
    </row>
    <row r="473" spans="2:4" x14ac:dyDescent="0.25">
      <c r="B473" s="9">
        <v>42114</v>
      </c>
      <c r="C473" s="3">
        <v>22.254999000000002</v>
      </c>
      <c r="D473" s="101">
        <f t="shared" si="16"/>
        <v>0.18516343593566953</v>
      </c>
    </row>
    <row r="474" spans="2:4" x14ac:dyDescent="0.25">
      <c r="B474" s="9">
        <v>42107</v>
      </c>
      <c r="C474" s="3">
        <v>18.777999999999999</v>
      </c>
      <c r="D474" s="101">
        <f t="shared" si="16"/>
        <v>-1.8528681562785865E-2</v>
      </c>
    </row>
    <row r="475" spans="2:4" x14ac:dyDescent="0.25">
      <c r="B475" s="9">
        <v>42100</v>
      </c>
      <c r="C475" s="3">
        <v>19.1325</v>
      </c>
      <c r="D475" s="101">
        <f t="shared" si="16"/>
        <v>2.7938268794534205E-2</v>
      </c>
    </row>
    <row r="476" spans="2:4" x14ac:dyDescent="0.25">
      <c r="B476" s="9">
        <v>42093</v>
      </c>
      <c r="C476" s="3">
        <v>18.612499</v>
      </c>
      <c r="D476" s="101">
        <f t="shared" si="16"/>
        <v>4.5606109671849637E-3</v>
      </c>
    </row>
    <row r="477" spans="2:4" x14ac:dyDescent="0.25">
      <c r="B477" s="9">
        <v>42086</v>
      </c>
      <c r="C477" s="3">
        <v>18.527999999999999</v>
      </c>
      <c r="D477" s="101">
        <f t="shared" si="16"/>
        <v>-2.095167639831963E-2</v>
      </c>
    </row>
    <row r="478" spans="2:4" x14ac:dyDescent="0.25">
      <c r="B478" s="9">
        <v>42079</v>
      </c>
      <c r="C478" s="3">
        <v>18.924499999999998</v>
      </c>
      <c r="D478" s="101">
        <f t="shared" si="16"/>
        <v>2.134497389740253E-2</v>
      </c>
    </row>
    <row r="479" spans="2:4" x14ac:dyDescent="0.25">
      <c r="B479" s="9">
        <v>42072</v>
      </c>
      <c r="C479" s="3">
        <v>18.528998999999999</v>
      </c>
      <c r="D479" s="101">
        <f t="shared" si="16"/>
        <v>-2.5020391224204297E-2</v>
      </c>
    </row>
    <row r="480" spans="2:4" x14ac:dyDescent="0.25">
      <c r="B480" s="9">
        <v>42065</v>
      </c>
      <c r="C480" s="3">
        <v>19.004498999999999</v>
      </c>
      <c r="D480" s="101">
        <f t="shared" si="16"/>
        <v>-1.8413300632025287E-4</v>
      </c>
    </row>
    <row r="481" spans="2:4" x14ac:dyDescent="0.25">
      <c r="B481" s="9">
        <v>42058</v>
      </c>
      <c r="C481" s="3">
        <v>19.007999000000002</v>
      </c>
      <c r="D481" s="101">
        <f t="shared" si="16"/>
        <v>-9.1227644725661028E-3</v>
      </c>
    </row>
    <row r="482" spans="2:4" x14ac:dyDescent="0.25">
      <c r="B482" s="9">
        <v>42051</v>
      </c>
      <c r="C482" s="3">
        <v>19.183001000000001</v>
      </c>
      <c r="D482" s="101">
        <f t="shared" si="16"/>
        <v>4.7928138068153991E-3</v>
      </c>
    </row>
    <row r="483" spans="2:4" x14ac:dyDescent="0.25">
      <c r="B483" s="9">
        <v>42044</v>
      </c>
      <c r="C483" s="3">
        <v>19.091498999999999</v>
      </c>
      <c r="D483" s="101">
        <f t="shared" si="16"/>
        <v>2.0171955745861059E-2</v>
      </c>
    </row>
    <row r="484" spans="2:4" x14ac:dyDescent="0.25">
      <c r="B484" s="9">
        <v>42037</v>
      </c>
      <c r="C484" s="3">
        <v>18.714001</v>
      </c>
      <c r="D484" s="101">
        <f t="shared" si="16"/>
        <v>5.5707612895946612E-2</v>
      </c>
    </row>
    <row r="485" spans="2:4" x14ac:dyDescent="0.25">
      <c r="B485" s="9">
        <v>42030</v>
      </c>
      <c r="C485" s="3">
        <v>17.726500000000001</v>
      </c>
      <c r="D485" s="101">
        <f t="shared" si="16"/>
        <v>0.13489548321008993</v>
      </c>
    </row>
    <row r="486" spans="2:4" x14ac:dyDescent="0.25">
      <c r="B486" s="9">
        <v>42023</v>
      </c>
      <c r="C486" s="3">
        <v>15.6195</v>
      </c>
      <c r="D486" s="101">
        <f t="shared" si="16"/>
        <v>7.4465157873013554E-2</v>
      </c>
    </row>
    <row r="487" spans="2:4" x14ac:dyDescent="0.25">
      <c r="B487" s="9">
        <v>42016</v>
      </c>
      <c r="C487" s="3">
        <v>14.537000000000001</v>
      </c>
      <c r="D487" s="101">
        <f t="shared" si="16"/>
        <v>-2.0846664196948805E-2</v>
      </c>
    </row>
    <row r="488" spans="2:4" x14ac:dyDescent="0.25">
      <c r="B488" s="9">
        <v>42009</v>
      </c>
      <c r="C488" s="3">
        <v>14.846500000000001</v>
      </c>
      <c r="D488" s="101">
        <f t="shared" si="16"/>
        <v>-3.7566446259561737E-2</v>
      </c>
    </row>
    <row r="489" spans="2:4" x14ac:dyDescent="0.25">
      <c r="B489" s="9">
        <v>42002</v>
      </c>
      <c r="C489" s="3">
        <v>15.426</v>
      </c>
      <c r="D489" s="101">
        <f t="shared" si="16"/>
        <v>-1.8441230709501655E-3</v>
      </c>
    </row>
    <row r="490" spans="2:4" x14ac:dyDescent="0.25">
      <c r="B490" s="9">
        <v>41995</v>
      </c>
      <c r="C490" s="3">
        <v>15.454499999999999</v>
      </c>
      <c r="D490" s="101">
        <f t="shared" si="16"/>
        <v>3.0643547849283026E-2</v>
      </c>
    </row>
    <row r="491" spans="2:4" x14ac:dyDescent="0.25">
      <c r="B491" s="9">
        <v>41988</v>
      </c>
      <c r="C491" s="3">
        <v>14.994999999999999</v>
      </c>
      <c r="D491" s="101">
        <f t="shared" si="16"/>
        <v>-2.4144214499544514E-2</v>
      </c>
    </row>
    <row r="492" spans="2:4" x14ac:dyDescent="0.25">
      <c r="B492" s="9">
        <v>41981</v>
      </c>
      <c r="C492" s="3">
        <v>15.366</v>
      </c>
      <c r="D492" s="101">
        <f t="shared" si="16"/>
        <v>-1.698493426734482E-2</v>
      </c>
    </row>
    <row r="493" spans="2:4" x14ac:dyDescent="0.25">
      <c r="B493" s="9">
        <v>41974</v>
      </c>
      <c r="C493" s="3">
        <v>15.631500000000001</v>
      </c>
      <c r="D493" s="101">
        <f t="shared" si="16"/>
        <v>-7.6807174392108157E-2</v>
      </c>
    </row>
    <row r="494" spans="2:4" x14ac:dyDescent="0.25">
      <c r="B494" s="9">
        <v>41967</v>
      </c>
      <c r="C494" s="3">
        <v>16.931999000000001</v>
      </c>
      <c r="D494" s="101">
        <f t="shared" si="16"/>
        <v>1.8068063614226082E-2</v>
      </c>
    </row>
    <row r="495" spans="2:4" x14ac:dyDescent="0.25">
      <c r="B495" s="9">
        <v>41960</v>
      </c>
      <c r="C495" s="3">
        <v>16.631499999999999</v>
      </c>
      <c r="D495" s="101">
        <f t="shared" si="16"/>
        <v>1.4672624325994477E-2</v>
      </c>
    </row>
    <row r="496" spans="2:4" x14ac:dyDescent="0.25">
      <c r="B496" s="9">
        <v>41953</v>
      </c>
      <c r="C496" s="3">
        <v>16.391000999999999</v>
      </c>
      <c r="D496" s="101">
        <f t="shared" si="16"/>
        <v>9.3243580337490695E-2</v>
      </c>
    </row>
    <row r="497" spans="2:4" x14ac:dyDescent="0.25">
      <c r="B497" s="9">
        <v>41946</v>
      </c>
      <c r="C497" s="3">
        <v>14.993</v>
      </c>
      <c r="D497" s="101">
        <f t="shared" si="16"/>
        <v>-1.8333005958226845E-2</v>
      </c>
    </row>
    <row r="498" spans="2:4" x14ac:dyDescent="0.25">
      <c r="B498" s="9">
        <v>41939</v>
      </c>
      <c r="C498" s="3">
        <v>15.273</v>
      </c>
      <c r="D498" s="101">
        <f t="shared" si="16"/>
        <v>6.4098097958614986E-2</v>
      </c>
    </row>
    <row r="499" spans="2:4" x14ac:dyDescent="0.25">
      <c r="B499" s="9">
        <v>41932</v>
      </c>
      <c r="C499" s="3">
        <v>14.353</v>
      </c>
      <c r="D499" s="101">
        <f t="shared" si="16"/>
        <v>-5.4604136477407472E-2</v>
      </c>
    </row>
    <row r="500" spans="2:4" x14ac:dyDescent="0.25">
      <c r="B500" s="9">
        <v>41925</v>
      </c>
      <c r="C500" s="3">
        <v>15.182</v>
      </c>
      <c r="D500" s="101">
        <f t="shared" si="16"/>
        <v>-2.4888403609621301E-2</v>
      </c>
    </row>
    <row r="501" spans="2:4" x14ac:dyDescent="0.25">
      <c r="B501" s="9">
        <v>41918</v>
      </c>
      <c r="C501" s="3">
        <v>15.5695</v>
      </c>
      <c r="D501" s="101">
        <f t="shared" si="16"/>
        <v>-3.5167567402092481E-2</v>
      </c>
    </row>
    <row r="502" spans="2:4" x14ac:dyDescent="0.25">
      <c r="B502" s="9">
        <v>41911</v>
      </c>
      <c r="C502" s="3">
        <v>16.136998999999999</v>
      </c>
      <c r="D502" s="101">
        <f t="shared" si="16"/>
        <v>-1.4542248074007613E-3</v>
      </c>
    </row>
    <row r="503" spans="2:4" x14ac:dyDescent="0.25">
      <c r="B503" s="9">
        <v>41904</v>
      </c>
      <c r="C503" s="3">
        <v>16.160499999999999</v>
      </c>
      <c r="D503" s="101">
        <f t="shared" si="16"/>
        <v>-2.447784619099358E-2</v>
      </c>
    </row>
    <row r="504" spans="2:4" x14ac:dyDescent="0.25">
      <c r="B504" s="9">
        <v>41897</v>
      </c>
      <c r="C504" s="3">
        <v>16.565999999999999</v>
      </c>
      <c r="D504" s="101">
        <f t="shared" si="16"/>
        <v>3.925239288624649E-4</v>
      </c>
    </row>
    <row r="505" spans="2:4" x14ac:dyDescent="0.25">
      <c r="B505" s="9">
        <v>41890</v>
      </c>
      <c r="C505" s="3">
        <v>16.5595</v>
      </c>
      <c r="D505" s="101">
        <f t="shared" si="16"/>
        <v>-4.3853571222356891E-2</v>
      </c>
    </row>
    <row r="506" spans="2:4" x14ac:dyDescent="0.25">
      <c r="B506" s="9">
        <v>41883</v>
      </c>
      <c r="C506" s="3">
        <v>17.318999999999999</v>
      </c>
      <c r="D506" s="101">
        <f t="shared" si="16"/>
        <v>2.1649362907031566E-2</v>
      </c>
    </row>
    <row r="507" spans="2:4" x14ac:dyDescent="0.25">
      <c r="B507" s="9">
        <v>41876</v>
      </c>
      <c r="C507" s="3">
        <v>16.952000000000002</v>
      </c>
      <c r="D507" s="101">
        <f t="shared" si="16"/>
        <v>2.2467505051419145E-2</v>
      </c>
    </row>
    <row r="508" spans="2:4" x14ac:dyDescent="0.25">
      <c r="B508" s="9">
        <v>41869</v>
      </c>
      <c r="C508" s="3">
        <v>16.579499999999999</v>
      </c>
      <c r="D508" s="101">
        <f t="shared" si="16"/>
        <v>-6.1144984632376387E-3</v>
      </c>
    </row>
    <row r="509" spans="2:4" x14ac:dyDescent="0.25">
      <c r="B509" s="9">
        <v>41862</v>
      </c>
      <c r="C509" s="3">
        <v>16.681498999999999</v>
      </c>
      <c r="D509" s="101">
        <f t="shared" si="16"/>
        <v>5.3124936868686801E-2</v>
      </c>
    </row>
    <row r="510" spans="2:4" x14ac:dyDescent="0.25">
      <c r="B510" s="9">
        <v>41855</v>
      </c>
      <c r="C510" s="3">
        <v>15.84</v>
      </c>
      <c r="D510" s="101">
        <f t="shared" si="16"/>
        <v>3.1720184980134292E-2</v>
      </c>
    </row>
    <row r="511" spans="2:4" x14ac:dyDescent="0.25">
      <c r="B511" s="9">
        <v>41848</v>
      </c>
      <c r="C511" s="3">
        <v>15.353</v>
      </c>
      <c r="D511" s="101">
        <f t="shared" si="16"/>
        <v>-5.2313200209870181E-2</v>
      </c>
    </row>
    <row r="512" spans="2:4" x14ac:dyDescent="0.25">
      <c r="B512" s="9">
        <v>41841</v>
      </c>
      <c r="C512" s="3">
        <v>16.200500000000002</v>
      </c>
      <c r="D512" s="101">
        <f t="shared" si="16"/>
        <v>-9.6609652784829469E-2</v>
      </c>
    </row>
    <row r="513" spans="2:4" x14ac:dyDescent="0.25">
      <c r="B513" s="9">
        <v>41834</v>
      </c>
      <c r="C513" s="3">
        <v>17.933001000000001</v>
      </c>
      <c r="D513" s="101">
        <f t="shared" si="16"/>
        <v>3.5990874407329621E-2</v>
      </c>
    </row>
    <row r="514" spans="2:4" x14ac:dyDescent="0.25">
      <c r="B514" s="9">
        <v>41827</v>
      </c>
      <c r="C514" s="3">
        <v>17.309999000000001</v>
      </c>
      <c r="D514" s="101">
        <f t="shared" si="16"/>
        <v>2.5808112832972796E-2</v>
      </c>
    </row>
    <row r="515" spans="2:4" x14ac:dyDescent="0.25">
      <c r="B515" s="9">
        <v>41820</v>
      </c>
      <c r="C515" s="3">
        <v>16.874500000000001</v>
      </c>
      <c r="D515" s="101">
        <f t="shared" ref="D515:D578" si="17">C515/C516-1</f>
        <v>3.9806513232892859E-2</v>
      </c>
    </row>
    <row r="516" spans="2:4" x14ac:dyDescent="0.25">
      <c r="B516" s="9">
        <v>41813</v>
      </c>
      <c r="C516" s="3">
        <v>16.2285</v>
      </c>
      <c r="D516" s="101">
        <f t="shared" si="17"/>
        <v>1.141332581205079E-3</v>
      </c>
    </row>
    <row r="517" spans="2:4" x14ac:dyDescent="0.25">
      <c r="B517" s="9">
        <v>41806</v>
      </c>
      <c r="C517" s="3">
        <v>16.209999</v>
      </c>
      <c r="D517" s="101">
        <f t="shared" si="17"/>
        <v>-6.3444390440089427E-3</v>
      </c>
    </row>
    <row r="518" spans="2:4" x14ac:dyDescent="0.25">
      <c r="B518" s="9">
        <v>41799</v>
      </c>
      <c r="C518" s="3">
        <v>16.313499</v>
      </c>
      <c r="D518" s="101">
        <f t="shared" si="17"/>
        <v>-1.0313404313404217E-2</v>
      </c>
    </row>
    <row r="519" spans="2:4" x14ac:dyDescent="0.25">
      <c r="B519" s="9">
        <v>41792</v>
      </c>
      <c r="C519" s="3">
        <v>16.483499999999999</v>
      </c>
      <c r="D519" s="101">
        <f t="shared" si="17"/>
        <v>5.4775235962245983E-2</v>
      </c>
    </row>
    <row r="520" spans="2:4" x14ac:dyDescent="0.25">
      <c r="B520" s="9">
        <v>41785</v>
      </c>
      <c r="C520" s="3">
        <v>15.6275</v>
      </c>
      <c r="D520" s="101">
        <f t="shared" si="17"/>
        <v>9.9282603125794289E-4</v>
      </c>
    </row>
    <row r="521" spans="2:4" x14ac:dyDescent="0.25">
      <c r="B521" s="9">
        <v>41778</v>
      </c>
      <c r="C521" s="3">
        <v>15.612</v>
      </c>
      <c r="D521" s="101">
        <f t="shared" si="17"/>
        <v>4.8841115216661013E-2</v>
      </c>
    </row>
    <row r="522" spans="2:4" x14ac:dyDescent="0.25">
      <c r="B522" s="9">
        <v>41771</v>
      </c>
      <c r="C522" s="3">
        <v>14.885</v>
      </c>
      <c r="D522" s="101">
        <f t="shared" si="17"/>
        <v>1.8683274021352281E-2</v>
      </c>
    </row>
    <row r="523" spans="2:4" x14ac:dyDescent="0.25">
      <c r="B523" s="9">
        <v>41764</v>
      </c>
      <c r="C523" s="3">
        <v>14.612</v>
      </c>
      <c r="D523" s="101">
        <f t="shared" si="17"/>
        <v>-5.1199636375442337E-2</v>
      </c>
    </row>
    <row r="524" spans="2:4" x14ac:dyDescent="0.25">
      <c r="B524" s="9">
        <v>41757</v>
      </c>
      <c r="C524" s="3">
        <v>15.400499999999999</v>
      </c>
      <c r="D524" s="101">
        <f t="shared" si="17"/>
        <v>1.3757693446993402E-2</v>
      </c>
    </row>
    <row r="525" spans="2:4" x14ac:dyDescent="0.25">
      <c r="B525" s="9">
        <v>41750</v>
      </c>
      <c r="C525" s="3">
        <v>15.1915</v>
      </c>
      <c r="D525" s="101">
        <f t="shared" si="17"/>
        <v>-6.4879562655531631E-2</v>
      </c>
    </row>
    <row r="526" spans="2:4" x14ac:dyDescent="0.25">
      <c r="B526" s="9">
        <v>41743</v>
      </c>
      <c r="C526" s="3">
        <v>16.245501000000001</v>
      </c>
      <c r="D526" s="101">
        <f t="shared" si="17"/>
        <v>4.228024251756346E-2</v>
      </c>
    </row>
    <row r="527" spans="2:4" x14ac:dyDescent="0.25">
      <c r="B527" s="9">
        <v>41736</v>
      </c>
      <c r="C527" s="3">
        <v>15.586499999999999</v>
      </c>
      <c r="D527" s="101">
        <f t="shared" si="17"/>
        <v>-3.4891640866873019E-2</v>
      </c>
    </row>
    <row r="528" spans="2:4" x14ac:dyDescent="0.25">
      <c r="B528" s="9">
        <v>41729</v>
      </c>
      <c r="C528" s="3">
        <v>16.149999999999999</v>
      </c>
      <c r="D528" s="101">
        <f t="shared" si="17"/>
        <v>-4.5197850672372919E-2</v>
      </c>
    </row>
    <row r="529" spans="2:4" x14ac:dyDescent="0.25">
      <c r="B529" s="9">
        <v>41722</v>
      </c>
      <c r="C529" s="3">
        <v>16.914498999999999</v>
      </c>
      <c r="D529" s="101">
        <f t="shared" si="17"/>
        <v>-6.1921191281681498E-2</v>
      </c>
    </row>
    <row r="530" spans="2:4" x14ac:dyDescent="0.25">
      <c r="B530" s="9">
        <v>41715</v>
      </c>
      <c r="C530" s="3">
        <v>18.030999999999999</v>
      </c>
      <c r="D530" s="101">
        <f t="shared" si="17"/>
        <v>-3.5104618183764202E-2</v>
      </c>
    </row>
    <row r="531" spans="2:4" x14ac:dyDescent="0.25">
      <c r="B531" s="9">
        <v>41708</v>
      </c>
      <c r="C531" s="3">
        <v>18.687000000000001</v>
      </c>
      <c r="D531" s="101">
        <f t="shared" si="17"/>
        <v>4.5153467443237449E-3</v>
      </c>
    </row>
    <row r="532" spans="2:4" x14ac:dyDescent="0.25">
      <c r="B532" s="9">
        <v>41701</v>
      </c>
      <c r="C532" s="3">
        <v>18.603000999999999</v>
      </c>
      <c r="D532" s="101">
        <f t="shared" si="17"/>
        <v>2.7506268986467797E-2</v>
      </c>
    </row>
    <row r="533" spans="2:4" x14ac:dyDescent="0.25">
      <c r="B533" s="9">
        <v>41694</v>
      </c>
      <c r="C533" s="3">
        <v>18.105</v>
      </c>
      <c r="D533" s="101">
        <f t="shared" si="17"/>
        <v>4.4238149973361951E-2</v>
      </c>
    </row>
    <row r="534" spans="2:4" x14ac:dyDescent="0.25">
      <c r="B534" s="9">
        <v>41687</v>
      </c>
      <c r="C534" s="3">
        <v>17.337999</v>
      </c>
      <c r="D534" s="101">
        <f t="shared" si="17"/>
        <v>-2.9634867776689555E-2</v>
      </c>
    </row>
    <row r="535" spans="2:4" x14ac:dyDescent="0.25">
      <c r="B535" s="9">
        <v>41680</v>
      </c>
      <c r="C535" s="3">
        <v>17.8675</v>
      </c>
      <c r="D535" s="101">
        <f t="shared" si="17"/>
        <v>-1.0330175566069855E-2</v>
      </c>
    </row>
    <row r="536" spans="2:4" x14ac:dyDescent="0.25">
      <c r="B536" s="9">
        <v>41673</v>
      </c>
      <c r="C536" s="3">
        <v>18.054001</v>
      </c>
      <c r="D536" s="101">
        <f t="shared" si="17"/>
        <v>6.6631910563439423E-3</v>
      </c>
    </row>
    <row r="537" spans="2:4" x14ac:dyDescent="0.25">
      <c r="B537" s="9">
        <v>41666</v>
      </c>
      <c r="C537" s="3">
        <v>17.9345</v>
      </c>
      <c r="D537" s="101">
        <f t="shared" si="17"/>
        <v>-7.4587155551452899E-2</v>
      </c>
    </row>
    <row r="538" spans="2:4" x14ac:dyDescent="0.25">
      <c r="B538" s="9">
        <v>41659</v>
      </c>
      <c r="C538" s="3">
        <v>19.379999000000002</v>
      </c>
      <c r="D538" s="101">
        <f t="shared" si="17"/>
        <v>-3.0054304449553371E-2</v>
      </c>
    </row>
    <row r="539" spans="2:4" x14ac:dyDescent="0.25">
      <c r="B539" s="9">
        <v>41652</v>
      </c>
      <c r="C539" s="3">
        <v>19.980498999999998</v>
      </c>
      <c r="D539" s="101">
        <f t="shared" si="17"/>
        <v>4.903686813040542E-3</v>
      </c>
    </row>
    <row r="540" spans="2:4" x14ac:dyDescent="0.25">
      <c r="B540" s="9">
        <v>41645</v>
      </c>
      <c r="C540" s="3">
        <v>19.882999000000002</v>
      </c>
      <c r="D540" s="101">
        <f t="shared" si="17"/>
        <v>3.0772877067255511E-3</v>
      </c>
    </row>
    <row r="541" spans="2:4" x14ac:dyDescent="0.25">
      <c r="B541" s="9">
        <v>41638</v>
      </c>
      <c r="C541" s="3">
        <v>19.822001</v>
      </c>
      <c r="D541" s="101">
        <f t="shared" si="17"/>
        <v>-4.1196746442762056E-3</v>
      </c>
    </row>
    <row r="542" spans="2:4" x14ac:dyDescent="0.25">
      <c r="B542" s="9">
        <v>41631</v>
      </c>
      <c r="C542" s="3">
        <v>19.903998999999999</v>
      </c>
      <c r="D542" s="101">
        <f t="shared" si="17"/>
        <v>-1.0243758814333259E-2</v>
      </c>
    </row>
    <row r="543" spans="2:4" x14ac:dyDescent="0.25">
      <c r="B543" s="9">
        <v>41624</v>
      </c>
      <c r="C543" s="3">
        <v>20.110001</v>
      </c>
      <c r="D543" s="101">
        <f t="shared" si="17"/>
        <v>4.6741671871746826E-2</v>
      </c>
    </row>
    <row r="544" spans="2:4" x14ac:dyDescent="0.25">
      <c r="B544" s="9">
        <v>41617</v>
      </c>
      <c r="C544" s="3">
        <v>19.212</v>
      </c>
      <c r="D544" s="101">
        <f t="shared" si="17"/>
        <v>-7.0034888228452941E-3</v>
      </c>
    </row>
    <row r="545" spans="2:4" x14ac:dyDescent="0.25">
      <c r="B545" s="9">
        <v>41610</v>
      </c>
      <c r="C545" s="3">
        <v>19.3475</v>
      </c>
      <c r="D545" s="101">
        <f t="shared" si="17"/>
        <v>-1.6945277170875461E-2</v>
      </c>
    </row>
    <row r="546" spans="2:4" x14ac:dyDescent="0.25">
      <c r="B546" s="9">
        <v>41603</v>
      </c>
      <c r="C546" s="3">
        <v>19.681000000000001</v>
      </c>
      <c r="D546" s="101">
        <f t="shared" si="17"/>
        <v>5.7237305322838772E-2</v>
      </c>
    </row>
    <row r="547" spans="2:4" x14ac:dyDescent="0.25">
      <c r="B547" s="9">
        <v>41596</v>
      </c>
      <c r="C547" s="3">
        <v>18.615499</v>
      </c>
      <c r="D547" s="101">
        <f t="shared" si="17"/>
        <v>8.5055123655768394E-3</v>
      </c>
    </row>
    <row r="548" spans="2:4" x14ac:dyDescent="0.25">
      <c r="B548" s="9">
        <v>41589</v>
      </c>
      <c r="C548" s="3">
        <v>18.458500000000001</v>
      </c>
      <c r="D548" s="101">
        <f t="shared" si="17"/>
        <v>5.3838089340189743E-2</v>
      </c>
    </row>
    <row r="549" spans="2:4" x14ac:dyDescent="0.25">
      <c r="B549" s="9">
        <v>41582</v>
      </c>
      <c r="C549" s="3">
        <v>17.515498999999998</v>
      </c>
      <c r="D549" s="101">
        <f t="shared" si="17"/>
        <v>-2.4206238205780717E-2</v>
      </c>
    </row>
    <row r="550" spans="2:4" x14ac:dyDescent="0.25">
      <c r="B550" s="9">
        <v>41575</v>
      </c>
      <c r="C550" s="3">
        <v>17.950001</v>
      </c>
      <c r="D550" s="101">
        <f t="shared" si="17"/>
        <v>-1.208062962657197E-2</v>
      </c>
    </row>
    <row r="551" spans="2:4" x14ac:dyDescent="0.25">
      <c r="B551" s="9">
        <v>41568</v>
      </c>
      <c r="C551" s="3">
        <v>18.169499999999999</v>
      </c>
      <c r="D551" s="101">
        <f t="shared" si="17"/>
        <v>0.10476386436239515</v>
      </c>
    </row>
    <row r="552" spans="2:4" x14ac:dyDescent="0.25">
      <c r="B552" s="9">
        <v>41561</v>
      </c>
      <c r="C552" s="3">
        <v>16.446501000000001</v>
      </c>
      <c r="D552" s="101">
        <f t="shared" si="17"/>
        <v>5.8027019202933738E-2</v>
      </c>
    </row>
    <row r="553" spans="2:4" x14ac:dyDescent="0.25">
      <c r="B553" s="9">
        <v>41554</v>
      </c>
      <c r="C553" s="3">
        <v>15.544499999999999</v>
      </c>
      <c r="D553" s="101">
        <f t="shared" si="17"/>
        <v>-2.5545386158475458E-2</v>
      </c>
    </row>
    <row r="554" spans="2:4" x14ac:dyDescent="0.25">
      <c r="B554" s="9">
        <v>41547</v>
      </c>
      <c r="C554" s="3">
        <v>15.952</v>
      </c>
      <c r="D554" s="101">
        <f t="shared" si="17"/>
        <v>9.5883041675897118E-3</v>
      </c>
    </row>
    <row r="555" spans="2:4" x14ac:dyDescent="0.25">
      <c r="B555" s="9">
        <v>41540</v>
      </c>
      <c r="C555" s="3">
        <v>15.8005</v>
      </c>
      <c r="D555" s="101">
        <f t="shared" si="17"/>
        <v>-1.0431813871151219E-3</v>
      </c>
    </row>
    <row r="556" spans="2:4" x14ac:dyDescent="0.25">
      <c r="B556" s="9">
        <v>41533</v>
      </c>
      <c r="C556" s="3">
        <v>15.817</v>
      </c>
      <c r="D556" s="101">
        <f t="shared" si="17"/>
        <v>6.1828678839956908E-2</v>
      </c>
    </row>
    <row r="557" spans="2:4" x14ac:dyDescent="0.25">
      <c r="B557" s="9">
        <v>41526</v>
      </c>
      <c r="C557" s="3">
        <v>14.896000000000001</v>
      </c>
      <c r="D557" s="101">
        <f t="shared" si="17"/>
        <v>6.9627526532820561E-3</v>
      </c>
    </row>
    <row r="558" spans="2:4" x14ac:dyDescent="0.25">
      <c r="B558" s="9">
        <v>41519</v>
      </c>
      <c r="C558" s="3">
        <v>14.792999999999999</v>
      </c>
      <c r="D558" s="101">
        <f t="shared" si="17"/>
        <v>5.2957505872303967E-2</v>
      </c>
    </row>
    <row r="559" spans="2:4" x14ac:dyDescent="0.25">
      <c r="B559" s="9">
        <v>41512</v>
      </c>
      <c r="C559" s="3">
        <v>14.048999999999999</v>
      </c>
      <c r="D559" s="101">
        <f t="shared" si="17"/>
        <v>-3.1136857349746583E-2</v>
      </c>
    </row>
    <row r="560" spans="2:4" x14ac:dyDescent="0.25">
      <c r="B560" s="9">
        <v>41505</v>
      </c>
      <c r="C560" s="3">
        <v>14.500500000000001</v>
      </c>
      <c r="D560" s="101">
        <f t="shared" si="17"/>
        <v>1.8222034969454404E-2</v>
      </c>
    </row>
    <row r="561" spans="2:4" x14ac:dyDescent="0.25">
      <c r="B561" s="9">
        <v>41498</v>
      </c>
      <c r="C561" s="3">
        <v>14.241</v>
      </c>
      <c r="D561" s="101">
        <f t="shared" si="17"/>
        <v>-4.1848886496669624E-2</v>
      </c>
    </row>
    <row r="562" spans="2:4" x14ac:dyDescent="0.25">
      <c r="B562" s="9">
        <v>41491</v>
      </c>
      <c r="C562" s="3">
        <v>14.863</v>
      </c>
      <c r="D562" s="101">
        <f t="shared" si="17"/>
        <v>-2.2846060287301517E-2</v>
      </c>
    </row>
    <row r="563" spans="2:4" x14ac:dyDescent="0.25">
      <c r="B563" s="9">
        <v>41484</v>
      </c>
      <c r="C563" s="3">
        <v>15.2105</v>
      </c>
      <c r="D563" s="101">
        <f t="shared" si="17"/>
        <v>-2.4999198743630102E-2</v>
      </c>
    </row>
    <row r="564" spans="2:4" x14ac:dyDescent="0.25">
      <c r="B564" s="9">
        <v>41477</v>
      </c>
      <c r="C564" s="3">
        <v>15.6005</v>
      </c>
      <c r="D564" s="101">
        <f t="shared" si="17"/>
        <v>2.2212757592635191E-2</v>
      </c>
    </row>
    <row r="565" spans="2:4" x14ac:dyDescent="0.25">
      <c r="B565" s="9">
        <v>41470</v>
      </c>
      <c r="C565" s="3">
        <v>15.2615</v>
      </c>
      <c r="D565" s="101">
        <f t="shared" si="17"/>
        <v>-7.5434888635993458E-3</v>
      </c>
    </row>
    <row r="566" spans="2:4" x14ac:dyDescent="0.25">
      <c r="B566" s="9">
        <v>41463</v>
      </c>
      <c r="C566" s="3">
        <v>15.3775</v>
      </c>
      <c r="D566" s="101">
        <f t="shared" si="17"/>
        <v>7.5801035399468253E-2</v>
      </c>
    </row>
    <row r="567" spans="2:4" x14ac:dyDescent="0.25">
      <c r="B567" s="9">
        <v>41456</v>
      </c>
      <c r="C567" s="3">
        <v>14.294</v>
      </c>
      <c r="D567" s="101">
        <f t="shared" si="17"/>
        <v>2.949331988908499E-2</v>
      </c>
    </row>
    <row r="568" spans="2:4" x14ac:dyDescent="0.25">
      <c r="B568" s="9">
        <v>41449</v>
      </c>
      <c r="C568" s="3">
        <v>13.884499999999999</v>
      </c>
      <c r="D568" s="101">
        <f t="shared" si="17"/>
        <v>1.5839918056774982E-2</v>
      </c>
    </row>
    <row r="569" spans="2:4" x14ac:dyDescent="0.25">
      <c r="B569" s="9">
        <v>41442</v>
      </c>
      <c r="C569" s="3">
        <v>13.667999999999999</v>
      </c>
      <c r="D569" s="101">
        <f t="shared" si="17"/>
        <v>-2.2993539910216576E-3</v>
      </c>
    </row>
    <row r="570" spans="2:4" x14ac:dyDescent="0.25">
      <c r="B570" s="9">
        <v>41435</v>
      </c>
      <c r="C570" s="3">
        <v>13.6995</v>
      </c>
      <c r="D570" s="101">
        <f t="shared" si="17"/>
        <v>-1.0401993715462132E-2</v>
      </c>
    </row>
    <row r="571" spans="2:4" x14ac:dyDescent="0.25">
      <c r="B571" s="9">
        <v>41428</v>
      </c>
      <c r="C571" s="3">
        <v>13.843500000000001</v>
      </c>
      <c r="D571" s="101">
        <f t="shared" si="17"/>
        <v>2.8491827637444178E-2</v>
      </c>
    </row>
    <row r="572" spans="2:4" x14ac:dyDescent="0.25">
      <c r="B572" s="9">
        <v>41421</v>
      </c>
      <c r="C572" s="3">
        <v>13.46</v>
      </c>
      <c r="D572" s="101">
        <f t="shared" si="17"/>
        <v>2.8501566439978587E-2</v>
      </c>
    </row>
    <row r="573" spans="2:4" x14ac:dyDescent="0.25">
      <c r="B573" s="9">
        <v>41414</v>
      </c>
      <c r="C573" s="3">
        <v>13.087</v>
      </c>
      <c r="D573" s="101">
        <f t="shared" si="17"/>
        <v>-3.023341978510552E-2</v>
      </c>
    </row>
    <row r="574" spans="2:4" x14ac:dyDescent="0.25">
      <c r="B574" s="9">
        <v>41407</v>
      </c>
      <c r="C574" s="3">
        <v>13.494999999999999</v>
      </c>
      <c r="D574" s="101">
        <f t="shared" si="17"/>
        <v>2.3783332701134086E-2</v>
      </c>
    </row>
    <row r="575" spans="2:4" x14ac:dyDescent="0.25">
      <c r="B575" s="9">
        <v>41400</v>
      </c>
      <c r="C575" s="3">
        <v>13.1815</v>
      </c>
      <c r="D575" s="101">
        <f t="shared" si="17"/>
        <v>2.1623716334043808E-2</v>
      </c>
    </row>
    <row r="576" spans="2:4" x14ac:dyDescent="0.25">
      <c r="B576" s="9">
        <v>41393</v>
      </c>
      <c r="C576" s="3">
        <v>12.9025</v>
      </c>
      <c r="D576" s="101">
        <f t="shared" si="17"/>
        <v>1.27153565401672E-2</v>
      </c>
    </row>
    <row r="577" spans="2:4" x14ac:dyDescent="0.25">
      <c r="B577" s="9">
        <v>41386</v>
      </c>
      <c r="C577" s="3">
        <v>12.740500000000001</v>
      </c>
      <c r="D577" s="101">
        <f t="shared" si="17"/>
        <v>-2.1166256914566639E-2</v>
      </c>
    </row>
    <row r="578" spans="2:4" x14ac:dyDescent="0.25">
      <c r="B578" s="9">
        <v>41379</v>
      </c>
      <c r="C578" s="3">
        <v>13.016</v>
      </c>
      <c r="D578" s="101">
        <f t="shared" si="17"/>
        <v>-4.5992597207461405E-2</v>
      </c>
    </row>
    <row r="579" spans="2:4" x14ac:dyDescent="0.25">
      <c r="B579" s="9">
        <v>41372</v>
      </c>
      <c r="C579" s="3">
        <v>13.6435</v>
      </c>
      <c r="D579" s="101">
        <f t="shared" ref="D579:D642" si="18">C579/C580-1</f>
        <v>6.8067950524502985E-2</v>
      </c>
    </row>
    <row r="580" spans="2:4" x14ac:dyDescent="0.25">
      <c r="B580" s="9">
        <v>41365</v>
      </c>
      <c r="C580" s="3">
        <v>12.773999999999999</v>
      </c>
      <c r="D580" s="101">
        <f t="shared" si="18"/>
        <v>-4.1314871102105188E-2</v>
      </c>
    </row>
    <row r="581" spans="2:4" x14ac:dyDescent="0.25">
      <c r="B581" s="9">
        <v>41358</v>
      </c>
      <c r="C581" s="3">
        <v>13.3245</v>
      </c>
      <c r="D581" s="101">
        <f t="shared" si="18"/>
        <v>3.3908826382153423E-2</v>
      </c>
    </row>
    <row r="582" spans="2:4" x14ac:dyDescent="0.25">
      <c r="B582" s="9">
        <v>41351</v>
      </c>
      <c r="C582" s="3">
        <v>12.887499999999999</v>
      </c>
      <c r="D582" s="101">
        <f t="shared" si="18"/>
        <v>-1.5545030937285209E-2</v>
      </c>
    </row>
    <row r="583" spans="2:4" x14ac:dyDescent="0.25">
      <c r="B583" s="9">
        <v>41344</v>
      </c>
      <c r="C583" s="3">
        <v>13.090999999999999</v>
      </c>
      <c r="D583" s="101">
        <f t="shared" si="18"/>
        <v>-4.5114701484372244E-2</v>
      </c>
    </row>
    <row r="584" spans="2:4" x14ac:dyDescent="0.25">
      <c r="B584" s="9">
        <v>41337</v>
      </c>
      <c r="C584" s="3">
        <v>13.7095</v>
      </c>
      <c r="D584" s="101">
        <f t="shared" si="18"/>
        <v>3.179799804320016E-2</v>
      </c>
    </row>
    <row r="585" spans="2:4" x14ac:dyDescent="0.25">
      <c r="B585" s="9">
        <v>41330</v>
      </c>
      <c r="C585" s="3">
        <v>13.287000000000001</v>
      </c>
      <c r="D585" s="101">
        <f t="shared" si="18"/>
        <v>1.205636349935979E-3</v>
      </c>
    </row>
    <row r="586" spans="2:4" x14ac:dyDescent="0.25">
      <c r="B586" s="9">
        <v>41323</v>
      </c>
      <c r="C586" s="3">
        <v>13.271000000000001</v>
      </c>
      <c r="D586" s="101">
        <f t="shared" si="18"/>
        <v>1.244860236146339E-3</v>
      </c>
    </row>
    <row r="587" spans="2:4" x14ac:dyDescent="0.25">
      <c r="B587" s="9">
        <v>41316</v>
      </c>
      <c r="C587" s="3">
        <v>13.2545</v>
      </c>
      <c r="D587" s="101">
        <f t="shared" si="18"/>
        <v>1.1987020423744887E-2</v>
      </c>
    </row>
    <row r="588" spans="2:4" x14ac:dyDescent="0.25">
      <c r="B588" s="9">
        <v>41309</v>
      </c>
      <c r="C588" s="3">
        <v>13.0975</v>
      </c>
      <c r="D588" s="101">
        <f t="shared" si="18"/>
        <v>-1.1509433962264115E-2</v>
      </c>
    </row>
    <row r="589" spans="2:4" x14ac:dyDescent="0.25">
      <c r="B589" s="9">
        <v>41302</v>
      </c>
      <c r="C589" s="3">
        <v>13.25</v>
      </c>
      <c r="D589" s="101">
        <f t="shared" si="18"/>
        <v>-6.6868551709567292E-2</v>
      </c>
    </row>
    <row r="590" spans="2:4" x14ac:dyDescent="0.25">
      <c r="B590" s="9">
        <v>41295</v>
      </c>
      <c r="C590" s="3">
        <v>14.1995</v>
      </c>
      <c r="D590" s="101">
        <f t="shared" si="18"/>
        <v>4.3620461561076018E-2</v>
      </c>
    </row>
    <row r="591" spans="2:4" x14ac:dyDescent="0.25">
      <c r="B591" s="9">
        <v>41288</v>
      </c>
      <c r="C591" s="3">
        <v>13.606</v>
      </c>
      <c r="D591" s="101">
        <f t="shared" si="18"/>
        <v>1.5600507576323031E-2</v>
      </c>
    </row>
    <row r="592" spans="2:4" x14ac:dyDescent="0.25">
      <c r="B592" s="9">
        <v>41281</v>
      </c>
      <c r="C592" s="3">
        <v>13.397</v>
      </c>
      <c r="D592" s="101">
        <f t="shared" si="18"/>
        <v>3.3918579972988638E-2</v>
      </c>
    </row>
    <row r="593" spans="2:4" x14ac:dyDescent="0.25">
      <c r="B593" s="9">
        <v>41274</v>
      </c>
      <c r="C593" s="3">
        <v>12.9575</v>
      </c>
      <c r="D593" s="101">
        <f t="shared" si="18"/>
        <v>5.6978546374092387E-2</v>
      </c>
    </row>
    <row r="594" spans="2:4" x14ac:dyDescent="0.25">
      <c r="B594" s="9">
        <v>41267</v>
      </c>
      <c r="C594" s="3">
        <v>12.259</v>
      </c>
      <c r="D594" s="101">
        <f t="shared" si="18"/>
        <v>-4.5695158025844562E-2</v>
      </c>
    </row>
    <row r="595" spans="2:4" x14ac:dyDescent="0.25">
      <c r="B595" s="9">
        <v>41260</v>
      </c>
      <c r="C595" s="3">
        <v>12.846</v>
      </c>
      <c r="D595" s="101">
        <f t="shared" si="18"/>
        <v>3.1020506440868401E-2</v>
      </c>
    </row>
    <row r="596" spans="2:4" x14ac:dyDescent="0.25">
      <c r="B596" s="9">
        <v>41253</v>
      </c>
      <c r="C596" s="3">
        <v>12.4595</v>
      </c>
      <c r="D596" s="101">
        <f t="shared" si="18"/>
        <v>-1.6109290480514904E-2</v>
      </c>
    </row>
    <row r="597" spans="2:4" x14ac:dyDescent="0.25">
      <c r="B597" s="9">
        <v>41246</v>
      </c>
      <c r="C597" s="3">
        <v>12.663500000000001</v>
      </c>
      <c r="D597" s="101">
        <f t="shared" si="18"/>
        <v>4.8403094624083209E-3</v>
      </c>
    </row>
    <row r="598" spans="2:4" x14ac:dyDescent="0.25">
      <c r="B598" s="9">
        <v>41239</v>
      </c>
      <c r="C598" s="3">
        <v>12.602499999999999</v>
      </c>
      <c r="D598" s="101">
        <f t="shared" si="18"/>
        <v>5.0733700183424935E-2</v>
      </c>
    </row>
    <row r="599" spans="2:4" x14ac:dyDescent="0.25">
      <c r="B599" s="9">
        <v>41232</v>
      </c>
      <c r="C599" s="3">
        <v>11.994</v>
      </c>
      <c r="D599" s="101">
        <f t="shared" si="18"/>
        <v>6.5044621054033636E-2</v>
      </c>
    </row>
    <row r="600" spans="2:4" x14ac:dyDescent="0.25">
      <c r="B600" s="9">
        <v>41225</v>
      </c>
      <c r="C600" s="3">
        <v>11.2615</v>
      </c>
      <c r="D600" s="101">
        <f t="shared" si="18"/>
        <v>-4.7722151031770466E-3</v>
      </c>
    </row>
    <row r="601" spans="2:4" x14ac:dyDescent="0.25">
      <c r="B601" s="9">
        <v>41218</v>
      </c>
      <c r="C601" s="3">
        <v>11.3155</v>
      </c>
      <c r="D601" s="101">
        <f t="shared" si="18"/>
        <v>-2.6288615437569995E-2</v>
      </c>
    </row>
    <row r="602" spans="2:4" x14ac:dyDescent="0.25">
      <c r="B602" s="9">
        <v>41211</v>
      </c>
      <c r="C602" s="3">
        <v>11.621</v>
      </c>
      <c r="D602" s="101">
        <f t="shared" si="18"/>
        <v>-2.4429147078576241E-2</v>
      </c>
    </row>
    <row r="603" spans="2:4" x14ac:dyDescent="0.25">
      <c r="B603" s="9">
        <v>41204</v>
      </c>
      <c r="C603" s="3">
        <v>11.912000000000001</v>
      </c>
      <c r="D603" s="101">
        <f t="shared" si="18"/>
        <v>-7.3333333333333028E-3</v>
      </c>
    </row>
    <row r="604" spans="2:4" x14ac:dyDescent="0.25">
      <c r="B604" s="9">
        <v>41197</v>
      </c>
      <c r="C604" s="3">
        <v>12</v>
      </c>
      <c r="D604" s="101">
        <f t="shared" si="18"/>
        <v>-9.7375804588215598E-3</v>
      </c>
    </row>
    <row r="605" spans="2:4" x14ac:dyDescent="0.25">
      <c r="B605" s="9">
        <v>41190</v>
      </c>
      <c r="C605" s="3">
        <v>12.118</v>
      </c>
      <c r="D605" s="101">
        <f t="shared" si="18"/>
        <v>-6.2473405284128258E-2</v>
      </c>
    </row>
    <row r="606" spans="2:4" x14ac:dyDescent="0.25">
      <c r="B606" s="9">
        <v>41183</v>
      </c>
      <c r="C606" s="3">
        <v>12.9255</v>
      </c>
      <c r="D606" s="101">
        <f t="shared" si="18"/>
        <v>1.6475306700220127E-2</v>
      </c>
    </row>
    <row r="607" spans="2:4" x14ac:dyDescent="0.25">
      <c r="B607" s="9">
        <v>41176</v>
      </c>
      <c r="C607" s="3">
        <v>12.715999999999999</v>
      </c>
      <c r="D607" s="101">
        <f t="shared" si="18"/>
        <v>-1.2234435079815142E-2</v>
      </c>
    </row>
    <row r="608" spans="2:4" x14ac:dyDescent="0.25">
      <c r="B608" s="9">
        <v>41169</v>
      </c>
      <c r="C608" s="3">
        <v>12.8735</v>
      </c>
      <c r="D608" s="101">
        <f t="shared" si="18"/>
        <v>-1.4544341103073455E-2</v>
      </c>
    </row>
    <row r="609" spans="2:4" x14ac:dyDescent="0.25">
      <c r="B609" s="9">
        <v>41162</v>
      </c>
      <c r="C609" s="3">
        <v>13.063499999999999</v>
      </c>
      <c r="D609" s="101">
        <f t="shared" si="18"/>
        <v>8.2194952535308285E-3</v>
      </c>
    </row>
    <row r="610" spans="2:4" x14ac:dyDescent="0.25">
      <c r="B610" s="9">
        <v>41155</v>
      </c>
      <c r="C610" s="3">
        <v>12.957000000000001</v>
      </c>
      <c r="D610" s="101">
        <f t="shared" si="18"/>
        <v>4.3782978209207624E-2</v>
      </c>
    </row>
    <row r="611" spans="2:4" x14ac:dyDescent="0.25">
      <c r="B611" s="9">
        <v>41148</v>
      </c>
      <c r="C611" s="3">
        <v>12.413500000000001</v>
      </c>
      <c r="D611" s="101">
        <f t="shared" si="18"/>
        <v>1.0295434198746678E-2</v>
      </c>
    </row>
    <row r="612" spans="2:4" x14ac:dyDescent="0.25">
      <c r="B612" s="9">
        <v>41141</v>
      </c>
      <c r="C612" s="3">
        <v>12.287000000000001</v>
      </c>
      <c r="D612" s="101">
        <f t="shared" si="18"/>
        <v>1.8949288883360227E-2</v>
      </c>
    </row>
    <row r="613" spans="2:4" x14ac:dyDescent="0.25">
      <c r="B613" s="9">
        <v>41134</v>
      </c>
      <c r="C613" s="3">
        <v>12.0585</v>
      </c>
      <c r="D613" s="101">
        <f t="shared" si="18"/>
        <v>3.6176154672395322E-2</v>
      </c>
    </row>
    <row r="614" spans="2:4" x14ac:dyDescent="0.25">
      <c r="B614" s="9">
        <v>41127</v>
      </c>
      <c r="C614" s="3">
        <v>11.637499999999999</v>
      </c>
      <c r="D614" s="101">
        <f t="shared" si="18"/>
        <v>-9.4480146401668685E-3</v>
      </c>
    </row>
    <row r="615" spans="2:4" x14ac:dyDescent="0.25">
      <c r="B615" s="9">
        <v>41120</v>
      </c>
      <c r="C615" s="3">
        <v>11.7485</v>
      </c>
      <c r="D615" s="101">
        <f t="shared" si="18"/>
        <v>-9.9022416989718032E-3</v>
      </c>
    </row>
    <row r="616" spans="2:4" x14ac:dyDescent="0.25">
      <c r="B616" s="9">
        <v>41113</v>
      </c>
      <c r="C616" s="3">
        <v>11.866</v>
      </c>
      <c r="D616" s="101">
        <f t="shared" si="18"/>
        <v>3.9554952034692725E-2</v>
      </c>
    </row>
    <row r="617" spans="2:4" x14ac:dyDescent="0.25">
      <c r="B617" s="9">
        <v>41106</v>
      </c>
      <c r="C617" s="3">
        <v>11.4145</v>
      </c>
      <c r="D617" s="101">
        <f t="shared" si="18"/>
        <v>4.5331745959064085E-2</v>
      </c>
    </row>
    <row r="618" spans="2:4" x14ac:dyDescent="0.25">
      <c r="B618" s="9">
        <v>41099</v>
      </c>
      <c r="C618" s="3">
        <v>10.919499999999999</v>
      </c>
      <c r="D618" s="101">
        <f t="shared" si="18"/>
        <v>-2.959342368362583E-2</v>
      </c>
    </row>
    <row r="619" spans="2:4" x14ac:dyDescent="0.25">
      <c r="B619" s="9">
        <v>41092</v>
      </c>
      <c r="C619" s="3">
        <v>11.2525</v>
      </c>
      <c r="D619" s="101">
        <f t="shared" si="18"/>
        <v>-1.4451499890518971E-2</v>
      </c>
    </row>
    <row r="620" spans="2:4" x14ac:dyDescent="0.25">
      <c r="B620" s="9">
        <v>41085</v>
      </c>
      <c r="C620" s="3">
        <v>11.4175</v>
      </c>
      <c r="D620" s="101">
        <f t="shared" si="18"/>
        <v>2.7862801584443542E-2</v>
      </c>
    </row>
    <row r="621" spans="2:4" x14ac:dyDescent="0.25">
      <c r="B621" s="9">
        <v>41078</v>
      </c>
      <c r="C621" s="3">
        <v>11.108000000000001</v>
      </c>
      <c r="D621" s="101">
        <f t="shared" si="18"/>
        <v>1.744904969086325E-2</v>
      </c>
    </row>
    <row r="622" spans="2:4" x14ac:dyDescent="0.25">
      <c r="B622" s="9">
        <v>41071</v>
      </c>
      <c r="C622" s="3">
        <v>10.9175</v>
      </c>
      <c r="D622" s="101">
        <f t="shared" si="18"/>
        <v>-5.9502013914303209E-4</v>
      </c>
    </row>
    <row r="623" spans="2:4" x14ac:dyDescent="0.25">
      <c r="B623" s="9">
        <v>41064</v>
      </c>
      <c r="C623" s="3">
        <v>10.923999999999999</v>
      </c>
      <c r="D623" s="101">
        <f t="shared" si="18"/>
        <v>4.9274805494188723E-2</v>
      </c>
    </row>
    <row r="624" spans="2:4" x14ac:dyDescent="0.25">
      <c r="B624" s="9">
        <v>41057</v>
      </c>
      <c r="C624" s="3">
        <v>10.411</v>
      </c>
      <c r="D624" s="101">
        <f t="shared" si="18"/>
        <v>-2.1936211188877008E-2</v>
      </c>
    </row>
    <row r="625" spans="2:4" x14ac:dyDescent="0.25">
      <c r="B625" s="9">
        <v>41050</v>
      </c>
      <c r="C625" s="3">
        <v>10.644500000000001</v>
      </c>
      <c r="D625" s="101">
        <f t="shared" si="18"/>
        <v>-4.4891278933831824E-3</v>
      </c>
    </row>
    <row r="626" spans="2:4" x14ac:dyDescent="0.25">
      <c r="B626" s="9">
        <v>41043</v>
      </c>
      <c r="C626" s="3">
        <v>10.692500000000001</v>
      </c>
      <c r="D626" s="101">
        <f t="shared" si="18"/>
        <v>-6.0743148278285308E-2</v>
      </c>
    </row>
    <row r="627" spans="2:4" x14ac:dyDescent="0.25">
      <c r="B627" s="9">
        <v>41036</v>
      </c>
      <c r="C627" s="3">
        <v>11.384</v>
      </c>
      <c r="D627" s="101">
        <f t="shared" si="18"/>
        <v>1.6473949729898685E-2</v>
      </c>
    </row>
    <row r="628" spans="2:4" x14ac:dyDescent="0.25">
      <c r="B628" s="9">
        <v>41029</v>
      </c>
      <c r="C628" s="3">
        <v>11.1995</v>
      </c>
      <c r="D628" s="101">
        <f t="shared" si="18"/>
        <v>-1.2607449856733455E-2</v>
      </c>
    </row>
    <row r="629" spans="2:4" x14ac:dyDescent="0.25">
      <c r="B629" s="9">
        <v>41022</v>
      </c>
      <c r="C629" s="3">
        <v>11.342499999999999</v>
      </c>
      <c r="D629" s="101">
        <f t="shared" si="18"/>
        <v>0.194073060322139</v>
      </c>
    </row>
    <row r="630" spans="2:4" x14ac:dyDescent="0.25">
      <c r="B630" s="9">
        <v>41015</v>
      </c>
      <c r="C630" s="3">
        <v>9.4990000000000006</v>
      </c>
      <c r="D630" s="101">
        <f t="shared" si="18"/>
        <v>8.0653719622201248E-3</v>
      </c>
    </row>
    <row r="631" spans="2:4" x14ac:dyDescent="0.25">
      <c r="B631" s="9">
        <v>41008</v>
      </c>
      <c r="C631" s="3">
        <v>9.423</v>
      </c>
      <c r="D631" s="101">
        <f t="shared" si="18"/>
        <v>-3.0505684448788539E-2</v>
      </c>
    </row>
    <row r="632" spans="2:4" x14ac:dyDescent="0.25">
      <c r="B632" s="9">
        <v>41001</v>
      </c>
      <c r="C632" s="3">
        <v>9.7195</v>
      </c>
      <c r="D632" s="101">
        <f t="shared" si="18"/>
        <v>-4.0096785343933683E-2</v>
      </c>
    </row>
    <row r="633" spans="2:4" x14ac:dyDescent="0.25">
      <c r="B633" s="9">
        <v>40994</v>
      </c>
      <c r="C633" s="3">
        <v>10.125500000000001</v>
      </c>
      <c r="D633" s="101">
        <f t="shared" si="18"/>
        <v>3.8299835931091097E-2</v>
      </c>
    </row>
    <row r="634" spans="2:4" x14ac:dyDescent="0.25">
      <c r="B634" s="9">
        <v>40987</v>
      </c>
      <c r="C634" s="3">
        <v>9.7520000000000007</v>
      </c>
      <c r="D634" s="101">
        <f t="shared" si="18"/>
        <v>5.3985409348824787E-2</v>
      </c>
    </row>
    <row r="635" spans="2:4" x14ac:dyDescent="0.25">
      <c r="B635" s="9">
        <v>40980</v>
      </c>
      <c r="C635" s="3">
        <v>9.2524999999999995</v>
      </c>
      <c r="D635" s="101">
        <f t="shared" si="18"/>
        <v>3.9605034722223209E-3</v>
      </c>
    </row>
    <row r="636" spans="2:4" x14ac:dyDescent="0.25">
      <c r="B636" s="9">
        <v>40973</v>
      </c>
      <c r="C636" s="3">
        <v>9.2159999999999993</v>
      </c>
      <c r="D636" s="101">
        <f t="shared" si="18"/>
        <v>2.7997769102063419E-2</v>
      </c>
    </row>
    <row r="637" spans="2:4" x14ac:dyDescent="0.25">
      <c r="B637" s="9">
        <v>40966</v>
      </c>
      <c r="C637" s="3">
        <v>8.9649999999999999</v>
      </c>
      <c r="D637" s="101">
        <f t="shared" si="18"/>
        <v>9.4903142968782994E-4</v>
      </c>
    </row>
    <row r="638" spans="2:4" x14ac:dyDescent="0.25">
      <c r="B638" s="9">
        <v>40959</v>
      </c>
      <c r="C638" s="3">
        <v>8.9565000000000001</v>
      </c>
      <c r="D638" s="101">
        <f t="shared" si="18"/>
        <v>-1.8465753424657505E-2</v>
      </c>
    </row>
    <row r="639" spans="2:4" x14ac:dyDescent="0.25">
      <c r="B639" s="9">
        <v>40952</v>
      </c>
      <c r="C639" s="3">
        <v>9.125</v>
      </c>
      <c r="D639" s="101">
        <f t="shared" si="18"/>
        <v>-1.6384607092810088E-2</v>
      </c>
    </row>
    <row r="640" spans="2:4" x14ac:dyDescent="0.25">
      <c r="B640" s="9">
        <v>40945</v>
      </c>
      <c r="C640" s="3">
        <v>9.2769999999999992</v>
      </c>
      <c r="D640" s="101">
        <f t="shared" si="18"/>
        <v>-1.1402387041773321E-2</v>
      </c>
    </row>
    <row r="641" spans="2:4" x14ac:dyDescent="0.25">
      <c r="B641" s="9">
        <v>40938</v>
      </c>
      <c r="C641" s="3">
        <v>9.3840000000000003</v>
      </c>
      <c r="D641" s="101">
        <f t="shared" si="18"/>
        <v>-3.9361212059169648E-2</v>
      </c>
    </row>
    <row r="642" spans="2:4" x14ac:dyDescent="0.25">
      <c r="B642" s="9">
        <v>40931</v>
      </c>
      <c r="C642" s="3">
        <v>9.7684999999999995</v>
      </c>
      <c r="D642" s="101">
        <f t="shared" si="18"/>
        <v>2.3254595925208177E-2</v>
      </c>
    </row>
    <row r="643" spans="2:4" x14ac:dyDescent="0.25">
      <c r="B643" s="9">
        <v>40924</v>
      </c>
      <c r="C643" s="3">
        <v>9.5465</v>
      </c>
      <c r="D643" s="101">
        <f t="shared" ref="D643:D706" si="19">C643/C644-1</f>
        <v>7.0115457908306311E-2</v>
      </c>
    </row>
    <row r="644" spans="2:4" x14ac:dyDescent="0.25">
      <c r="B644" s="9">
        <v>40917</v>
      </c>
      <c r="C644" s="3">
        <v>8.9209999999999994</v>
      </c>
      <c r="D644" s="101">
        <f t="shared" si="19"/>
        <v>-2.294507420185099E-2</v>
      </c>
    </row>
    <row r="645" spans="2:4" x14ac:dyDescent="0.25">
      <c r="B645" s="9">
        <v>40910</v>
      </c>
      <c r="C645" s="3">
        <v>9.1304999999999996</v>
      </c>
      <c r="D645" s="101">
        <f t="shared" si="19"/>
        <v>5.4939341421143872E-2</v>
      </c>
    </row>
    <row r="646" spans="2:4" x14ac:dyDescent="0.25">
      <c r="B646" s="9">
        <v>40903</v>
      </c>
      <c r="C646" s="3">
        <v>8.6549999999999994</v>
      </c>
      <c r="D646" s="101">
        <f t="shared" si="19"/>
        <v>-2.3578519855595781E-2</v>
      </c>
    </row>
    <row r="647" spans="2:4" x14ac:dyDescent="0.25">
      <c r="B647" s="9">
        <v>40896</v>
      </c>
      <c r="C647" s="3">
        <v>8.8640000000000008</v>
      </c>
      <c r="D647" s="101">
        <f t="shared" si="19"/>
        <v>-2.1957409246386339E-2</v>
      </c>
    </row>
    <row r="648" spans="2:4" x14ac:dyDescent="0.25">
      <c r="B648" s="9">
        <v>40889</v>
      </c>
      <c r="C648" s="3">
        <v>9.0630000000000006</v>
      </c>
      <c r="D648" s="101">
        <f t="shared" si="19"/>
        <v>-6.0974977982697021E-2</v>
      </c>
    </row>
    <row r="649" spans="2:4" x14ac:dyDescent="0.25">
      <c r="B649" s="9">
        <v>40882</v>
      </c>
      <c r="C649" s="3">
        <v>9.6515000000000004</v>
      </c>
      <c r="D649" s="101">
        <f t="shared" si="19"/>
        <v>-1.530378003366839E-2</v>
      </c>
    </row>
    <row r="650" spans="2:4" x14ac:dyDescent="0.25">
      <c r="B650" s="9">
        <v>40875</v>
      </c>
      <c r="C650" s="3">
        <v>9.8015000000000008</v>
      </c>
      <c r="D650" s="101">
        <f t="shared" si="19"/>
        <v>7.4725877192982626E-2</v>
      </c>
    </row>
    <row r="651" spans="2:4" x14ac:dyDescent="0.25">
      <c r="B651" s="9">
        <v>40868</v>
      </c>
      <c r="C651" s="3">
        <v>9.1199999999999992</v>
      </c>
      <c r="D651" s="101">
        <f t="shared" si="19"/>
        <v>-7.4769199553616716E-2</v>
      </c>
    </row>
    <row r="652" spans="2:4" x14ac:dyDescent="0.25">
      <c r="B652" s="9">
        <v>40861</v>
      </c>
      <c r="C652" s="3">
        <v>9.8569999999999993</v>
      </c>
      <c r="D652" s="101">
        <f t="shared" si="19"/>
        <v>-9.3150558903353553E-2</v>
      </c>
    </row>
    <row r="653" spans="2:4" x14ac:dyDescent="0.25">
      <c r="B653" s="9">
        <v>40854</v>
      </c>
      <c r="C653" s="3">
        <v>10.8695</v>
      </c>
      <c r="D653" s="101">
        <f t="shared" si="19"/>
        <v>4.2036215816703137E-3</v>
      </c>
    </row>
    <row r="654" spans="2:4" x14ac:dyDescent="0.25">
      <c r="B654" s="9">
        <v>40847</v>
      </c>
      <c r="C654" s="3">
        <v>10.824</v>
      </c>
      <c r="D654" s="101">
        <f t="shared" si="19"/>
        <v>-3.8652678078409108E-3</v>
      </c>
    </row>
    <row r="655" spans="2:4" x14ac:dyDescent="0.25">
      <c r="B655" s="9">
        <v>40840</v>
      </c>
      <c r="C655" s="3">
        <v>10.866</v>
      </c>
      <c r="D655" s="101">
        <f t="shared" si="19"/>
        <v>-7.4367492972144178E-2</v>
      </c>
    </row>
    <row r="656" spans="2:4" x14ac:dyDescent="0.25">
      <c r="B656" s="9">
        <v>40833</v>
      </c>
      <c r="C656" s="3">
        <v>11.739000000000001</v>
      </c>
      <c r="D656" s="101">
        <f t="shared" si="19"/>
        <v>-4.8356369826922263E-2</v>
      </c>
    </row>
    <row r="657" spans="2:4" x14ac:dyDescent="0.25">
      <c r="B657" s="9">
        <v>40826</v>
      </c>
      <c r="C657" s="3">
        <v>12.3355</v>
      </c>
      <c r="D657" s="101">
        <f t="shared" si="19"/>
        <v>9.7757408561003789E-2</v>
      </c>
    </row>
    <row r="658" spans="2:4" x14ac:dyDescent="0.25">
      <c r="B658" s="9">
        <v>40819</v>
      </c>
      <c r="C658" s="3">
        <v>11.237</v>
      </c>
      <c r="D658" s="101">
        <f t="shared" si="19"/>
        <v>3.9356241039633755E-2</v>
      </c>
    </row>
    <row r="659" spans="2:4" x14ac:dyDescent="0.25">
      <c r="B659" s="9">
        <v>40812</v>
      </c>
      <c r="C659" s="3">
        <v>10.811500000000001</v>
      </c>
      <c r="D659" s="101">
        <f t="shared" si="19"/>
        <v>-3.3003890702562488E-2</v>
      </c>
    </row>
    <row r="660" spans="2:4" x14ac:dyDescent="0.25">
      <c r="B660" s="9">
        <v>40805</v>
      </c>
      <c r="C660" s="3">
        <v>11.1805</v>
      </c>
      <c r="D660" s="101">
        <f t="shared" si="19"/>
        <v>-6.5566234851650584E-2</v>
      </c>
    </row>
    <row r="661" spans="2:4" x14ac:dyDescent="0.25">
      <c r="B661" s="9">
        <v>40798</v>
      </c>
      <c r="C661" s="3">
        <v>11.965</v>
      </c>
      <c r="D661" s="101">
        <f t="shared" si="19"/>
        <v>0.13203084346468619</v>
      </c>
    </row>
    <row r="662" spans="2:4" x14ac:dyDescent="0.25">
      <c r="B662" s="9">
        <v>40791</v>
      </c>
      <c r="C662" s="3">
        <v>10.5695</v>
      </c>
      <c r="D662" s="101">
        <f t="shared" si="19"/>
        <v>6.6190476190475245E-3</v>
      </c>
    </row>
    <row r="663" spans="2:4" x14ac:dyDescent="0.25">
      <c r="B663" s="9">
        <v>40784</v>
      </c>
      <c r="C663" s="3">
        <v>10.5</v>
      </c>
      <c r="D663" s="101">
        <f t="shared" si="19"/>
        <v>5.3846539870527454E-2</v>
      </c>
    </row>
    <row r="664" spans="2:4" x14ac:dyDescent="0.25">
      <c r="B664" s="9">
        <v>40777</v>
      </c>
      <c r="C664" s="3">
        <v>9.9634999999999998</v>
      </c>
      <c r="D664" s="101">
        <f t="shared" si="19"/>
        <v>0.11367573911585538</v>
      </c>
    </row>
    <row r="665" spans="2:4" x14ac:dyDescent="0.25">
      <c r="B665" s="9">
        <v>40770</v>
      </c>
      <c r="C665" s="3">
        <v>8.9465000000000003</v>
      </c>
      <c r="D665" s="101">
        <f t="shared" si="19"/>
        <v>-0.11552150271873451</v>
      </c>
    </row>
    <row r="666" spans="2:4" x14ac:dyDescent="0.25">
      <c r="B666" s="9">
        <v>40763</v>
      </c>
      <c r="C666" s="3">
        <v>10.115</v>
      </c>
      <c r="D666" s="101">
        <f t="shared" si="19"/>
        <v>-1.9733596447951696E-3</v>
      </c>
    </row>
    <row r="667" spans="2:4" x14ac:dyDescent="0.25">
      <c r="B667" s="9">
        <v>40756</v>
      </c>
      <c r="C667" s="3">
        <v>10.135</v>
      </c>
      <c r="D667" s="101">
        <f t="shared" si="19"/>
        <v>-8.9070645335250775E-2</v>
      </c>
    </row>
    <row r="668" spans="2:4" x14ac:dyDescent="0.25">
      <c r="B668" s="9">
        <v>40749</v>
      </c>
      <c r="C668" s="3">
        <v>11.125999999999999</v>
      </c>
      <c r="D668" s="101">
        <f t="shared" si="19"/>
        <v>2.7711065952336966E-2</v>
      </c>
    </row>
    <row r="669" spans="2:4" x14ac:dyDescent="0.25">
      <c r="B669" s="9">
        <v>40742</v>
      </c>
      <c r="C669" s="3">
        <v>10.826000000000001</v>
      </c>
      <c r="D669" s="101">
        <f t="shared" si="19"/>
        <v>1.7146615305115853E-2</v>
      </c>
    </row>
    <row r="670" spans="2:4" x14ac:dyDescent="0.25">
      <c r="B670" s="9">
        <v>40735</v>
      </c>
      <c r="C670" s="3">
        <v>10.6435</v>
      </c>
      <c r="D670" s="101">
        <f t="shared" si="19"/>
        <v>-2.4784680227231126E-2</v>
      </c>
    </row>
    <row r="671" spans="2:4" x14ac:dyDescent="0.25">
      <c r="B671" s="9">
        <v>40728</v>
      </c>
      <c r="C671" s="3">
        <v>10.914</v>
      </c>
      <c r="D671" s="101">
        <f t="shared" si="19"/>
        <v>4.1959043391092576E-2</v>
      </c>
    </row>
    <row r="672" spans="2:4" x14ac:dyDescent="0.25">
      <c r="B672" s="9">
        <v>40721</v>
      </c>
      <c r="C672" s="3">
        <v>10.474500000000001</v>
      </c>
      <c r="D672" s="101">
        <f t="shared" si="19"/>
        <v>8.7977148792521609E-2</v>
      </c>
    </row>
    <row r="673" spans="2:4" x14ac:dyDescent="0.25">
      <c r="B673" s="9">
        <v>40714</v>
      </c>
      <c r="C673" s="3">
        <v>9.6274999999999995</v>
      </c>
      <c r="D673" s="101">
        <f t="shared" si="19"/>
        <v>3.3159843322423166E-2</v>
      </c>
    </row>
    <row r="674" spans="2:4" x14ac:dyDescent="0.25">
      <c r="B674" s="9">
        <v>40707</v>
      </c>
      <c r="C674" s="3">
        <v>9.3185000000000002</v>
      </c>
      <c r="D674" s="101">
        <f t="shared" si="19"/>
        <v>-8.5777086795679747E-4</v>
      </c>
    </row>
    <row r="675" spans="2:4" x14ac:dyDescent="0.25">
      <c r="B675" s="9">
        <v>40700</v>
      </c>
      <c r="C675" s="3">
        <v>9.3264999999999993</v>
      </c>
      <c r="D675" s="101">
        <f t="shared" si="19"/>
        <v>-9.5050977060323616E-3</v>
      </c>
    </row>
    <row r="676" spans="2:4" x14ac:dyDescent="0.25">
      <c r="B676" s="9">
        <v>40693</v>
      </c>
      <c r="C676" s="3">
        <v>9.4160000000000004</v>
      </c>
      <c r="D676" s="101">
        <f t="shared" si="19"/>
        <v>-2.992839849585327E-2</v>
      </c>
    </row>
    <row r="677" spans="2:4" x14ac:dyDescent="0.25">
      <c r="B677" s="9">
        <v>40686</v>
      </c>
      <c r="C677" s="3">
        <v>9.7065000000000001</v>
      </c>
      <c r="D677" s="101">
        <f t="shared" si="19"/>
        <v>-2.2753586710294371E-2</v>
      </c>
    </row>
    <row r="678" spans="2:4" x14ac:dyDescent="0.25">
      <c r="B678" s="9">
        <v>40679</v>
      </c>
      <c r="C678" s="3">
        <v>9.9324999999999992</v>
      </c>
      <c r="D678" s="101">
        <f t="shared" si="19"/>
        <v>-1.9302922590837324E-2</v>
      </c>
    </row>
    <row r="679" spans="2:4" x14ac:dyDescent="0.25">
      <c r="B679" s="9">
        <v>40672</v>
      </c>
      <c r="C679" s="3">
        <v>10.128</v>
      </c>
      <c r="D679" s="101">
        <f t="shared" si="19"/>
        <v>2.5101214574898778E-2</v>
      </c>
    </row>
    <row r="680" spans="2:4" x14ac:dyDescent="0.25">
      <c r="B680" s="9">
        <v>40665</v>
      </c>
      <c r="C680" s="3">
        <v>9.8800000000000008</v>
      </c>
      <c r="D680" s="101">
        <f t="shared" si="19"/>
        <v>9.1415147336704194E-3</v>
      </c>
    </row>
    <row r="681" spans="2:4" x14ac:dyDescent="0.25">
      <c r="B681" s="9">
        <v>40658</v>
      </c>
      <c r="C681" s="3">
        <v>9.7904999999999998</v>
      </c>
      <c r="D681" s="101">
        <f t="shared" si="19"/>
        <v>5.3364893216418352E-2</v>
      </c>
    </row>
    <row r="682" spans="2:4" x14ac:dyDescent="0.25">
      <c r="B682" s="9">
        <v>40651</v>
      </c>
      <c r="C682" s="3">
        <v>9.2944999999999993</v>
      </c>
      <c r="D682" s="101">
        <f t="shared" si="19"/>
        <v>3.2664851952669105E-2</v>
      </c>
    </row>
    <row r="683" spans="2:4" x14ac:dyDescent="0.25">
      <c r="B683" s="9">
        <v>40644</v>
      </c>
      <c r="C683" s="3">
        <v>9.0005000000000006</v>
      </c>
      <c r="D683" s="101">
        <f t="shared" si="19"/>
        <v>-2.5445292620865034E-2</v>
      </c>
    </row>
    <row r="684" spans="2:4" x14ac:dyDescent="0.25">
      <c r="B684" s="9">
        <v>40637</v>
      </c>
      <c r="C684" s="3">
        <v>9.2355</v>
      </c>
      <c r="D684" s="101">
        <f t="shared" si="19"/>
        <v>2.5426081163604008E-2</v>
      </c>
    </row>
    <row r="685" spans="2:4" x14ac:dyDescent="0.25">
      <c r="B685" s="9">
        <v>40630</v>
      </c>
      <c r="C685" s="3">
        <v>9.0065000000000008</v>
      </c>
      <c r="D685" s="101">
        <f t="shared" si="19"/>
        <v>5.3515030997777657E-2</v>
      </c>
    </row>
    <row r="686" spans="2:4" x14ac:dyDescent="0.25">
      <c r="B686" s="9">
        <v>40623</v>
      </c>
      <c r="C686" s="3">
        <v>8.5489999999999995</v>
      </c>
      <c r="D686" s="101">
        <f t="shared" si="19"/>
        <v>5.660610554937584E-2</v>
      </c>
    </row>
    <row r="687" spans="2:4" x14ac:dyDescent="0.25">
      <c r="B687" s="9">
        <v>40616</v>
      </c>
      <c r="C687" s="3">
        <v>8.0909999999999993</v>
      </c>
      <c r="D687" s="101">
        <f t="shared" si="19"/>
        <v>-3.7186886416374132E-2</v>
      </c>
    </row>
    <row r="688" spans="2:4" x14ac:dyDescent="0.25">
      <c r="B688" s="9">
        <v>40609</v>
      </c>
      <c r="C688" s="3">
        <v>8.4034999999999993</v>
      </c>
      <c r="D688" s="101">
        <f t="shared" si="19"/>
        <v>-2.097046659288182E-2</v>
      </c>
    </row>
    <row r="689" spans="2:4" x14ac:dyDescent="0.25">
      <c r="B689" s="9">
        <v>40602</v>
      </c>
      <c r="C689" s="3">
        <v>8.5835000000000008</v>
      </c>
      <c r="D689" s="101">
        <f t="shared" si="19"/>
        <v>-3.1426314601670002E-2</v>
      </c>
    </row>
    <row r="690" spans="2:4" x14ac:dyDescent="0.25">
      <c r="B690" s="9">
        <v>40595</v>
      </c>
      <c r="C690" s="3">
        <v>8.8620000000000001</v>
      </c>
      <c r="D690" s="101">
        <f t="shared" si="19"/>
        <v>-4.9651474530830964E-2</v>
      </c>
    </row>
    <row r="691" spans="2:4" x14ac:dyDescent="0.25">
      <c r="B691" s="9">
        <v>40588</v>
      </c>
      <c r="C691" s="3">
        <v>9.3249999999999993</v>
      </c>
      <c r="D691" s="101">
        <f t="shared" si="19"/>
        <v>-1.4531043593130843E-2</v>
      </c>
    </row>
    <row r="692" spans="2:4" x14ac:dyDescent="0.25">
      <c r="B692" s="9">
        <v>40581</v>
      </c>
      <c r="C692" s="3">
        <v>9.4625000000000004</v>
      </c>
      <c r="D692" s="101">
        <f t="shared" si="19"/>
        <v>7.5711930881600775E-2</v>
      </c>
    </row>
    <row r="693" spans="2:4" x14ac:dyDescent="0.25">
      <c r="B693" s="9">
        <v>40574</v>
      </c>
      <c r="C693" s="3">
        <v>8.7965</v>
      </c>
      <c r="D693" s="101">
        <f t="shared" si="19"/>
        <v>2.7988781114876682E-2</v>
      </c>
    </row>
    <row r="694" spans="2:4" x14ac:dyDescent="0.25">
      <c r="B694" s="9">
        <v>40567</v>
      </c>
      <c r="C694" s="3">
        <v>8.5570000000000004</v>
      </c>
      <c r="D694" s="101">
        <f t="shared" si="19"/>
        <v>-3.5396234922782099E-2</v>
      </c>
    </row>
    <row r="695" spans="2:4" x14ac:dyDescent="0.25">
      <c r="B695" s="9">
        <v>40560</v>
      </c>
      <c r="C695" s="3">
        <v>8.8710000000000004</v>
      </c>
      <c r="D695" s="101">
        <f t="shared" si="19"/>
        <v>-6.0026490066225069E-2</v>
      </c>
    </row>
    <row r="696" spans="2:4" x14ac:dyDescent="0.25">
      <c r="B696" s="9">
        <v>40553</v>
      </c>
      <c r="C696" s="3">
        <v>9.4375</v>
      </c>
      <c r="D696" s="101">
        <f t="shared" si="19"/>
        <v>1.7575071432422318E-2</v>
      </c>
    </row>
    <row r="697" spans="2:4" x14ac:dyDescent="0.25">
      <c r="B697" s="9">
        <v>40546</v>
      </c>
      <c r="C697" s="3">
        <v>9.2744999999999997</v>
      </c>
      <c r="D697" s="101">
        <f t="shared" si="19"/>
        <v>3.0499999999999972E-2</v>
      </c>
    </row>
    <row r="698" spans="2:4" x14ac:dyDescent="0.25">
      <c r="B698" s="9">
        <v>40539</v>
      </c>
      <c r="C698" s="3">
        <v>9</v>
      </c>
      <c r="D698" s="101">
        <f t="shared" si="19"/>
        <v>-1.4184785585190873E-2</v>
      </c>
    </row>
    <row r="699" spans="2:4" x14ac:dyDescent="0.25">
      <c r="B699" s="9">
        <v>40532</v>
      </c>
      <c r="C699" s="3">
        <v>9.1295000000000002</v>
      </c>
      <c r="D699" s="101">
        <f t="shared" si="19"/>
        <v>2.8212636558170967E-2</v>
      </c>
    </row>
    <row r="700" spans="2:4" x14ac:dyDescent="0.25">
      <c r="B700" s="9">
        <v>40525</v>
      </c>
      <c r="C700" s="3">
        <v>8.8789999999999996</v>
      </c>
      <c r="D700" s="101">
        <f t="shared" si="19"/>
        <v>1.1160460084272739E-2</v>
      </c>
    </row>
    <row r="701" spans="2:4" x14ac:dyDescent="0.25">
      <c r="B701" s="9">
        <v>40518</v>
      </c>
      <c r="C701" s="3">
        <v>8.7810000000000006</v>
      </c>
      <c r="D701" s="101">
        <f t="shared" si="19"/>
        <v>-3.4153005464476749E-4</v>
      </c>
    </row>
    <row r="702" spans="2:4" x14ac:dyDescent="0.25">
      <c r="B702" s="9">
        <v>40511</v>
      </c>
      <c r="C702" s="3">
        <v>8.7840000000000007</v>
      </c>
      <c r="D702" s="101">
        <f t="shared" si="19"/>
        <v>-8.5778781038373664E-3</v>
      </c>
    </row>
    <row r="703" spans="2:4" x14ac:dyDescent="0.25">
      <c r="B703" s="9">
        <v>40504</v>
      </c>
      <c r="C703" s="3">
        <v>8.86</v>
      </c>
      <c r="D703" s="101">
        <f t="shared" si="19"/>
        <v>7.511224365975E-2</v>
      </c>
    </row>
    <row r="704" spans="2:4" x14ac:dyDescent="0.25">
      <c r="B704" s="9">
        <v>40497</v>
      </c>
      <c r="C704" s="3">
        <v>8.2409999999999997</v>
      </c>
      <c r="D704" s="101">
        <f t="shared" si="19"/>
        <v>-5.190729116368975E-3</v>
      </c>
    </row>
    <row r="705" spans="2:4" x14ac:dyDescent="0.25">
      <c r="B705" s="9">
        <v>40490</v>
      </c>
      <c r="C705" s="3">
        <v>8.2840000000000007</v>
      </c>
      <c r="D705" s="101">
        <f t="shared" si="19"/>
        <v>-2.9806172044270052E-2</v>
      </c>
    </row>
    <row r="706" spans="2:4" x14ac:dyDescent="0.25">
      <c r="B706" s="9">
        <v>40483</v>
      </c>
      <c r="C706" s="3">
        <v>8.5385000000000009</v>
      </c>
      <c r="D706" s="101">
        <f t="shared" si="19"/>
        <v>3.3529020153725275E-2</v>
      </c>
    </row>
    <row r="707" spans="2:4" x14ac:dyDescent="0.25">
      <c r="B707" s="9">
        <v>40476</v>
      </c>
      <c r="C707" s="3">
        <v>8.2614999999999998</v>
      </c>
      <c r="D707" s="101">
        <f t="shared" ref="D707:D770" si="20">C707/C708-1</f>
        <v>-2.3059185242121472E-2</v>
      </c>
    </row>
    <row r="708" spans="2:4" x14ac:dyDescent="0.25">
      <c r="B708" s="9">
        <v>40469</v>
      </c>
      <c r="C708" s="3">
        <v>8.4565000000000001</v>
      </c>
      <c r="D708" s="101">
        <f t="shared" si="20"/>
        <v>2.7271622934888384E-2</v>
      </c>
    </row>
    <row r="709" spans="2:4" x14ac:dyDescent="0.25">
      <c r="B709" s="9">
        <v>40462</v>
      </c>
      <c r="C709" s="3">
        <v>8.2319999999999993</v>
      </c>
      <c r="D709" s="101">
        <f t="shared" si="20"/>
        <v>5.8437801350048169E-2</v>
      </c>
    </row>
    <row r="710" spans="2:4" x14ac:dyDescent="0.25">
      <c r="B710" s="9">
        <v>40455</v>
      </c>
      <c r="C710" s="3">
        <v>7.7774999999999999</v>
      </c>
      <c r="D710" s="101">
        <f t="shared" si="20"/>
        <v>1.1970593975668464E-2</v>
      </c>
    </row>
    <row r="711" spans="2:4" x14ac:dyDescent="0.25">
      <c r="B711" s="9">
        <v>40448</v>
      </c>
      <c r="C711" s="3">
        <v>7.6855000000000002</v>
      </c>
      <c r="D711" s="101">
        <f t="shared" si="20"/>
        <v>-4.3675729484228154E-2</v>
      </c>
    </row>
    <row r="712" spans="2:4" x14ac:dyDescent="0.25">
      <c r="B712" s="9">
        <v>40441</v>
      </c>
      <c r="C712" s="3">
        <v>8.0365000000000002</v>
      </c>
      <c r="D712" s="101">
        <f t="shared" si="20"/>
        <v>8.36704422869472E-2</v>
      </c>
    </row>
    <row r="713" spans="2:4" x14ac:dyDescent="0.25">
      <c r="B713" s="9">
        <v>40434</v>
      </c>
      <c r="C713" s="3">
        <v>7.4160000000000004</v>
      </c>
      <c r="D713" s="101">
        <f t="shared" si="20"/>
        <v>4.1280539174389341E-2</v>
      </c>
    </row>
    <row r="714" spans="2:4" x14ac:dyDescent="0.25">
      <c r="B714" s="9">
        <v>40427</v>
      </c>
      <c r="C714" s="3">
        <v>7.1219999999999999</v>
      </c>
      <c r="D714" s="101">
        <f t="shared" si="20"/>
        <v>2.6298724691980802E-2</v>
      </c>
    </row>
    <row r="715" spans="2:4" x14ac:dyDescent="0.25">
      <c r="B715" s="9">
        <v>40420</v>
      </c>
      <c r="C715" s="3">
        <v>6.9394999999999998</v>
      </c>
      <c r="D715" s="101">
        <f t="shared" si="20"/>
        <v>9.5941250789639998E-2</v>
      </c>
    </row>
    <row r="716" spans="2:4" x14ac:dyDescent="0.25">
      <c r="B716" s="9">
        <v>40413</v>
      </c>
      <c r="C716" s="3">
        <v>6.3319999999999999</v>
      </c>
      <c r="D716" s="101">
        <f t="shared" si="20"/>
        <v>-8.7664370695053062E-3</v>
      </c>
    </row>
    <row r="717" spans="2:4" x14ac:dyDescent="0.25">
      <c r="B717" s="9">
        <v>40406</v>
      </c>
      <c r="C717" s="3">
        <v>6.3879999999999999</v>
      </c>
      <c r="D717" s="101">
        <f t="shared" si="20"/>
        <v>2.462106022936883E-2</v>
      </c>
    </row>
    <row r="718" spans="2:4" x14ac:dyDescent="0.25">
      <c r="B718" s="9">
        <v>40399</v>
      </c>
      <c r="C718" s="3">
        <v>6.2344999999999997</v>
      </c>
      <c r="D718" s="101">
        <f t="shared" si="20"/>
        <v>-2.8288653366583594E-2</v>
      </c>
    </row>
    <row r="719" spans="2:4" x14ac:dyDescent="0.25">
      <c r="B719" s="9">
        <v>40392</v>
      </c>
      <c r="C719" s="3">
        <v>6.4160000000000004</v>
      </c>
      <c r="D719" s="101">
        <f t="shared" si="20"/>
        <v>8.8472304690813575E-2</v>
      </c>
    </row>
    <row r="720" spans="2:4" x14ac:dyDescent="0.25">
      <c r="B720" s="9">
        <v>40385</v>
      </c>
      <c r="C720" s="3">
        <v>5.8944999999999999</v>
      </c>
      <c r="D720" s="101">
        <f t="shared" si="20"/>
        <v>-8.2443004963406175E-3</v>
      </c>
    </row>
    <row r="721" spans="2:4" x14ac:dyDescent="0.25">
      <c r="B721" s="9">
        <v>40378</v>
      </c>
      <c r="C721" s="3">
        <v>5.9435000000000002</v>
      </c>
      <c r="D721" s="101">
        <f t="shared" si="20"/>
        <v>3.2070216895940806E-3</v>
      </c>
    </row>
    <row r="722" spans="2:4" x14ac:dyDescent="0.25">
      <c r="B722" s="9">
        <v>40371</v>
      </c>
      <c r="C722" s="3">
        <v>5.9245000000000001</v>
      </c>
      <c r="D722" s="101">
        <f t="shared" si="20"/>
        <v>1.0489510489510412E-2</v>
      </c>
    </row>
    <row r="723" spans="2:4" x14ac:dyDescent="0.25">
      <c r="B723" s="9">
        <v>40364</v>
      </c>
      <c r="C723" s="3">
        <v>5.8630000000000004</v>
      </c>
      <c r="D723" s="101">
        <f t="shared" si="20"/>
        <v>7.4399853399303773E-2</v>
      </c>
    </row>
    <row r="724" spans="2:4" x14ac:dyDescent="0.25">
      <c r="B724" s="9">
        <v>40357</v>
      </c>
      <c r="C724" s="3">
        <v>5.4569999999999999</v>
      </c>
      <c r="D724" s="101">
        <f t="shared" si="20"/>
        <v>-9.801652892561985E-2</v>
      </c>
    </row>
    <row r="725" spans="2:4" x14ac:dyDescent="0.25">
      <c r="B725" s="9">
        <v>40350</v>
      </c>
      <c r="C725" s="3">
        <v>6.05</v>
      </c>
      <c r="D725" s="101">
        <f t="shared" si="20"/>
        <v>-3.8385122784709624E-2</v>
      </c>
    </row>
    <row r="726" spans="2:4" x14ac:dyDescent="0.25">
      <c r="B726" s="9">
        <v>40343</v>
      </c>
      <c r="C726" s="3">
        <v>6.2915000000000001</v>
      </c>
      <c r="D726" s="101">
        <f t="shared" si="20"/>
        <v>2.2758676745509243E-2</v>
      </c>
    </row>
    <row r="727" spans="2:4" x14ac:dyDescent="0.25">
      <c r="B727" s="9">
        <v>40336</v>
      </c>
      <c r="C727" s="3">
        <v>6.1515000000000004</v>
      </c>
      <c r="D727" s="101">
        <f t="shared" si="20"/>
        <v>2.1177812169097532E-3</v>
      </c>
    </row>
    <row r="728" spans="2:4" x14ac:dyDescent="0.25">
      <c r="B728" s="9">
        <v>40329</v>
      </c>
      <c r="C728" s="3">
        <v>6.1384999999999996</v>
      </c>
      <c r="D728" s="101">
        <f t="shared" si="20"/>
        <v>-2.1441096763908818E-2</v>
      </c>
    </row>
    <row r="729" spans="2:4" x14ac:dyDescent="0.25">
      <c r="B729" s="9">
        <v>40322</v>
      </c>
      <c r="C729" s="3">
        <v>6.2729999999999997</v>
      </c>
      <c r="D729" s="101">
        <f t="shared" si="20"/>
        <v>2.2327249022164208E-2</v>
      </c>
    </row>
    <row r="730" spans="2:4" x14ac:dyDescent="0.25">
      <c r="B730" s="9">
        <v>40315</v>
      </c>
      <c r="C730" s="3">
        <v>6.1360000000000001</v>
      </c>
      <c r="D730" s="101">
        <f t="shared" si="20"/>
        <v>-4.52034544464327E-2</v>
      </c>
    </row>
    <row r="731" spans="2:4" x14ac:dyDescent="0.25">
      <c r="B731" s="9">
        <v>40308</v>
      </c>
      <c r="C731" s="3">
        <v>6.4264999999999999</v>
      </c>
      <c r="D731" s="101">
        <f t="shared" si="20"/>
        <v>2.8404544727156367E-2</v>
      </c>
    </row>
    <row r="732" spans="2:4" x14ac:dyDescent="0.25">
      <c r="B732" s="9">
        <v>40301</v>
      </c>
      <c r="C732" s="3">
        <v>6.2489999999999997</v>
      </c>
      <c r="D732" s="101">
        <f t="shared" si="20"/>
        <v>-8.8402625820569014E-2</v>
      </c>
    </row>
    <row r="733" spans="2:4" x14ac:dyDescent="0.25">
      <c r="B733" s="9">
        <v>40294</v>
      </c>
      <c r="C733" s="3">
        <v>6.8550000000000004</v>
      </c>
      <c r="D733" s="101">
        <f t="shared" si="20"/>
        <v>-4.5464039546055712E-2</v>
      </c>
    </row>
    <row r="734" spans="2:4" x14ac:dyDescent="0.25">
      <c r="B734" s="9">
        <v>40287</v>
      </c>
      <c r="C734" s="3">
        <v>7.1814999999999998</v>
      </c>
      <c r="D734" s="101">
        <f t="shared" si="20"/>
        <v>1.0269395793768066E-2</v>
      </c>
    </row>
    <row r="735" spans="2:4" x14ac:dyDescent="0.25">
      <c r="B735" s="9">
        <v>40280</v>
      </c>
      <c r="C735" s="3">
        <v>7.1085000000000003</v>
      </c>
      <c r="D735" s="101">
        <f t="shared" si="20"/>
        <v>1.5064972154790857E-2</v>
      </c>
    </row>
    <row r="736" spans="2:4" x14ac:dyDescent="0.25">
      <c r="B736" s="9">
        <v>40273</v>
      </c>
      <c r="C736" s="3">
        <v>7.0030000000000001</v>
      </c>
      <c r="D736" s="101">
        <f t="shared" si="20"/>
        <v>6.2590091798801373E-2</v>
      </c>
    </row>
    <row r="737" spans="2:4" x14ac:dyDescent="0.25">
      <c r="B737" s="9">
        <v>40266</v>
      </c>
      <c r="C737" s="3">
        <v>6.5904999999999996</v>
      </c>
      <c r="D737" s="101">
        <f t="shared" si="20"/>
        <v>-2.406337923885693E-2</v>
      </c>
    </row>
    <row r="738" spans="2:4" x14ac:dyDescent="0.25">
      <c r="B738" s="9">
        <v>40259</v>
      </c>
      <c r="C738" s="3">
        <v>6.7530000000000001</v>
      </c>
      <c r="D738" s="101">
        <f t="shared" si="20"/>
        <v>3.6133486766398271E-2</v>
      </c>
    </row>
    <row r="739" spans="2:4" x14ac:dyDescent="0.25">
      <c r="B739" s="9">
        <v>40252</v>
      </c>
      <c r="C739" s="3">
        <v>6.5175000000000001</v>
      </c>
      <c r="D739" s="101">
        <f t="shared" si="20"/>
        <v>-1.1151570323167936E-2</v>
      </c>
    </row>
    <row r="740" spans="2:4" x14ac:dyDescent="0.25">
      <c r="B740" s="9">
        <v>40245</v>
      </c>
      <c r="C740" s="3">
        <v>6.5910000000000002</v>
      </c>
      <c r="D740" s="101">
        <f t="shared" si="20"/>
        <v>2.2573888759599647E-2</v>
      </c>
    </row>
    <row r="741" spans="2:4" x14ac:dyDescent="0.25">
      <c r="B741" s="9">
        <v>40238</v>
      </c>
      <c r="C741" s="3">
        <v>6.4455</v>
      </c>
      <c r="D741" s="101">
        <f t="shared" si="20"/>
        <v>8.8766891891891797E-2</v>
      </c>
    </row>
    <row r="742" spans="2:4" x14ac:dyDescent="0.25">
      <c r="B742" s="9">
        <v>40231</v>
      </c>
      <c r="C742" s="3">
        <v>5.92</v>
      </c>
      <c r="D742" s="101">
        <f t="shared" si="20"/>
        <v>7.4880871341047595E-3</v>
      </c>
    </row>
    <row r="743" spans="2:4" x14ac:dyDescent="0.25">
      <c r="B743" s="9">
        <v>40224</v>
      </c>
      <c r="C743" s="3">
        <v>5.8760000000000003</v>
      </c>
      <c r="D743" s="101">
        <f t="shared" si="20"/>
        <v>-1.7884004679926346E-2</v>
      </c>
    </row>
    <row r="744" spans="2:4" x14ac:dyDescent="0.25">
      <c r="B744" s="9">
        <v>40217</v>
      </c>
      <c r="C744" s="3">
        <v>5.9829999999999997</v>
      </c>
      <c r="D744" s="101">
        <f t="shared" si="20"/>
        <v>1.9337251895391372E-2</v>
      </c>
    </row>
    <row r="745" spans="2:4" x14ac:dyDescent="0.25">
      <c r="B745" s="9">
        <v>40210</v>
      </c>
      <c r="C745" s="3">
        <v>5.8695000000000004</v>
      </c>
      <c r="D745" s="101">
        <f t="shared" si="20"/>
        <v>-6.3950243202296475E-2</v>
      </c>
    </row>
    <row r="746" spans="2:4" x14ac:dyDescent="0.25">
      <c r="B746" s="9">
        <v>40203</v>
      </c>
      <c r="C746" s="3">
        <v>6.2705000000000002</v>
      </c>
      <c r="D746" s="101">
        <f t="shared" si="20"/>
        <v>3.2776084987235388E-2</v>
      </c>
    </row>
    <row r="747" spans="2:4" x14ac:dyDescent="0.25">
      <c r="B747" s="9">
        <v>40196</v>
      </c>
      <c r="C747" s="3">
        <v>6.0715000000000003</v>
      </c>
      <c r="D747" s="101">
        <f t="shared" si="20"/>
        <v>-4.491112159823818E-2</v>
      </c>
    </row>
    <row r="748" spans="2:4" x14ac:dyDescent="0.25">
      <c r="B748" s="9">
        <v>40189</v>
      </c>
      <c r="C748" s="3">
        <v>6.3570000000000002</v>
      </c>
      <c r="D748" s="101">
        <f t="shared" si="20"/>
        <v>-4.7783103654883141E-2</v>
      </c>
    </row>
    <row r="749" spans="2:4" x14ac:dyDescent="0.25">
      <c r="B749" s="9">
        <v>40182</v>
      </c>
      <c r="C749" s="3">
        <v>6.6760000000000002</v>
      </c>
      <c r="D749" s="101">
        <f t="shared" si="20"/>
        <v>-7.4338388343740958E-3</v>
      </c>
    </row>
    <row r="750" spans="2:4" x14ac:dyDescent="0.25">
      <c r="B750" s="9">
        <v>40175</v>
      </c>
      <c r="C750" s="3">
        <v>6.726</v>
      </c>
      <c r="D750" s="101">
        <f t="shared" si="20"/>
        <v>-2.8526034520112598E-2</v>
      </c>
    </row>
    <row r="751" spans="2:4" x14ac:dyDescent="0.25">
      <c r="B751" s="9">
        <v>40168</v>
      </c>
      <c r="C751" s="3">
        <v>6.9234999999999998</v>
      </c>
      <c r="D751" s="101">
        <f t="shared" si="20"/>
        <v>7.7755292652552876E-2</v>
      </c>
    </row>
    <row r="752" spans="2:4" x14ac:dyDescent="0.25">
      <c r="B752" s="9">
        <v>40161</v>
      </c>
      <c r="C752" s="3">
        <v>6.4240000000000004</v>
      </c>
      <c r="D752" s="101">
        <f t="shared" si="20"/>
        <v>-4.2266120014908592E-2</v>
      </c>
    </row>
    <row r="753" spans="2:4" x14ac:dyDescent="0.25">
      <c r="B753" s="9">
        <v>40154</v>
      </c>
      <c r="C753" s="3">
        <v>6.7074999999999996</v>
      </c>
      <c r="D753" s="101">
        <f t="shared" si="20"/>
        <v>-2.4930949265881686E-2</v>
      </c>
    </row>
    <row r="754" spans="2:4" x14ac:dyDescent="0.25">
      <c r="B754" s="9">
        <v>40147</v>
      </c>
      <c r="C754" s="3">
        <v>6.8789999999999996</v>
      </c>
      <c r="D754" s="101">
        <f t="shared" si="20"/>
        <v>4.432974039775317E-2</v>
      </c>
    </row>
    <row r="755" spans="2:4" x14ac:dyDescent="0.25">
      <c r="B755" s="9">
        <v>40140</v>
      </c>
      <c r="C755" s="3">
        <v>6.5869999999999997</v>
      </c>
      <c r="D755" s="101">
        <f t="shared" si="20"/>
        <v>1.6041955884621428E-2</v>
      </c>
    </row>
    <row r="756" spans="2:4" x14ac:dyDescent="0.25">
      <c r="B756" s="9">
        <v>40133</v>
      </c>
      <c r="C756" s="3">
        <v>6.4829999999999997</v>
      </c>
      <c r="D756" s="101">
        <f t="shared" si="20"/>
        <v>-2.4892832969842904E-2</v>
      </c>
    </row>
    <row r="757" spans="2:4" x14ac:dyDescent="0.25">
      <c r="B757" s="9">
        <v>40126</v>
      </c>
      <c r="C757" s="3">
        <v>6.6485000000000003</v>
      </c>
      <c r="D757" s="101">
        <f t="shared" si="20"/>
        <v>5.3645007923930343E-2</v>
      </c>
    </row>
    <row r="758" spans="2:4" x14ac:dyDescent="0.25">
      <c r="B758" s="9">
        <v>40119</v>
      </c>
      <c r="C758" s="3">
        <v>6.31</v>
      </c>
      <c r="D758" s="101">
        <f t="shared" si="20"/>
        <v>6.220015150239866E-2</v>
      </c>
    </row>
    <row r="759" spans="2:4" x14ac:dyDescent="0.25">
      <c r="B759" s="9">
        <v>40112</v>
      </c>
      <c r="C759" s="3">
        <v>5.9405000000000001</v>
      </c>
      <c r="D759" s="101">
        <f t="shared" si="20"/>
        <v>2.700649843868641E-3</v>
      </c>
    </row>
    <row r="760" spans="2:4" x14ac:dyDescent="0.25">
      <c r="B760" s="9">
        <v>40105</v>
      </c>
      <c r="C760" s="3">
        <v>5.9245000000000001</v>
      </c>
      <c r="D760" s="101">
        <f t="shared" si="20"/>
        <v>0.24307595467897603</v>
      </c>
    </row>
    <row r="761" spans="2:4" x14ac:dyDescent="0.25">
      <c r="B761" s="9">
        <v>40098</v>
      </c>
      <c r="C761" s="3">
        <v>4.766</v>
      </c>
      <c r="D761" s="101">
        <f t="shared" si="20"/>
        <v>-4.0748093198202939E-3</v>
      </c>
    </row>
    <row r="762" spans="2:4" x14ac:dyDescent="0.25">
      <c r="B762" s="9">
        <v>40091</v>
      </c>
      <c r="C762" s="3">
        <v>4.7854999999999999</v>
      </c>
      <c r="D762" s="101">
        <f t="shared" si="20"/>
        <v>6.5219810795770661E-2</v>
      </c>
    </row>
    <row r="763" spans="2:4" x14ac:dyDescent="0.25">
      <c r="B763" s="9">
        <v>40084</v>
      </c>
      <c r="C763" s="3">
        <v>4.4924999999999997</v>
      </c>
      <c r="D763" s="101">
        <f t="shared" si="20"/>
        <v>-7.4016791869200294E-3</v>
      </c>
    </row>
    <row r="764" spans="2:4" x14ac:dyDescent="0.25">
      <c r="B764" s="9">
        <v>40077</v>
      </c>
      <c r="C764" s="3">
        <v>4.5259999999999998</v>
      </c>
      <c r="D764" s="101">
        <f t="shared" si="20"/>
        <v>2.6583961010189228E-3</v>
      </c>
    </row>
    <row r="765" spans="2:4" x14ac:dyDescent="0.25">
      <c r="B765" s="9">
        <v>40070</v>
      </c>
      <c r="C765" s="3">
        <v>4.5140000000000002</v>
      </c>
      <c r="D765" s="101">
        <f t="shared" si="20"/>
        <v>6.7896853560444725E-2</v>
      </c>
    </row>
    <row r="766" spans="2:4" x14ac:dyDescent="0.25">
      <c r="B766" s="9">
        <v>40063</v>
      </c>
      <c r="C766" s="3">
        <v>4.2270000000000003</v>
      </c>
      <c r="D766" s="101">
        <f t="shared" si="20"/>
        <v>7.1890452643590841E-2</v>
      </c>
    </row>
    <row r="767" spans="2:4" x14ac:dyDescent="0.25">
      <c r="B767" s="9">
        <v>40056</v>
      </c>
      <c r="C767" s="3">
        <v>3.9434999999999998</v>
      </c>
      <c r="D767" s="101">
        <f t="shared" si="20"/>
        <v>-4.7003383276945421E-2</v>
      </c>
    </row>
    <row r="768" spans="2:4" x14ac:dyDescent="0.25">
      <c r="B768" s="9">
        <v>40049</v>
      </c>
      <c r="C768" s="3">
        <v>4.1379999999999999</v>
      </c>
      <c r="D768" s="101">
        <f t="shared" si="20"/>
        <v>-2.6352941176470579E-2</v>
      </c>
    </row>
    <row r="769" spans="2:4" x14ac:dyDescent="0.25">
      <c r="B769" s="9">
        <v>40042</v>
      </c>
      <c r="C769" s="3">
        <v>4.25</v>
      </c>
      <c r="D769" s="101">
        <f t="shared" si="20"/>
        <v>1.6989710457047114E-2</v>
      </c>
    </row>
    <row r="770" spans="2:4" x14ac:dyDescent="0.25">
      <c r="B770" s="9">
        <v>40035</v>
      </c>
      <c r="C770" s="3">
        <v>4.1790000000000003</v>
      </c>
      <c r="D770" s="101">
        <f t="shared" si="20"/>
        <v>-2.0393811533051975E-2</v>
      </c>
    </row>
    <row r="771" spans="2:4" x14ac:dyDescent="0.25">
      <c r="B771" s="9">
        <v>40028</v>
      </c>
      <c r="C771" s="3">
        <v>4.266</v>
      </c>
      <c r="D771" s="101">
        <f t="shared" ref="D771:D834" si="21">C771/C772-1</f>
        <v>-5.1305970149254643E-3</v>
      </c>
    </row>
    <row r="772" spans="2:4" x14ac:dyDescent="0.25">
      <c r="B772" s="9">
        <v>40021</v>
      </c>
      <c r="C772" s="3">
        <v>4.2880000000000003</v>
      </c>
      <c r="D772" s="101">
        <f t="shared" si="21"/>
        <v>-8.4402821135389772E-3</v>
      </c>
    </row>
    <row r="773" spans="2:4" x14ac:dyDescent="0.25">
      <c r="B773" s="9">
        <v>40014</v>
      </c>
      <c r="C773" s="3">
        <v>4.3244999999999996</v>
      </c>
      <c r="D773" s="101">
        <f t="shared" si="21"/>
        <v>7.4548631333719584E-3</v>
      </c>
    </row>
    <row r="774" spans="2:4" x14ac:dyDescent="0.25">
      <c r="B774" s="9">
        <v>40007</v>
      </c>
      <c r="C774" s="3">
        <v>4.2925000000000004</v>
      </c>
      <c r="D774" s="101">
        <f t="shared" si="21"/>
        <v>0.10588689939456408</v>
      </c>
    </row>
    <row r="775" spans="2:4" x14ac:dyDescent="0.25">
      <c r="B775" s="9">
        <v>40000</v>
      </c>
      <c r="C775" s="3">
        <v>3.8815</v>
      </c>
      <c r="D775" s="101">
        <f t="shared" si="21"/>
        <v>-2.1306101865859906E-2</v>
      </c>
    </row>
    <row r="776" spans="2:4" x14ac:dyDescent="0.25">
      <c r="B776" s="9">
        <v>39993</v>
      </c>
      <c r="C776" s="3">
        <v>3.9660000000000002</v>
      </c>
      <c r="D776" s="101">
        <f t="shared" si="21"/>
        <v>-5.436337625178822E-2</v>
      </c>
    </row>
    <row r="777" spans="2:4" x14ac:dyDescent="0.25">
      <c r="B777" s="9">
        <v>39986</v>
      </c>
      <c r="C777" s="3">
        <v>4.194</v>
      </c>
      <c r="D777" s="101">
        <f t="shared" si="21"/>
        <v>1.1089681774349103E-2</v>
      </c>
    </row>
    <row r="778" spans="2:4" x14ac:dyDescent="0.25">
      <c r="B778" s="9">
        <v>39979</v>
      </c>
      <c r="C778" s="3">
        <v>4.1479999999999997</v>
      </c>
      <c r="D778" s="101">
        <f t="shared" si="21"/>
        <v>-1.3320647002854402E-2</v>
      </c>
    </row>
    <row r="779" spans="2:4" x14ac:dyDescent="0.25">
      <c r="B779" s="9">
        <v>39972</v>
      </c>
      <c r="C779" s="3">
        <v>4.2039999999999997</v>
      </c>
      <c r="D779" s="101">
        <f t="shared" si="21"/>
        <v>-3.9744175422567474E-2</v>
      </c>
    </row>
    <row r="780" spans="2:4" x14ac:dyDescent="0.25">
      <c r="B780" s="9">
        <v>39965</v>
      </c>
      <c r="C780" s="3">
        <v>4.3780000000000001</v>
      </c>
      <c r="D780" s="101">
        <f t="shared" si="21"/>
        <v>0.12270803949224263</v>
      </c>
    </row>
    <row r="781" spans="2:4" x14ac:dyDescent="0.25">
      <c r="B781" s="9">
        <v>39958</v>
      </c>
      <c r="C781" s="3">
        <v>3.8995000000000002</v>
      </c>
      <c r="D781" s="101">
        <f t="shared" si="21"/>
        <v>3.1068217874140602E-2</v>
      </c>
    </row>
    <row r="782" spans="2:4" x14ac:dyDescent="0.25">
      <c r="B782" s="9">
        <v>39951</v>
      </c>
      <c r="C782" s="3">
        <v>3.782</v>
      </c>
      <c r="D782" s="101">
        <f t="shared" si="21"/>
        <v>2.7717391304347805E-2</v>
      </c>
    </row>
    <row r="783" spans="2:4" x14ac:dyDescent="0.25">
      <c r="B783" s="9">
        <v>39944</v>
      </c>
      <c r="C783" s="3">
        <v>3.68</v>
      </c>
      <c r="D783" s="101">
        <f t="shared" si="21"/>
        <v>-5.5805003207184067E-2</v>
      </c>
    </row>
    <row r="784" spans="2:4" x14ac:dyDescent="0.25">
      <c r="B784" s="9">
        <v>39937</v>
      </c>
      <c r="C784" s="3">
        <v>3.8975</v>
      </c>
      <c r="D784" s="101">
        <f t="shared" si="21"/>
        <v>-1.2791286727456885E-2</v>
      </c>
    </row>
    <row r="785" spans="2:4" x14ac:dyDescent="0.25">
      <c r="B785" s="9">
        <v>39930</v>
      </c>
      <c r="C785" s="3">
        <v>3.948</v>
      </c>
      <c r="D785" s="101">
        <f t="shared" si="21"/>
        <v>-6.5119583234667267E-2</v>
      </c>
    </row>
    <row r="786" spans="2:4" x14ac:dyDescent="0.25">
      <c r="B786" s="9">
        <v>39923</v>
      </c>
      <c r="C786" s="3">
        <v>4.2229999999999999</v>
      </c>
      <c r="D786" s="101">
        <f t="shared" si="21"/>
        <v>8.2126841768097369E-2</v>
      </c>
    </row>
    <row r="787" spans="2:4" x14ac:dyDescent="0.25">
      <c r="B787" s="9">
        <v>39916</v>
      </c>
      <c r="C787" s="3">
        <v>3.9024999999999999</v>
      </c>
      <c r="D787" s="101">
        <f t="shared" si="21"/>
        <v>-2.1561990723329649E-2</v>
      </c>
    </row>
    <row r="788" spans="2:4" x14ac:dyDescent="0.25">
      <c r="B788" s="9">
        <v>39909</v>
      </c>
      <c r="C788" s="3">
        <v>3.9885000000000002</v>
      </c>
      <c r="D788" s="101">
        <f t="shared" si="21"/>
        <v>2.0468210310860879E-2</v>
      </c>
    </row>
    <row r="789" spans="2:4" x14ac:dyDescent="0.25">
      <c r="B789" s="9">
        <v>39902</v>
      </c>
      <c r="C789" s="3">
        <v>3.9085000000000001</v>
      </c>
      <c r="D789" s="101">
        <f t="shared" si="21"/>
        <v>0.10847986386840613</v>
      </c>
    </row>
    <row r="790" spans="2:4" x14ac:dyDescent="0.25">
      <c r="B790" s="9">
        <v>39895</v>
      </c>
      <c r="C790" s="3">
        <v>3.5259999999999998</v>
      </c>
      <c r="D790" s="101">
        <f t="shared" si="21"/>
        <v>8.0045740423098088E-3</v>
      </c>
    </row>
    <row r="791" spans="2:4" x14ac:dyDescent="0.25">
      <c r="B791" s="9">
        <v>39888</v>
      </c>
      <c r="C791" s="3">
        <v>3.4980000000000002</v>
      </c>
      <c r="D791" s="101">
        <f t="shared" si="21"/>
        <v>1.9379280198164039E-2</v>
      </c>
    </row>
    <row r="792" spans="2:4" x14ac:dyDescent="0.25">
      <c r="B792" s="9">
        <v>39881</v>
      </c>
      <c r="C792" s="3">
        <v>3.4315000000000002</v>
      </c>
      <c r="D792" s="101">
        <f t="shared" si="21"/>
        <v>0.1124979737396663</v>
      </c>
    </row>
    <row r="793" spans="2:4" x14ac:dyDescent="0.25">
      <c r="B793" s="9">
        <v>39874</v>
      </c>
      <c r="C793" s="3">
        <v>3.0844999999999998</v>
      </c>
      <c r="D793" s="101">
        <f t="shared" si="21"/>
        <v>-4.7846889952153138E-2</v>
      </c>
    </row>
    <row r="794" spans="2:4" x14ac:dyDescent="0.25">
      <c r="B794" s="9">
        <v>39867</v>
      </c>
      <c r="C794" s="3">
        <v>3.2395</v>
      </c>
      <c r="D794" s="101">
        <f t="shared" si="21"/>
        <v>1.4563106796116498E-2</v>
      </c>
    </row>
    <row r="795" spans="2:4" x14ac:dyDescent="0.25">
      <c r="B795" s="9">
        <v>39860</v>
      </c>
      <c r="C795" s="3">
        <v>3.1930000000000001</v>
      </c>
      <c r="D795" s="101">
        <f t="shared" si="21"/>
        <v>9.4846664558962956E-3</v>
      </c>
    </row>
    <row r="796" spans="2:4" x14ac:dyDescent="0.25">
      <c r="B796" s="9">
        <v>39853</v>
      </c>
      <c r="C796" s="3">
        <v>3.1629999999999998</v>
      </c>
      <c r="D796" s="101">
        <f t="shared" si="21"/>
        <v>-4.9436513899323908E-2</v>
      </c>
    </row>
    <row r="797" spans="2:4" x14ac:dyDescent="0.25">
      <c r="B797" s="9">
        <v>39846</v>
      </c>
      <c r="C797" s="3">
        <v>3.3275000000000001</v>
      </c>
      <c r="D797" s="101">
        <f t="shared" si="21"/>
        <v>0.13141788507310448</v>
      </c>
    </row>
    <row r="798" spans="2:4" x14ac:dyDescent="0.25">
      <c r="B798" s="9">
        <v>39839</v>
      </c>
      <c r="C798" s="3">
        <v>2.9409999999999998</v>
      </c>
      <c r="D798" s="101">
        <f t="shared" si="21"/>
        <v>0.16176180130357487</v>
      </c>
    </row>
    <row r="799" spans="2:4" x14ac:dyDescent="0.25">
      <c r="B799" s="9">
        <v>39832</v>
      </c>
      <c r="C799" s="3">
        <v>2.5314999999999999</v>
      </c>
      <c r="D799" s="101">
        <f t="shared" si="21"/>
        <v>-1.8608257414227558E-2</v>
      </c>
    </row>
    <row r="800" spans="2:4" x14ac:dyDescent="0.25">
      <c r="B800" s="9">
        <v>39825</v>
      </c>
      <c r="C800" s="3">
        <v>2.5794999999999999</v>
      </c>
      <c r="D800" s="101">
        <f t="shared" si="21"/>
        <v>-7.0617906683480558E-2</v>
      </c>
    </row>
    <row r="801" spans="2:4" x14ac:dyDescent="0.25">
      <c r="B801" s="9">
        <v>39818</v>
      </c>
      <c r="C801" s="3">
        <v>2.7755000000000001</v>
      </c>
      <c r="D801" s="101">
        <f t="shared" si="21"/>
        <v>2.1155261221486477E-2</v>
      </c>
    </row>
    <row r="802" spans="2:4" x14ac:dyDescent="0.25">
      <c r="B802" s="9">
        <v>39811</v>
      </c>
      <c r="C802" s="3">
        <v>2.718</v>
      </c>
      <c r="D802" s="101">
        <f t="shared" si="21"/>
        <v>4.9826187717265435E-2</v>
      </c>
    </row>
    <row r="803" spans="2:4" x14ac:dyDescent="0.25">
      <c r="B803" s="9">
        <v>39804</v>
      </c>
      <c r="C803" s="3">
        <v>2.589</v>
      </c>
      <c r="D803" s="101">
        <f t="shared" si="21"/>
        <v>4.2668735453841311E-3</v>
      </c>
    </row>
    <row r="804" spans="2:4" x14ac:dyDescent="0.25">
      <c r="B804" s="9">
        <v>39797</v>
      </c>
      <c r="C804" s="3">
        <v>2.5779999999999998</v>
      </c>
      <c r="D804" s="101">
        <f t="shared" si="21"/>
        <v>6.0487804878048834E-3</v>
      </c>
    </row>
    <row r="805" spans="2:4" x14ac:dyDescent="0.25">
      <c r="B805" s="9">
        <v>39790</v>
      </c>
      <c r="C805" s="3">
        <v>2.5625</v>
      </c>
      <c r="D805" s="101">
        <f t="shared" si="21"/>
        <v>6.1956071280563796E-2</v>
      </c>
    </row>
    <row r="806" spans="2:4" x14ac:dyDescent="0.25">
      <c r="B806" s="9">
        <v>39783</v>
      </c>
      <c r="C806" s="3">
        <v>2.4129999999999998</v>
      </c>
      <c r="D806" s="101">
        <f t="shared" si="21"/>
        <v>0.13021077283372362</v>
      </c>
    </row>
    <row r="807" spans="2:4" x14ac:dyDescent="0.25">
      <c r="B807" s="9">
        <v>39776</v>
      </c>
      <c r="C807" s="3">
        <v>2.1349999999999998</v>
      </c>
      <c r="D807" s="101">
        <f t="shared" si="21"/>
        <v>0.12754158964879836</v>
      </c>
    </row>
    <row r="808" spans="2:4" x14ac:dyDescent="0.25">
      <c r="B808" s="9">
        <v>39769</v>
      </c>
      <c r="C808" s="3">
        <v>1.8935</v>
      </c>
      <c r="D808" s="101">
        <f t="shared" si="21"/>
        <v>-9.2934131736526981E-2</v>
      </c>
    </row>
    <row r="809" spans="2:4" x14ac:dyDescent="0.25">
      <c r="B809" s="9">
        <v>39762</v>
      </c>
      <c r="C809" s="3">
        <v>2.0874999999999999</v>
      </c>
      <c r="D809" s="101">
        <f t="shared" si="21"/>
        <v>-0.1515952042267833</v>
      </c>
    </row>
    <row r="810" spans="2:4" x14ac:dyDescent="0.25">
      <c r="B810" s="9">
        <v>39755</v>
      </c>
      <c r="C810" s="3">
        <v>2.4605000000000001</v>
      </c>
      <c r="D810" s="101">
        <f t="shared" si="21"/>
        <v>-0.1402865129280223</v>
      </c>
    </row>
    <row r="811" spans="2:4" x14ac:dyDescent="0.25">
      <c r="B811" s="9">
        <v>39748</v>
      </c>
      <c r="C811" s="3">
        <v>2.8620000000000001</v>
      </c>
      <c r="D811" s="101">
        <f t="shared" si="21"/>
        <v>0.16911764705882359</v>
      </c>
    </row>
    <row r="812" spans="2:4" x14ac:dyDescent="0.25">
      <c r="B812" s="9">
        <v>39741</v>
      </c>
      <c r="C812" s="3">
        <v>2.448</v>
      </c>
      <c r="D812" s="101">
        <f t="shared" si="21"/>
        <v>-3.336623889437329E-2</v>
      </c>
    </row>
    <row r="813" spans="2:4" x14ac:dyDescent="0.25">
      <c r="B813" s="9">
        <v>39734</v>
      </c>
      <c r="C813" s="3">
        <v>2.5325000000000002</v>
      </c>
      <c r="D813" s="101">
        <f t="shared" si="21"/>
        <v>-9.9555555555555508E-2</v>
      </c>
    </row>
    <row r="814" spans="2:4" x14ac:dyDescent="0.25">
      <c r="B814" s="9">
        <v>39727</v>
      </c>
      <c r="C814" s="3">
        <v>2.8125</v>
      </c>
      <c r="D814" s="101">
        <f t="shared" si="21"/>
        <v>-0.16044776119402993</v>
      </c>
    </row>
    <row r="815" spans="2:4" x14ac:dyDescent="0.25">
      <c r="B815" s="9">
        <v>39720</v>
      </c>
      <c r="C815" s="3">
        <v>3.35</v>
      </c>
      <c r="D815" s="101">
        <f t="shared" si="21"/>
        <v>-5.2333804809052364E-2</v>
      </c>
    </row>
    <row r="816" spans="2:4" x14ac:dyDescent="0.25">
      <c r="B816" s="9">
        <v>39713</v>
      </c>
      <c r="C816" s="3">
        <v>3.5350000000000001</v>
      </c>
      <c r="D816" s="101">
        <f t="shared" si="21"/>
        <v>-0.12716049382716044</v>
      </c>
    </row>
    <row r="817" spans="2:4" x14ac:dyDescent="0.25">
      <c r="B817" s="9">
        <v>39706</v>
      </c>
      <c r="C817" s="3">
        <v>4.05</v>
      </c>
      <c r="D817" s="101">
        <f t="shared" si="21"/>
        <v>3.4482758620689502E-2</v>
      </c>
    </row>
    <row r="818" spans="2:4" x14ac:dyDescent="0.25">
      <c r="B818" s="9">
        <v>39699</v>
      </c>
      <c r="C818" s="3">
        <v>3.915</v>
      </c>
      <c r="D818" s="101">
        <f t="shared" si="21"/>
        <v>-1.123879277686568E-2</v>
      </c>
    </row>
    <row r="819" spans="2:4" x14ac:dyDescent="0.25">
      <c r="B819" s="9">
        <v>39692</v>
      </c>
      <c r="C819" s="3">
        <v>3.9594999999999998</v>
      </c>
      <c r="D819" s="101">
        <f t="shared" si="21"/>
        <v>-2.0047023883182802E-2</v>
      </c>
    </row>
    <row r="820" spans="2:4" x14ac:dyDescent="0.25">
      <c r="B820" s="9">
        <v>39685</v>
      </c>
      <c r="C820" s="3">
        <v>4.0404999999999998</v>
      </c>
      <c r="D820" s="101">
        <f t="shared" si="21"/>
        <v>-5.2193291109547291E-2</v>
      </c>
    </row>
    <row r="821" spans="2:4" x14ac:dyDescent="0.25">
      <c r="B821" s="9">
        <v>39678</v>
      </c>
      <c r="C821" s="3">
        <v>4.2629999999999999</v>
      </c>
      <c r="D821" s="101">
        <f t="shared" si="21"/>
        <v>-1.3194444444444509E-2</v>
      </c>
    </row>
    <row r="822" spans="2:4" x14ac:dyDescent="0.25">
      <c r="B822" s="9">
        <v>39671</v>
      </c>
      <c r="C822" s="3">
        <v>4.32</v>
      </c>
      <c r="D822" s="101">
        <f t="shared" si="21"/>
        <v>7.3158613836790565E-2</v>
      </c>
    </row>
    <row r="823" spans="2:4" x14ac:dyDescent="0.25">
      <c r="B823" s="9">
        <v>39664</v>
      </c>
      <c r="C823" s="3">
        <v>4.0255000000000001</v>
      </c>
      <c r="D823" s="101">
        <f t="shared" si="21"/>
        <v>6.2838283828382746E-2</v>
      </c>
    </row>
    <row r="824" spans="2:4" x14ac:dyDescent="0.25">
      <c r="B824" s="9">
        <v>39657</v>
      </c>
      <c r="C824" s="3">
        <v>3.7875000000000001</v>
      </c>
      <c r="D824" s="101">
        <f t="shared" si="21"/>
        <v>-3.2690588685991617E-2</v>
      </c>
    </row>
    <row r="825" spans="2:4" x14ac:dyDescent="0.25">
      <c r="B825" s="9">
        <v>39650</v>
      </c>
      <c r="C825" s="3">
        <v>3.9155000000000002</v>
      </c>
      <c r="D825" s="101">
        <f t="shared" si="21"/>
        <v>0.13295717592592604</v>
      </c>
    </row>
    <row r="826" spans="2:4" x14ac:dyDescent="0.25">
      <c r="B826" s="9">
        <v>39643</v>
      </c>
      <c r="C826" s="3">
        <v>3.456</v>
      </c>
      <c r="D826" s="101">
        <f t="shared" si="21"/>
        <v>8.4622118470965013E-3</v>
      </c>
    </row>
    <row r="827" spans="2:4" x14ac:dyDescent="0.25">
      <c r="B827" s="9">
        <v>39636</v>
      </c>
      <c r="C827" s="3">
        <v>3.427</v>
      </c>
      <c r="D827" s="101">
        <f t="shared" si="21"/>
        <v>-4.8055555555555518E-2</v>
      </c>
    </row>
    <row r="828" spans="2:4" x14ac:dyDescent="0.25">
      <c r="B828" s="9">
        <v>39629</v>
      </c>
      <c r="C828" s="3">
        <v>3.6</v>
      </c>
      <c r="D828" s="101">
        <f t="shared" si="21"/>
        <v>-3.5628181087597133E-2</v>
      </c>
    </row>
    <row r="829" spans="2:4" x14ac:dyDescent="0.25">
      <c r="B829" s="9">
        <v>39622</v>
      </c>
      <c r="C829" s="3">
        <v>3.7330000000000001</v>
      </c>
      <c r="D829" s="101">
        <f t="shared" si="21"/>
        <v>-7.9408138101109693E-2</v>
      </c>
    </row>
    <row r="830" spans="2:4" x14ac:dyDescent="0.25">
      <c r="B830" s="9">
        <v>39615</v>
      </c>
      <c r="C830" s="3">
        <v>4.0549999999999997</v>
      </c>
      <c r="D830" s="101">
        <f t="shared" si="21"/>
        <v>2.4377920929645081E-2</v>
      </c>
    </row>
    <row r="831" spans="2:4" x14ac:dyDescent="0.25">
      <c r="B831" s="9">
        <v>39608</v>
      </c>
      <c r="C831" s="3">
        <v>3.9584999999999999</v>
      </c>
      <c r="D831" s="101">
        <f t="shared" si="21"/>
        <v>-1.8107404191988197E-2</v>
      </c>
    </row>
    <row r="832" spans="2:4" x14ac:dyDescent="0.25">
      <c r="B832" s="9">
        <v>39601</v>
      </c>
      <c r="C832" s="3">
        <v>4.0315000000000003</v>
      </c>
      <c r="D832" s="101">
        <f t="shared" si="21"/>
        <v>-1.2129380053908401E-2</v>
      </c>
    </row>
    <row r="833" spans="2:4" x14ac:dyDescent="0.25">
      <c r="B833" s="9">
        <v>39594</v>
      </c>
      <c r="C833" s="3">
        <v>4.0810000000000004</v>
      </c>
      <c r="D833" s="101">
        <f t="shared" si="21"/>
        <v>4.1735800893426989E-2</v>
      </c>
    </row>
    <row r="834" spans="2:4" x14ac:dyDescent="0.25">
      <c r="B834" s="9">
        <v>39587</v>
      </c>
      <c r="C834" s="3">
        <v>3.9175</v>
      </c>
      <c r="D834" s="101">
        <f t="shared" si="21"/>
        <v>2.471880721946107E-2</v>
      </c>
    </row>
    <row r="835" spans="2:4" x14ac:dyDescent="0.25">
      <c r="B835" s="9">
        <v>39580</v>
      </c>
      <c r="C835" s="3">
        <v>3.823</v>
      </c>
      <c r="D835" s="101">
        <f t="shared" ref="D835:D898" si="22">C835/C836-1</f>
        <v>5.5931501173871023E-2</v>
      </c>
    </row>
    <row r="836" spans="2:4" x14ac:dyDescent="0.25">
      <c r="B836" s="9">
        <v>39573</v>
      </c>
      <c r="C836" s="3">
        <v>3.6204999999999998</v>
      </c>
      <c r="D836" s="101">
        <f t="shared" si="22"/>
        <v>-6.3381192601215885E-2</v>
      </c>
    </row>
    <row r="837" spans="2:4" x14ac:dyDescent="0.25">
      <c r="B837" s="9">
        <v>39566</v>
      </c>
      <c r="C837" s="3">
        <v>3.8654999999999999</v>
      </c>
      <c r="D837" s="101">
        <f t="shared" si="22"/>
        <v>-4.3903042295325267E-2</v>
      </c>
    </row>
    <row r="838" spans="2:4" x14ac:dyDescent="0.25">
      <c r="B838" s="9">
        <v>39559</v>
      </c>
      <c r="C838" s="3">
        <v>4.0430000000000001</v>
      </c>
      <c r="D838" s="101">
        <f t="shared" si="22"/>
        <v>9.4881398252184557E-3</v>
      </c>
    </row>
    <row r="839" spans="2:4" x14ac:dyDescent="0.25">
      <c r="B839" s="9">
        <v>39552</v>
      </c>
      <c r="C839" s="3">
        <v>4.0049999999999999</v>
      </c>
      <c r="D839" s="101">
        <f t="shared" si="22"/>
        <v>0.11265453535213221</v>
      </c>
    </row>
    <row r="840" spans="2:4" x14ac:dyDescent="0.25">
      <c r="B840" s="9">
        <v>39545</v>
      </c>
      <c r="C840" s="3">
        <v>3.5994999999999999</v>
      </c>
      <c r="D840" s="101">
        <f t="shared" si="22"/>
        <v>-6.3483803824639029E-2</v>
      </c>
    </row>
    <row r="841" spans="2:4" x14ac:dyDescent="0.25">
      <c r="B841" s="9">
        <v>39538</v>
      </c>
      <c r="C841" s="3">
        <v>3.8435000000000001</v>
      </c>
      <c r="D841" s="101">
        <f t="shared" si="22"/>
        <v>0.10192087155963314</v>
      </c>
    </row>
    <row r="842" spans="2:4" x14ac:dyDescent="0.25">
      <c r="B842" s="9">
        <v>39531</v>
      </c>
      <c r="C842" s="3">
        <v>3.488</v>
      </c>
      <c r="D842" s="101">
        <f t="shared" si="22"/>
        <v>-4.6864325727558387E-2</v>
      </c>
    </row>
    <row r="843" spans="2:4" x14ac:dyDescent="0.25">
      <c r="B843" s="9">
        <v>39524</v>
      </c>
      <c r="C843" s="3">
        <v>3.6595</v>
      </c>
      <c r="D843" s="101">
        <f t="shared" si="22"/>
        <v>7.2852535913221939E-2</v>
      </c>
    </row>
    <row r="844" spans="2:4" x14ac:dyDescent="0.25">
      <c r="B844" s="9">
        <v>39517</v>
      </c>
      <c r="C844" s="3">
        <v>3.411</v>
      </c>
      <c r="D844" s="101">
        <f t="shared" si="22"/>
        <v>6.4440630363551188E-2</v>
      </c>
    </row>
    <row r="845" spans="2:4" x14ac:dyDescent="0.25">
      <c r="B845" s="9">
        <v>39510</v>
      </c>
      <c r="C845" s="3">
        <v>3.2044999999999999</v>
      </c>
      <c r="D845" s="101">
        <f t="shared" si="22"/>
        <v>-5.8942143632697563E-3</v>
      </c>
    </row>
    <row r="846" spans="2:4" x14ac:dyDescent="0.25">
      <c r="B846" s="9">
        <v>39503</v>
      </c>
      <c r="C846" s="3">
        <v>3.2235</v>
      </c>
      <c r="D846" s="101">
        <f t="shared" si="22"/>
        <v>-0.10557713651498335</v>
      </c>
    </row>
    <row r="847" spans="2:4" x14ac:dyDescent="0.25">
      <c r="B847" s="9">
        <v>39496</v>
      </c>
      <c r="C847" s="3">
        <v>3.6040000000000001</v>
      </c>
      <c r="D847" s="101">
        <f t="shared" si="22"/>
        <v>-1.206140350877194E-2</v>
      </c>
    </row>
    <row r="848" spans="2:4" x14ac:dyDescent="0.25">
      <c r="B848" s="9">
        <v>39489</v>
      </c>
      <c r="C848" s="3">
        <v>3.6480000000000001</v>
      </c>
      <c r="D848" s="101">
        <f t="shared" si="22"/>
        <v>-7.3469387755100701E-3</v>
      </c>
    </row>
    <row r="849" spans="2:4" x14ac:dyDescent="0.25">
      <c r="B849" s="9">
        <v>39482</v>
      </c>
      <c r="C849" s="3">
        <v>3.6749999999999998</v>
      </c>
      <c r="D849" s="101">
        <f t="shared" si="22"/>
        <v>-1.5141364062709384E-2</v>
      </c>
    </row>
    <row r="850" spans="2:4" x14ac:dyDescent="0.25">
      <c r="B850" s="9">
        <v>39475</v>
      </c>
      <c r="C850" s="3">
        <v>3.7315</v>
      </c>
      <c r="D850" s="101">
        <f t="shared" si="22"/>
        <v>-3.8273195876288635E-2</v>
      </c>
    </row>
    <row r="851" spans="2:4" x14ac:dyDescent="0.25">
      <c r="B851" s="9">
        <v>39468</v>
      </c>
      <c r="C851" s="3">
        <v>3.88</v>
      </c>
      <c r="D851" s="101">
        <f t="shared" si="22"/>
        <v>-2.7081243731193583E-2</v>
      </c>
    </row>
    <row r="852" spans="2:4" x14ac:dyDescent="0.25">
      <c r="B852" s="9">
        <v>39461</v>
      </c>
      <c r="C852" s="3">
        <v>3.988</v>
      </c>
      <c r="D852" s="101">
        <f t="shared" si="22"/>
        <v>-1.6280217069560954E-2</v>
      </c>
    </row>
    <row r="853" spans="2:4" x14ac:dyDescent="0.25">
      <c r="B853" s="9">
        <v>39454</v>
      </c>
      <c r="C853" s="3">
        <v>4.0540000000000003</v>
      </c>
      <c r="D853" s="101">
        <f t="shared" si="22"/>
        <v>-8.6834102939520097E-2</v>
      </c>
    </row>
    <row r="854" spans="2:4" x14ac:dyDescent="0.25">
      <c r="B854" s="9">
        <v>39447</v>
      </c>
      <c r="C854" s="3">
        <v>4.4394999999999998</v>
      </c>
      <c r="D854" s="101">
        <f t="shared" si="22"/>
        <v>-5.9925886712546395E-2</v>
      </c>
    </row>
    <row r="855" spans="2:4" x14ac:dyDescent="0.25">
      <c r="B855" s="9">
        <v>39440</v>
      </c>
      <c r="C855" s="3">
        <v>4.7225000000000001</v>
      </c>
      <c r="D855" s="101">
        <f t="shared" si="22"/>
        <v>3.495507341661197E-2</v>
      </c>
    </row>
    <row r="856" spans="2:4" x14ac:dyDescent="0.25">
      <c r="B856" s="9">
        <v>39433</v>
      </c>
      <c r="C856" s="3">
        <v>4.5629999999999997</v>
      </c>
      <c r="D856" s="101">
        <f t="shared" si="22"/>
        <v>2.4472384373596778E-2</v>
      </c>
    </row>
    <row r="857" spans="2:4" x14ac:dyDescent="0.25">
      <c r="B857" s="9">
        <v>39426</v>
      </c>
      <c r="C857" s="3">
        <v>4.4539999999999997</v>
      </c>
      <c r="D857" s="101">
        <f t="shared" si="22"/>
        <v>-5.5455412999681819E-2</v>
      </c>
    </row>
    <row r="858" spans="2:4" x14ac:dyDescent="0.25">
      <c r="B858" s="9">
        <v>39419</v>
      </c>
      <c r="C858" s="3">
        <v>4.7154999999999996</v>
      </c>
      <c r="D858" s="101">
        <f t="shared" si="22"/>
        <v>4.1409010600706786E-2</v>
      </c>
    </row>
    <row r="859" spans="2:4" x14ac:dyDescent="0.25">
      <c r="B859" s="9">
        <v>39412</v>
      </c>
      <c r="C859" s="3">
        <v>4.5279999999999996</v>
      </c>
      <c r="D859" s="101">
        <f t="shared" si="22"/>
        <v>0.11212083998526312</v>
      </c>
    </row>
    <row r="860" spans="2:4" x14ac:dyDescent="0.25">
      <c r="B860" s="9">
        <v>39405</v>
      </c>
      <c r="C860" s="3">
        <v>4.0715000000000003</v>
      </c>
      <c r="D860" s="101">
        <f t="shared" si="22"/>
        <v>3.6005089058524176E-2</v>
      </c>
    </row>
    <row r="861" spans="2:4" x14ac:dyDescent="0.25">
      <c r="B861" s="9">
        <v>39398</v>
      </c>
      <c r="C861" s="3">
        <v>3.93</v>
      </c>
      <c r="D861" s="101">
        <f t="shared" si="22"/>
        <v>-3.6760045633159599E-3</v>
      </c>
    </row>
    <row r="862" spans="2:4" x14ac:dyDescent="0.25">
      <c r="B862" s="9">
        <v>39391</v>
      </c>
      <c r="C862" s="3">
        <v>3.9445000000000001</v>
      </c>
      <c r="D862" s="101">
        <f t="shared" si="22"/>
        <v>-8.2461037450569985E-2</v>
      </c>
    </row>
    <row r="863" spans="2:4" x14ac:dyDescent="0.25">
      <c r="B863" s="9">
        <v>39384</v>
      </c>
      <c r="C863" s="3">
        <v>4.2990000000000004</v>
      </c>
      <c r="D863" s="101">
        <f t="shared" si="22"/>
        <v>-4.4666666666666632E-2</v>
      </c>
    </row>
    <row r="864" spans="2:4" x14ac:dyDescent="0.25">
      <c r="B864" s="9">
        <v>39377</v>
      </c>
      <c r="C864" s="3">
        <v>4.5</v>
      </c>
      <c r="D864" s="101">
        <f t="shared" si="22"/>
        <v>2.673796791443861E-3</v>
      </c>
    </row>
    <row r="865" spans="2:4" x14ac:dyDescent="0.25">
      <c r="B865" s="9">
        <v>39370</v>
      </c>
      <c r="C865" s="3">
        <v>4.4880000000000004</v>
      </c>
      <c r="D865" s="101">
        <f t="shared" si="22"/>
        <v>-2.8255927249106749E-2</v>
      </c>
    </row>
    <row r="866" spans="2:4" x14ac:dyDescent="0.25">
      <c r="B866" s="9">
        <v>39363</v>
      </c>
      <c r="C866" s="3">
        <v>4.6185</v>
      </c>
      <c r="D866" s="101">
        <f t="shared" si="22"/>
        <v>-1.1345392272289367E-2</v>
      </c>
    </row>
    <row r="867" spans="2:4" x14ac:dyDescent="0.25">
      <c r="B867" s="9">
        <v>39356</v>
      </c>
      <c r="C867" s="3">
        <v>4.6715</v>
      </c>
      <c r="D867" s="101">
        <f t="shared" si="22"/>
        <v>3.0059044551797864E-3</v>
      </c>
    </row>
    <row r="868" spans="2:4" x14ac:dyDescent="0.25">
      <c r="B868" s="9">
        <v>39349</v>
      </c>
      <c r="C868" s="3">
        <v>4.6574999999999998</v>
      </c>
      <c r="D868" s="101">
        <f t="shared" si="22"/>
        <v>2.026286966045987E-2</v>
      </c>
    </row>
    <row r="869" spans="2:4" x14ac:dyDescent="0.25">
      <c r="B869" s="9">
        <v>39342</v>
      </c>
      <c r="C869" s="3">
        <v>4.5650000000000004</v>
      </c>
      <c r="D869" s="101">
        <f t="shared" si="22"/>
        <v>4.0218753560442133E-2</v>
      </c>
    </row>
    <row r="870" spans="2:4" x14ac:dyDescent="0.25">
      <c r="B870" s="9">
        <v>39335</v>
      </c>
      <c r="C870" s="3">
        <v>4.3884999999999996</v>
      </c>
      <c r="D870" s="101">
        <f t="shared" si="22"/>
        <v>3.8452437292948227E-2</v>
      </c>
    </row>
    <row r="871" spans="2:4" x14ac:dyDescent="0.25">
      <c r="B871" s="9">
        <v>39328</v>
      </c>
      <c r="C871" s="3">
        <v>4.226</v>
      </c>
      <c r="D871" s="101">
        <f t="shared" si="22"/>
        <v>5.7689901138781252E-2</v>
      </c>
    </row>
    <row r="872" spans="2:4" x14ac:dyDescent="0.25">
      <c r="B872" s="9">
        <v>39321</v>
      </c>
      <c r="C872" s="3">
        <v>3.9954999999999998</v>
      </c>
      <c r="D872" s="101">
        <f t="shared" si="22"/>
        <v>8.3280757097792257E-3</v>
      </c>
    </row>
    <row r="873" spans="2:4" x14ac:dyDescent="0.25">
      <c r="B873" s="9">
        <v>39314</v>
      </c>
      <c r="C873" s="3">
        <v>3.9624999999999999</v>
      </c>
      <c r="D873" s="101">
        <f t="shared" si="22"/>
        <v>5.6384964009597471E-2</v>
      </c>
    </row>
    <row r="874" spans="2:4" x14ac:dyDescent="0.25">
      <c r="B874" s="9">
        <v>39307</v>
      </c>
      <c r="C874" s="3">
        <v>3.7509999999999999</v>
      </c>
      <c r="D874" s="101">
        <f t="shared" si="22"/>
        <v>3.2094142818934746E-3</v>
      </c>
    </row>
    <row r="875" spans="2:4" x14ac:dyDescent="0.25">
      <c r="B875" s="9">
        <v>39300</v>
      </c>
      <c r="C875" s="3">
        <v>3.7389999999999999</v>
      </c>
      <c r="D875" s="101">
        <f t="shared" si="22"/>
        <v>-2.6302083333333282E-2</v>
      </c>
    </row>
    <row r="876" spans="2:4" x14ac:dyDescent="0.25">
      <c r="B876" s="9">
        <v>39293</v>
      </c>
      <c r="C876" s="3">
        <v>3.84</v>
      </c>
      <c r="D876" s="101">
        <f t="shared" si="22"/>
        <v>-8.6149452641599233E-2</v>
      </c>
    </row>
    <row r="877" spans="2:4" x14ac:dyDescent="0.25">
      <c r="B877" s="9">
        <v>39286</v>
      </c>
      <c r="C877" s="3">
        <v>4.202</v>
      </c>
      <c r="D877" s="101">
        <f t="shared" si="22"/>
        <v>0.17325143096467954</v>
      </c>
    </row>
    <row r="878" spans="2:4" x14ac:dyDescent="0.25">
      <c r="B878" s="9">
        <v>39279</v>
      </c>
      <c r="C878" s="3">
        <v>3.5815000000000001</v>
      </c>
      <c r="D878" s="101">
        <f t="shared" si="22"/>
        <v>-4.6205059920106484E-2</v>
      </c>
    </row>
    <row r="879" spans="2:4" x14ac:dyDescent="0.25">
      <c r="B879" s="9">
        <v>39272</v>
      </c>
      <c r="C879" s="3">
        <v>3.7549999999999999</v>
      </c>
      <c r="D879" s="101">
        <f t="shared" si="22"/>
        <v>8.8879222850514639E-2</v>
      </c>
    </row>
    <row r="880" spans="2:4" x14ac:dyDescent="0.25">
      <c r="B880" s="9">
        <v>39265</v>
      </c>
      <c r="C880" s="3">
        <v>3.4485000000000001</v>
      </c>
      <c r="D880" s="101">
        <f t="shared" si="22"/>
        <v>8.1859377284023704E-3</v>
      </c>
    </row>
    <row r="881" spans="2:4" x14ac:dyDescent="0.25">
      <c r="B881" s="9">
        <v>39258</v>
      </c>
      <c r="C881" s="3">
        <v>3.4205000000000001</v>
      </c>
      <c r="D881" s="101">
        <f t="shared" si="22"/>
        <v>-6.5349985477780592E-3</v>
      </c>
    </row>
    <row r="882" spans="2:4" x14ac:dyDescent="0.25">
      <c r="B882" s="9">
        <v>39251</v>
      </c>
      <c r="C882" s="3">
        <v>3.4430000000000001</v>
      </c>
      <c r="D882" s="101">
        <f t="shared" si="22"/>
        <v>-4.8895027624309417E-2</v>
      </c>
    </row>
    <row r="883" spans="2:4" x14ac:dyDescent="0.25">
      <c r="B883" s="9">
        <v>39244</v>
      </c>
      <c r="C883" s="3">
        <v>3.62</v>
      </c>
      <c r="D883" s="101">
        <f t="shared" si="22"/>
        <v>-1.1469142545057265E-2</v>
      </c>
    </row>
    <row r="884" spans="2:4" x14ac:dyDescent="0.25">
      <c r="B884" s="9">
        <v>39237</v>
      </c>
      <c r="C884" s="3">
        <v>3.6619999999999999</v>
      </c>
      <c r="D884" s="101">
        <f t="shared" si="22"/>
        <v>6.7949839603382856E-2</v>
      </c>
    </row>
    <row r="885" spans="2:4" x14ac:dyDescent="0.25">
      <c r="B885" s="9">
        <v>39230</v>
      </c>
      <c r="C885" s="3">
        <v>3.4289999999999998</v>
      </c>
      <c r="D885" s="101">
        <f t="shared" si="22"/>
        <v>4.3763676148778075E-4</v>
      </c>
    </row>
    <row r="886" spans="2:4" x14ac:dyDescent="0.25">
      <c r="B886" s="9">
        <v>39223</v>
      </c>
      <c r="C886" s="3">
        <v>3.4275000000000002</v>
      </c>
      <c r="D886" s="101">
        <f t="shared" si="22"/>
        <v>8.2938388625592552E-2</v>
      </c>
    </row>
    <row r="887" spans="2:4" x14ac:dyDescent="0.25">
      <c r="B887" s="9">
        <v>39216</v>
      </c>
      <c r="C887" s="3">
        <v>3.165</v>
      </c>
      <c r="D887" s="101">
        <f t="shared" si="22"/>
        <v>2.8265107212475771E-2</v>
      </c>
    </row>
    <row r="888" spans="2:4" x14ac:dyDescent="0.25">
      <c r="B888" s="9">
        <v>39209</v>
      </c>
      <c r="C888" s="3">
        <v>3.0779999999999998</v>
      </c>
      <c r="D888" s="101">
        <f t="shared" si="22"/>
        <v>-2.6411513522062391E-2</v>
      </c>
    </row>
    <row r="889" spans="2:4" x14ac:dyDescent="0.25">
      <c r="B889" s="9">
        <v>39202</v>
      </c>
      <c r="C889" s="3">
        <v>3.1615000000000002</v>
      </c>
      <c r="D889" s="101">
        <f t="shared" si="22"/>
        <v>1.00638977635783E-2</v>
      </c>
    </row>
    <row r="890" spans="2:4" x14ac:dyDescent="0.25">
      <c r="B890" s="9">
        <v>39195</v>
      </c>
      <c r="C890" s="3">
        <v>3.13</v>
      </c>
      <c r="D890" s="101">
        <f t="shared" si="22"/>
        <v>0.39265850945494996</v>
      </c>
    </row>
    <row r="891" spans="2:4" x14ac:dyDescent="0.25">
      <c r="B891" s="9">
        <v>39188</v>
      </c>
      <c r="C891" s="3">
        <v>2.2475000000000001</v>
      </c>
      <c r="D891" s="101">
        <f t="shared" si="22"/>
        <v>5.9891535015326625E-2</v>
      </c>
    </row>
    <row r="892" spans="2:4" x14ac:dyDescent="0.25">
      <c r="B892" s="9">
        <v>39181</v>
      </c>
      <c r="C892" s="3">
        <v>2.1204999999999998</v>
      </c>
      <c r="D892" s="101">
        <f t="shared" si="22"/>
        <v>1.7514395393473992E-2</v>
      </c>
    </row>
    <row r="893" spans="2:4" x14ac:dyDescent="0.25">
      <c r="B893" s="9">
        <v>39174</v>
      </c>
      <c r="C893" s="3">
        <v>2.0840000000000001</v>
      </c>
      <c r="D893" s="101">
        <f t="shared" si="22"/>
        <v>4.749937170143248E-2</v>
      </c>
    </row>
    <row r="894" spans="2:4" x14ac:dyDescent="0.25">
      <c r="B894" s="9">
        <v>39167</v>
      </c>
      <c r="C894" s="3">
        <v>1.9895</v>
      </c>
      <c r="D894" s="101">
        <f t="shared" si="22"/>
        <v>2.0779887121600726E-2</v>
      </c>
    </row>
    <row r="895" spans="2:4" x14ac:dyDescent="0.25">
      <c r="B895" s="9">
        <v>39160</v>
      </c>
      <c r="C895" s="3">
        <v>1.9490000000000001</v>
      </c>
      <c r="D895" s="101">
        <f t="shared" si="22"/>
        <v>2.9854689564068781E-2</v>
      </c>
    </row>
    <row r="896" spans="2:4" x14ac:dyDescent="0.25">
      <c r="B896" s="9">
        <v>39153</v>
      </c>
      <c r="C896" s="3">
        <v>1.8925000000000001</v>
      </c>
      <c r="D896" s="101">
        <f t="shared" si="22"/>
        <v>-2.5489186405767139E-2</v>
      </c>
    </row>
    <row r="897" spans="2:4" x14ac:dyDescent="0.25">
      <c r="B897" s="9">
        <v>39146</v>
      </c>
      <c r="C897" s="3">
        <v>1.9419999999999999</v>
      </c>
      <c r="D897" s="101">
        <f t="shared" si="22"/>
        <v>3.0512072167683701E-2</v>
      </c>
    </row>
    <row r="898" spans="2:4" x14ac:dyDescent="0.25">
      <c r="B898" s="9">
        <v>39139</v>
      </c>
      <c r="C898" s="3">
        <v>1.8845000000000001</v>
      </c>
      <c r="D898" s="101">
        <f t="shared" si="22"/>
        <v>-7.5772437469347809E-2</v>
      </c>
    </row>
    <row r="899" spans="2:4" x14ac:dyDescent="0.25">
      <c r="B899" s="9">
        <v>39132</v>
      </c>
      <c r="C899" s="3">
        <v>2.0390000000000001</v>
      </c>
      <c r="D899" s="101">
        <f t="shared" ref="D899:D962" si="23">C899/C900-1</f>
        <v>1.1157946937763397E-2</v>
      </c>
    </row>
    <row r="900" spans="2:4" x14ac:dyDescent="0.25">
      <c r="B900" s="9">
        <v>39125</v>
      </c>
      <c r="C900" s="3">
        <v>2.0165000000000002</v>
      </c>
      <c r="D900" s="101">
        <f t="shared" si="23"/>
        <v>4.1580578512396826E-2</v>
      </c>
    </row>
    <row r="901" spans="2:4" x14ac:dyDescent="0.25">
      <c r="B901" s="9">
        <v>39118</v>
      </c>
      <c r="C901" s="3">
        <v>1.9359999999999999</v>
      </c>
      <c r="D901" s="101">
        <f t="shared" si="23"/>
        <v>3.5571008290986805E-2</v>
      </c>
    </row>
    <row r="902" spans="2:4" x14ac:dyDescent="0.25">
      <c r="B902" s="9">
        <v>39111</v>
      </c>
      <c r="C902" s="3">
        <v>1.8694999999999999</v>
      </c>
      <c r="D902" s="101">
        <f t="shared" si="23"/>
        <v>1.4654002713704095E-2</v>
      </c>
    </row>
    <row r="903" spans="2:4" x14ac:dyDescent="0.25">
      <c r="B903" s="9">
        <v>39104</v>
      </c>
      <c r="C903" s="3">
        <v>1.8425</v>
      </c>
      <c r="D903" s="101">
        <f t="shared" si="23"/>
        <v>-4.5921123716909928E-3</v>
      </c>
    </row>
    <row r="904" spans="2:4" x14ac:dyDescent="0.25">
      <c r="B904" s="9">
        <v>39097</v>
      </c>
      <c r="C904" s="3">
        <v>1.851</v>
      </c>
      <c r="D904" s="101">
        <f t="shared" si="23"/>
        <v>-3.0890052356020936E-2</v>
      </c>
    </row>
    <row r="905" spans="2:4" x14ac:dyDescent="0.25">
      <c r="B905" s="9">
        <v>39090</v>
      </c>
      <c r="C905" s="3">
        <v>1.91</v>
      </c>
      <c r="D905" s="101">
        <f t="shared" si="23"/>
        <v>-4.4305446963774919E-3</v>
      </c>
    </row>
    <row r="906" spans="2:4" x14ac:dyDescent="0.25">
      <c r="B906" s="9">
        <v>39083</v>
      </c>
      <c r="C906" s="3">
        <v>1.9185000000000001</v>
      </c>
      <c r="D906" s="101">
        <f t="shared" si="23"/>
        <v>-2.7622909275215379E-2</v>
      </c>
    </row>
    <row r="907" spans="2:4" x14ac:dyDescent="0.25">
      <c r="B907" s="9">
        <v>39076</v>
      </c>
      <c r="C907" s="3">
        <v>1.9730000000000001</v>
      </c>
      <c r="D907" s="101">
        <f t="shared" si="23"/>
        <v>-1.9383697813121215E-2</v>
      </c>
    </row>
    <row r="908" spans="2:4" x14ac:dyDescent="0.25">
      <c r="B908" s="9">
        <v>39069</v>
      </c>
      <c r="C908" s="3">
        <v>2.012</v>
      </c>
      <c r="D908" s="101">
        <f t="shared" si="23"/>
        <v>5.7485628592850446E-3</v>
      </c>
    </row>
    <row r="909" spans="2:4" x14ac:dyDescent="0.25">
      <c r="B909" s="9">
        <v>39062</v>
      </c>
      <c r="C909" s="3">
        <v>2.0005000000000002</v>
      </c>
      <c r="D909" s="101">
        <f t="shared" si="23"/>
        <v>4.0301612064482573E-2</v>
      </c>
    </row>
    <row r="910" spans="2:4" x14ac:dyDescent="0.25">
      <c r="B910" s="9">
        <v>39055</v>
      </c>
      <c r="C910" s="3">
        <v>1.923</v>
      </c>
      <c r="D910" s="101">
        <f t="shared" si="23"/>
        <v>-2.4105556965237196E-2</v>
      </c>
    </row>
    <row r="911" spans="2:4" x14ac:dyDescent="0.25">
      <c r="B911" s="9">
        <v>39048</v>
      </c>
      <c r="C911" s="3">
        <v>1.9704999999999999</v>
      </c>
      <c r="D911" s="101">
        <f t="shared" si="23"/>
        <v>-7.073803348266916E-2</v>
      </c>
    </row>
    <row r="912" spans="2:4" x14ac:dyDescent="0.25">
      <c r="B912" s="9">
        <v>39041</v>
      </c>
      <c r="C912" s="3">
        <v>2.1204999999999998</v>
      </c>
      <c r="D912" s="101">
        <f t="shared" si="23"/>
        <v>-3.2902467685076431E-3</v>
      </c>
    </row>
    <row r="913" spans="2:4" x14ac:dyDescent="0.25">
      <c r="B913" s="9">
        <v>39034</v>
      </c>
      <c r="C913" s="3">
        <v>2.1274999999999999</v>
      </c>
      <c r="D913" s="101">
        <f t="shared" si="23"/>
        <v>8.3800305654610163E-2</v>
      </c>
    </row>
    <row r="914" spans="2:4" x14ac:dyDescent="0.25">
      <c r="B914" s="9">
        <v>39027</v>
      </c>
      <c r="C914" s="3">
        <v>1.9630000000000001</v>
      </c>
      <c r="D914" s="101">
        <f t="shared" si="23"/>
        <v>4.8051254671649835E-2</v>
      </c>
    </row>
    <row r="915" spans="2:4" x14ac:dyDescent="0.25">
      <c r="B915" s="9">
        <v>39020</v>
      </c>
      <c r="C915" s="3">
        <v>1.873</v>
      </c>
      <c r="D915" s="101">
        <f t="shared" si="23"/>
        <v>-2.0397489539748959E-2</v>
      </c>
    </row>
    <row r="916" spans="2:4" x14ac:dyDescent="0.25">
      <c r="B916" s="9">
        <v>39013</v>
      </c>
      <c r="C916" s="3">
        <v>1.9119999999999999</v>
      </c>
      <c r="D916" s="101">
        <f t="shared" si="23"/>
        <v>0.17408658274485722</v>
      </c>
    </row>
    <row r="917" spans="2:4" x14ac:dyDescent="0.25">
      <c r="B917" s="9">
        <v>39006</v>
      </c>
      <c r="C917" s="3">
        <v>1.6285000000000001</v>
      </c>
      <c r="D917" s="101">
        <f t="shared" si="23"/>
        <v>-2.250900360144048E-2</v>
      </c>
    </row>
    <row r="918" spans="2:4" x14ac:dyDescent="0.25">
      <c r="B918" s="9">
        <v>38999</v>
      </c>
      <c r="C918" s="3">
        <v>1.6659999999999999</v>
      </c>
      <c r="D918" s="101">
        <f t="shared" si="23"/>
        <v>2.2399509051856281E-2</v>
      </c>
    </row>
    <row r="919" spans="2:4" x14ac:dyDescent="0.25">
      <c r="B919" s="9">
        <v>38992</v>
      </c>
      <c r="C919" s="3">
        <v>1.6294999999999999</v>
      </c>
      <c r="D919" s="101">
        <f t="shared" si="23"/>
        <v>1.4632627646326224E-2</v>
      </c>
    </row>
    <row r="920" spans="2:4" x14ac:dyDescent="0.25">
      <c r="B920" s="9">
        <v>38985</v>
      </c>
      <c r="C920" s="3">
        <v>1.6060000000000001</v>
      </c>
      <c r="D920" s="101">
        <f t="shared" si="23"/>
        <v>4.1504539559014342E-2</v>
      </c>
    </row>
    <row r="921" spans="2:4" x14ac:dyDescent="0.25">
      <c r="B921" s="9">
        <v>38978</v>
      </c>
      <c r="C921" s="3">
        <v>1.542</v>
      </c>
      <c r="D921" s="101">
        <f t="shared" si="23"/>
        <v>-5.1660516605166018E-2</v>
      </c>
    </row>
    <row r="922" spans="2:4" x14ac:dyDescent="0.25">
      <c r="B922" s="9">
        <v>38971</v>
      </c>
      <c r="C922" s="3">
        <v>1.6259999999999999</v>
      </c>
      <c r="D922" s="101">
        <f t="shared" si="23"/>
        <v>6.5880039331366547E-2</v>
      </c>
    </row>
    <row r="923" spans="2:4" x14ac:dyDescent="0.25">
      <c r="B923" s="9">
        <v>38964</v>
      </c>
      <c r="C923" s="3">
        <v>1.5255000000000001</v>
      </c>
      <c r="D923" s="101">
        <f t="shared" si="23"/>
        <v>-3.9357682619647338E-2</v>
      </c>
    </row>
    <row r="924" spans="2:4" x14ac:dyDescent="0.25">
      <c r="B924" s="9">
        <v>38957</v>
      </c>
      <c r="C924" s="3">
        <v>1.5880000000000001</v>
      </c>
      <c r="D924" s="101">
        <f t="shared" si="23"/>
        <v>0.1330717088833393</v>
      </c>
    </row>
    <row r="925" spans="2:4" x14ac:dyDescent="0.25">
      <c r="B925" s="9">
        <v>38950</v>
      </c>
      <c r="C925" s="3">
        <v>1.4015</v>
      </c>
      <c r="D925" s="101">
        <f t="shared" si="23"/>
        <v>-3.7431318681318659E-2</v>
      </c>
    </row>
    <row r="926" spans="2:4" x14ac:dyDescent="0.25">
      <c r="B926" s="9">
        <v>38943</v>
      </c>
      <c r="C926" s="3">
        <v>1.456</v>
      </c>
      <c r="D926" s="101">
        <f t="shared" si="23"/>
        <v>0.11699271192942073</v>
      </c>
    </row>
    <row r="927" spans="2:4" x14ac:dyDescent="0.25">
      <c r="B927" s="9">
        <v>38936</v>
      </c>
      <c r="C927" s="3">
        <v>1.3035000000000001</v>
      </c>
      <c r="D927" s="101">
        <f t="shared" si="23"/>
        <v>-4.4705020153902431E-2</v>
      </c>
    </row>
    <row r="928" spans="2:4" x14ac:dyDescent="0.25">
      <c r="B928" s="9">
        <v>38929</v>
      </c>
      <c r="C928" s="3">
        <v>1.3645</v>
      </c>
      <c r="D928" s="101">
        <f t="shared" si="23"/>
        <v>4.4166359955832846E-3</v>
      </c>
    </row>
    <row r="929" spans="2:4" x14ac:dyDescent="0.25">
      <c r="B929" s="9">
        <v>38922</v>
      </c>
      <c r="C929" s="3">
        <v>1.3585</v>
      </c>
      <c r="D929" s="101">
        <f t="shared" si="23"/>
        <v>-0.18137993371497441</v>
      </c>
    </row>
    <row r="930" spans="2:4" x14ac:dyDescent="0.25">
      <c r="B930" s="9">
        <v>38915</v>
      </c>
      <c r="C930" s="3">
        <v>1.6595</v>
      </c>
      <c r="D930" s="101">
        <f t="shared" si="23"/>
        <v>8.2017010935602208E-3</v>
      </c>
    </row>
    <row r="931" spans="2:4" x14ac:dyDescent="0.25">
      <c r="B931" s="9">
        <v>38908</v>
      </c>
      <c r="C931" s="3">
        <v>1.6459999999999999</v>
      </c>
      <c r="D931" s="101">
        <f t="shared" si="23"/>
        <v>-8.8341179728607111E-2</v>
      </c>
    </row>
    <row r="932" spans="2:4" x14ac:dyDescent="0.25">
      <c r="B932" s="9">
        <v>38901</v>
      </c>
      <c r="C932" s="3">
        <v>1.8055000000000001</v>
      </c>
      <c r="D932" s="101">
        <f t="shared" si="23"/>
        <v>-6.6442605997931614E-2</v>
      </c>
    </row>
    <row r="933" spans="2:4" x14ac:dyDescent="0.25">
      <c r="B933" s="9">
        <v>38894</v>
      </c>
      <c r="C933" s="3">
        <v>1.9339999999999999</v>
      </c>
      <c r="D933" s="101">
        <f t="shared" si="23"/>
        <v>5.8276333789329726E-2</v>
      </c>
    </row>
    <row r="934" spans="2:4" x14ac:dyDescent="0.25">
      <c r="B934" s="9">
        <v>38887</v>
      </c>
      <c r="C934" s="3">
        <v>1.8274999999999999</v>
      </c>
      <c r="D934" s="101">
        <f t="shared" si="23"/>
        <v>4.1607295525790899E-2</v>
      </c>
    </row>
    <row r="935" spans="2:4" x14ac:dyDescent="0.25">
      <c r="B935" s="9">
        <v>38880</v>
      </c>
      <c r="C935" s="3">
        <v>1.7544999999999999</v>
      </c>
      <c r="D935" s="101">
        <f t="shared" si="23"/>
        <v>3.8780343398460593E-2</v>
      </c>
    </row>
    <row r="936" spans="2:4" x14ac:dyDescent="0.25">
      <c r="B936" s="9">
        <v>38873</v>
      </c>
      <c r="C936" s="3">
        <v>1.6890000000000001</v>
      </c>
      <c r="D936" s="101">
        <f t="shared" si="23"/>
        <v>-2.8193325661680091E-2</v>
      </c>
    </row>
    <row r="937" spans="2:4" x14ac:dyDescent="0.25">
      <c r="B937" s="9">
        <v>38866</v>
      </c>
      <c r="C937" s="3">
        <v>1.738</v>
      </c>
      <c r="D937" s="101">
        <f t="shared" si="23"/>
        <v>-3.6318270030496369E-2</v>
      </c>
    </row>
    <row r="938" spans="2:4" x14ac:dyDescent="0.25">
      <c r="B938" s="9">
        <v>38859</v>
      </c>
      <c r="C938" s="3">
        <v>1.8035000000000001</v>
      </c>
      <c r="D938" s="101">
        <f t="shared" si="23"/>
        <v>6.2757807896287598E-2</v>
      </c>
    </row>
    <row r="939" spans="2:4" x14ac:dyDescent="0.25">
      <c r="B939" s="9">
        <v>38852</v>
      </c>
      <c r="C939" s="3">
        <v>1.6970000000000001</v>
      </c>
      <c r="D939" s="101">
        <f t="shared" si="23"/>
        <v>3.6969141460433841E-2</v>
      </c>
    </row>
    <row r="940" spans="2:4" x14ac:dyDescent="0.25">
      <c r="B940" s="9">
        <v>38845</v>
      </c>
      <c r="C940" s="3">
        <v>1.6365000000000001</v>
      </c>
      <c r="D940" s="101">
        <f t="shared" si="23"/>
        <v>-6.5924657534246589E-2</v>
      </c>
    </row>
    <row r="941" spans="2:4" x14ac:dyDescent="0.25">
      <c r="B941" s="9">
        <v>38838</v>
      </c>
      <c r="C941" s="3">
        <v>1.752</v>
      </c>
      <c r="D941" s="101">
        <f t="shared" si="23"/>
        <v>-4.8281738142572639E-3</v>
      </c>
    </row>
    <row r="942" spans="2:4" x14ac:dyDescent="0.25">
      <c r="B942" s="9">
        <v>38831</v>
      </c>
      <c r="C942" s="3">
        <v>1.7605</v>
      </c>
      <c r="D942" s="101">
        <f t="shared" si="23"/>
        <v>-2.2758812101027037E-2</v>
      </c>
    </row>
    <row r="943" spans="2:4" x14ac:dyDescent="0.25">
      <c r="B943" s="9">
        <v>38824</v>
      </c>
      <c r="C943" s="3">
        <v>1.8015000000000001</v>
      </c>
      <c r="D943" s="101">
        <f t="shared" si="23"/>
        <v>-1.611141452758047E-2</v>
      </c>
    </row>
    <row r="944" spans="2:4" x14ac:dyDescent="0.25">
      <c r="B944" s="9">
        <v>38817</v>
      </c>
      <c r="C944" s="3">
        <v>1.831</v>
      </c>
      <c r="D944" s="101">
        <f t="shared" si="23"/>
        <v>-1.2671879212725834E-2</v>
      </c>
    </row>
    <row r="945" spans="2:4" x14ac:dyDescent="0.25">
      <c r="B945" s="9">
        <v>38810</v>
      </c>
      <c r="C945" s="3">
        <v>1.8545</v>
      </c>
      <c r="D945" s="101">
        <f t="shared" si="23"/>
        <v>1.5329865863673797E-2</v>
      </c>
    </row>
    <row r="946" spans="2:4" x14ac:dyDescent="0.25">
      <c r="B946" s="9">
        <v>38803</v>
      </c>
      <c r="C946" s="3">
        <v>1.8265</v>
      </c>
      <c r="D946" s="101">
        <f t="shared" si="23"/>
        <v>2.9884409360022568E-2</v>
      </c>
    </row>
    <row r="947" spans="2:4" x14ac:dyDescent="0.25">
      <c r="B947" s="9">
        <v>38796</v>
      </c>
      <c r="C947" s="3">
        <v>1.7735000000000001</v>
      </c>
      <c r="D947" s="101">
        <f t="shared" si="23"/>
        <v>-1.4448457904973622E-2</v>
      </c>
    </row>
    <row r="948" spans="2:4" x14ac:dyDescent="0.25">
      <c r="B948" s="9">
        <v>38789</v>
      </c>
      <c r="C948" s="3">
        <v>1.7995000000000001</v>
      </c>
      <c r="D948" s="101">
        <f t="shared" si="23"/>
        <v>-6.3500828271672027E-3</v>
      </c>
    </row>
    <row r="949" spans="2:4" x14ac:dyDescent="0.25">
      <c r="B949" s="9">
        <v>38782</v>
      </c>
      <c r="C949" s="3">
        <v>1.8109999999999999</v>
      </c>
      <c r="D949" s="101">
        <f t="shared" si="23"/>
        <v>-2.6605751142166123E-2</v>
      </c>
    </row>
    <row r="950" spans="2:4" x14ac:dyDescent="0.25">
      <c r="B950" s="9">
        <v>38775</v>
      </c>
      <c r="C950" s="3">
        <v>1.8605</v>
      </c>
      <c r="D950" s="101">
        <f t="shared" si="23"/>
        <v>-2.9726205997392396E-2</v>
      </c>
    </row>
    <row r="951" spans="2:4" x14ac:dyDescent="0.25">
      <c r="B951" s="9">
        <v>38768</v>
      </c>
      <c r="C951" s="3">
        <v>1.9175</v>
      </c>
      <c r="D951" s="101">
        <f t="shared" si="23"/>
        <v>-2.1434039295738727E-2</v>
      </c>
    </row>
    <row r="952" spans="2:4" x14ac:dyDescent="0.25">
      <c r="B952" s="9">
        <v>38761</v>
      </c>
      <c r="C952" s="3">
        <v>1.9595</v>
      </c>
      <c r="D952" s="101">
        <f t="shared" si="23"/>
        <v>1.7393561786085199E-2</v>
      </c>
    </row>
    <row r="953" spans="2:4" x14ac:dyDescent="0.25">
      <c r="B953" s="9">
        <v>38754</v>
      </c>
      <c r="C953" s="3">
        <v>1.9259999999999999</v>
      </c>
      <c r="D953" s="101">
        <f t="shared" si="23"/>
        <v>4.9569527785024992E-3</v>
      </c>
    </row>
    <row r="954" spans="2:4" x14ac:dyDescent="0.25">
      <c r="B954" s="9">
        <v>38747</v>
      </c>
      <c r="C954" s="3">
        <v>1.9165000000000001</v>
      </c>
      <c r="D954" s="101">
        <f t="shared" si="23"/>
        <v>-0.1523662096417514</v>
      </c>
    </row>
    <row r="955" spans="2:4" x14ac:dyDescent="0.25">
      <c r="B955" s="9">
        <v>38740</v>
      </c>
      <c r="C955" s="3">
        <v>2.2610000000000001</v>
      </c>
      <c r="D955" s="101">
        <f t="shared" si="23"/>
        <v>2.9599271402550142E-2</v>
      </c>
    </row>
    <row r="956" spans="2:4" x14ac:dyDescent="0.25">
      <c r="B956" s="9">
        <v>38733</v>
      </c>
      <c r="C956" s="3">
        <v>2.1960000000000002</v>
      </c>
      <c r="D956" s="101">
        <f t="shared" si="23"/>
        <v>-1.0810810810810811E-2</v>
      </c>
    </row>
    <row r="957" spans="2:4" x14ac:dyDescent="0.25">
      <c r="B957" s="9">
        <v>38726</v>
      </c>
      <c r="C957" s="3">
        <v>2.2200000000000002</v>
      </c>
      <c r="D957" s="101">
        <f t="shared" si="23"/>
        <v>-7.2487988301650153E-2</v>
      </c>
    </row>
    <row r="958" spans="2:4" x14ac:dyDescent="0.25">
      <c r="B958" s="9">
        <v>38719</v>
      </c>
      <c r="C958" s="3">
        <v>2.3935</v>
      </c>
      <c r="D958" s="101">
        <f t="shared" si="23"/>
        <v>1.5270413573700958E-2</v>
      </c>
    </row>
    <row r="959" spans="2:4" x14ac:dyDescent="0.25">
      <c r="B959" s="9">
        <v>38712</v>
      </c>
      <c r="C959" s="3">
        <v>2.3574999999999999</v>
      </c>
      <c r="D959" s="101">
        <f t="shared" si="23"/>
        <v>-4.2056074766355089E-2</v>
      </c>
    </row>
    <row r="960" spans="2:4" x14ac:dyDescent="0.25">
      <c r="B960" s="9">
        <v>38705</v>
      </c>
      <c r="C960" s="3">
        <v>2.4609999999999999</v>
      </c>
      <c r="D960" s="101">
        <f t="shared" si="23"/>
        <v>2.0321072952644847E-4</v>
      </c>
    </row>
    <row r="961" spans="2:4" x14ac:dyDescent="0.25">
      <c r="B961" s="9">
        <v>38698</v>
      </c>
      <c r="C961" s="3">
        <v>2.4605000000000001</v>
      </c>
      <c r="D961" s="101">
        <f t="shared" si="23"/>
        <v>9.6430036930654772E-3</v>
      </c>
    </row>
    <row r="962" spans="2:4" x14ac:dyDescent="0.25">
      <c r="B962" s="9">
        <v>38691</v>
      </c>
      <c r="C962" s="3">
        <v>2.4369999999999998</v>
      </c>
      <c r="D962" s="101">
        <f t="shared" si="23"/>
        <v>-6.5226253567061132E-3</v>
      </c>
    </row>
    <row r="963" spans="2:4" x14ac:dyDescent="0.25">
      <c r="B963" s="9">
        <v>38684</v>
      </c>
      <c r="C963" s="3">
        <v>2.4529999999999998</v>
      </c>
      <c r="D963" s="101">
        <f t="shared" ref="D963:D1026" si="24">C963/C964-1</f>
        <v>2.0807324178110598E-2</v>
      </c>
    </row>
    <row r="964" spans="2:4" x14ac:dyDescent="0.25">
      <c r="B964" s="9">
        <v>38677</v>
      </c>
      <c r="C964" s="3">
        <v>2.403</v>
      </c>
      <c r="D964" s="101">
        <f t="shared" si="24"/>
        <v>1.6673614005835447E-3</v>
      </c>
    </row>
    <row r="965" spans="2:4" x14ac:dyDescent="0.25">
      <c r="B965" s="9">
        <v>38670</v>
      </c>
      <c r="C965" s="3">
        <v>2.399</v>
      </c>
      <c r="D965" s="101">
        <f t="shared" si="24"/>
        <v>0.1241799437675728</v>
      </c>
    </row>
    <row r="966" spans="2:4" x14ac:dyDescent="0.25">
      <c r="B966" s="9">
        <v>38663</v>
      </c>
      <c r="C966" s="3">
        <v>2.1339999999999999</v>
      </c>
      <c r="D966" s="101">
        <f t="shared" si="24"/>
        <v>3.8695546361645183E-2</v>
      </c>
    </row>
    <row r="967" spans="2:4" x14ac:dyDescent="0.25">
      <c r="B967" s="9">
        <v>38656</v>
      </c>
      <c r="C967" s="3">
        <v>2.0545</v>
      </c>
      <c r="D967" s="101">
        <f t="shared" si="24"/>
        <v>5.4942233632862658E-2</v>
      </c>
    </row>
    <row r="968" spans="2:4" x14ac:dyDescent="0.25">
      <c r="B968" s="9">
        <v>38649</v>
      </c>
      <c r="C968" s="3">
        <v>1.9475</v>
      </c>
      <c r="D968" s="101">
        <f t="shared" si="24"/>
        <v>-0.15233949945593028</v>
      </c>
    </row>
    <row r="969" spans="2:4" x14ac:dyDescent="0.25">
      <c r="B969" s="9">
        <v>38642</v>
      </c>
      <c r="C969" s="3">
        <v>2.2974999999999999</v>
      </c>
      <c r="D969" s="101">
        <f t="shared" si="24"/>
        <v>4.9326330212377201E-2</v>
      </c>
    </row>
    <row r="970" spans="2:4" x14ac:dyDescent="0.25">
      <c r="B970" s="9">
        <v>38635</v>
      </c>
      <c r="C970" s="3">
        <v>2.1894999999999998</v>
      </c>
      <c r="D970" s="101">
        <f t="shared" si="24"/>
        <v>1.6010978956997324E-3</v>
      </c>
    </row>
    <row r="971" spans="2:4" x14ac:dyDescent="0.25">
      <c r="B971" s="9">
        <v>38628</v>
      </c>
      <c r="C971" s="3">
        <v>2.1859999999999999</v>
      </c>
      <c r="D971" s="101">
        <f t="shared" si="24"/>
        <v>-3.487858719646808E-2</v>
      </c>
    </row>
    <row r="972" spans="2:4" x14ac:dyDescent="0.25">
      <c r="B972" s="9">
        <v>38621</v>
      </c>
      <c r="C972" s="3">
        <v>2.2650000000000001</v>
      </c>
      <c r="D972" s="101">
        <f t="shared" si="24"/>
        <v>7.371415027257644E-2</v>
      </c>
    </row>
    <row r="973" spans="2:4" x14ac:dyDescent="0.25">
      <c r="B973" s="9">
        <v>38614</v>
      </c>
      <c r="C973" s="3">
        <v>2.1095000000000002</v>
      </c>
      <c r="D973" s="101">
        <f t="shared" si="24"/>
        <v>-1.4252336448598135E-2</v>
      </c>
    </row>
    <row r="974" spans="2:4" x14ac:dyDescent="0.25">
      <c r="B974" s="9">
        <v>38607</v>
      </c>
      <c r="C974" s="3">
        <v>2.14</v>
      </c>
      <c r="D974" s="101">
        <f t="shared" si="24"/>
        <v>-3.4924330616995514E-3</v>
      </c>
    </row>
    <row r="975" spans="2:4" x14ac:dyDescent="0.25">
      <c r="B975" s="9">
        <v>38600</v>
      </c>
      <c r="C975" s="3">
        <v>2.1475</v>
      </c>
      <c r="D975" s="101">
        <f t="shared" si="24"/>
        <v>3.469043603950861E-2</v>
      </c>
    </row>
    <row r="976" spans="2:4" x14ac:dyDescent="0.25">
      <c r="B976" s="9">
        <v>38593</v>
      </c>
      <c r="C976" s="3">
        <v>2.0754999999999999</v>
      </c>
      <c r="D976" s="101">
        <f t="shared" si="24"/>
        <v>-2.0297380221855121E-2</v>
      </c>
    </row>
    <row r="977" spans="2:4" x14ac:dyDescent="0.25">
      <c r="B977" s="9">
        <v>38586</v>
      </c>
      <c r="C977" s="3">
        <v>2.1185</v>
      </c>
      <c r="D977" s="101">
        <f t="shared" si="24"/>
        <v>-3.0878316559926788E-2</v>
      </c>
    </row>
    <row r="978" spans="2:4" x14ac:dyDescent="0.25">
      <c r="B978" s="9">
        <v>38579</v>
      </c>
      <c r="C978" s="3">
        <v>2.1859999999999999</v>
      </c>
      <c r="D978" s="101">
        <f t="shared" si="24"/>
        <v>-1.0859728506787292E-2</v>
      </c>
    </row>
    <row r="979" spans="2:4" x14ac:dyDescent="0.25">
      <c r="B979" s="9">
        <v>38572</v>
      </c>
      <c r="C979" s="3">
        <v>2.21</v>
      </c>
      <c r="D979" s="101">
        <f t="shared" si="24"/>
        <v>-2.3635962005743361E-2</v>
      </c>
    </row>
    <row r="980" spans="2:4" x14ac:dyDescent="0.25">
      <c r="B980" s="9">
        <v>38565</v>
      </c>
      <c r="C980" s="3">
        <v>2.2635000000000001</v>
      </c>
      <c r="D980" s="101">
        <f t="shared" si="24"/>
        <v>2.6578073089702503E-3</v>
      </c>
    </row>
    <row r="981" spans="2:4" x14ac:dyDescent="0.25">
      <c r="B981" s="9">
        <v>38558</v>
      </c>
      <c r="C981" s="3">
        <v>2.2574999999999998</v>
      </c>
      <c r="D981" s="101">
        <f t="shared" si="24"/>
        <v>0.18972332015810278</v>
      </c>
    </row>
    <row r="982" spans="2:4" x14ac:dyDescent="0.25">
      <c r="B982" s="9">
        <v>38551</v>
      </c>
      <c r="C982" s="3">
        <v>1.8975</v>
      </c>
      <c r="D982" s="101">
        <f t="shared" si="24"/>
        <v>2.1534320323014722E-2</v>
      </c>
    </row>
    <row r="983" spans="2:4" x14ac:dyDescent="0.25">
      <c r="B983" s="9">
        <v>38544</v>
      </c>
      <c r="C983" s="3">
        <v>1.8574999999999999</v>
      </c>
      <c r="D983" s="101">
        <f t="shared" si="24"/>
        <v>6.9372481289579735E-2</v>
      </c>
    </row>
    <row r="984" spans="2:4" x14ac:dyDescent="0.25">
      <c r="B984" s="9">
        <v>38537</v>
      </c>
      <c r="C984" s="3">
        <v>1.7370000000000001</v>
      </c>
      <c r="D984" s="101">
        <f t="shared" si="24"/>
        <v>5.5606198723792355E-2</v>
      </c>
    </row>
    <row r="985" spans="2:4" x14ac:dyDescent="0.25">
      <c r="B985" s="9">
        <v>38530</v>
      </c>
      <c r="C985" s="3">
        <v>1.6455</v>
      </c>
      <c r="D985" s="101">
        <f t="shared" si="24"/>
        <v>-6.0251284980011421E-2</v>
      </c>
    </row>
    <row r="986" spans="2:4" x14ac:dyDescent="0.25">
      <c r="B986" s="9">
        <v>38523</v>
      </c>
      <c r="C986" s="3">
        <v>1.7509999999999999</v>
      </c>
      <c r="D986" s="101">
        <f t="shared" si="24"/>
        <v>-8.2129708297933313E-3</v>
      </c>
    </row>
    <row r="987" spans="2:4" x14ac:dyDescent="0.25">
      <c r="B987" s="9">
        <v>38516</v>
      </c>
      <c r="C987" s="3">
        <v>1.7655000000000001</v>
      </c>
      <c r="D987" s="101">
        <f t="shared" si="24"/>
        <v>1.0300429184549431E-2</v>
      </c>
    </row>
    <row r="988" spans="2:4" x14ac:dyDescent="0.25">
      <c r="B988" s="9">
        <v>38509</v>
      </c>
      <c r="C988" s="3">
        <v>1.7475000000000001</v>
      </c>
      <c r="D988" s="101">
        <f t="shared" si="24"/>
        <v>-1.7982579376229268E-2</v>
      </c>
    </row>
    <row r="989" spans="2:4" x14ac:dyDescent="0.25">
      <c r="B989" s="9">
        <v>38502</v>
      </c>
      <c r="C989" s="3">
        <v>1.7795000000000001</v>
      </c>
      <c r="D989" s="101">
        <f t="shared" si="24"/>
        <v>2.5352112676058081E-3</v>
      </c>
    </row>
    <row r="990" spans="2:4" x14ac:dyDescent="0.25">
      <c r="B990" s="9">
        <v>38495</v>
      </c>
      <c r="C990" s="3">
        <v>1.7749999999999999</v>
      </c>
      <c r="D990" s="101">
        <f t="shared" si="24"/>
        <v>0</v>
      </c>
    </row>
    <row r="991" spans="2:4" x14ac:dyDescent="0.25">
      <c r="B991" s="9">
        <v>38488</v>
      </c>
      <c r="C991" s="3">
        <v>1.7749999999999999</v>
      </c>
      <c r="D991" s="101">
        <f t="shared" si="24"/>
        <v>4.71976401179941E-2</v>
      </c>
    </row>
    <row r="992" spans="2:4" x14ac:dyDescent="0.25">
      <c r="B992" s="9">
        <v>38481</v>
      </c>
      <c r="C992" s="3">
        <v>1.6950000000000001</v>
      </c>
      <c r="D992" s="101">
        <f t="shared" si="24"/>
        <v>-1.7960602549246807E-2</v>
      </c>
    </row>
    <row r="993" spans="2:4" x14ac:dyDescent="0.25">
      <c r="B993" s="9">
        <v>38474</v>
      </c>
      <c r="C993" s="3">
        <v>1.726</v>
      </c>
      <c r="D993" s="101">
        <f t="shared" si="24"/>
        <v>6.6749072929542574E-2</v>
      </c>
    </row>
    <row r="994" spans="2:4" x14ac:dyDescent="0.25">
      <c r="B994" s="9">
        <v>38467</v>
      </c>
      <c r="C994" s="3">
        <v>1.6180000000000001</v>
      </c>
      <c r="D994" s="101">
        <f t="shared" si="24"/>
        <v>-2.0581113801452666E-2</v>
      </c>
    </row>
    <row r="995" spans="2:4" x14ac:dyDescent="0.25">
      <c r="B995" s="9">
        <v>38460</v>
      </c>
      <c r="C995" s="3">
        <v>1.6519999999999999</v>
      </c>
      <c r="D995" s="101">
        <f t="shared" si="24"/>
        <v>6.0569351907924229E-4</v>
      </c>
    </row>
    <row r="996" spans="2:4" x14ac:dyDescent="0.25">
      <c r="B996" s="9">
        <v>38453</v>
      </c>
      <c r="C996" s="3">
        <v>1.651</v>
      </c>
      <c r="D996" s="101">
        <f t="shared" si="24"/>
        <v>-4.5664739884393013E-2</v>
      </c>
    </row>
    <row r="997" spans="2:4" x14ac:dyDescent="0.25">
      <c r="B997" s="9">
        <v>38446</v>
      </c>
      <c r="C997" s="3">
        <v>1.73</v>
      </c>
      <c r="D997" s="101">
        <f t="shared" si="24"/>
        <v>1.7347838870920285E-2</v>
      </c>
    </row>
    <row r="998" spans="2:4" x14ac:dyDescent="0.25">
      <c r="B998" s="9">
        <v>38439</v>
      </c>
      <c r="C998" s="3">
        <v>1.7004999999999999</v>
      </c>
      <c r="D998" s="101">
        <f t="shared" si="24"/>
        <v>3.4367396593673938E-2</v>
      </c>
    </row>
    <row r="999" spans="2:4" x14ac:dyDescent="0.25">
      <c r="B999" s="9">
        <v>38432</v>
      </c>
      <c r="C999" s="3">
        <v>1.6439999999999999</v>
      </c>
      <c r="D999" s="101">
        <f t="shared" si="24"/>
        <v>-3.7470725995316201E-2</v>
      </c>
    </row>
    <row r="1000" spans="2:4" x14ac:dyDescent="0.25">
      <c r="B1000" s="9">
        <v>38425</v>
      </c>
      <c r="C1000" s="3">
        <v>1.708</v>
      </c>
      <c r="D1000" s="101">
        <f t="shared" si="24"/>
        <v>-1.6978417266187096E-2</v>
      </c>
    </row>
    <row r="1001" spans="2:4" x14ac:dyDescent="0.25">
      <c r="B1001" s="9">
        <v>38418</v>
      </c>
      <c r="C1001" s="3">
        <v>1.7375</v>
      </c>
      <c r="D1001" s="101">
        <f t="shared" si="24"/>
        <v>-3.0683403068340276E-2</v>
      </c>
    </row>
    <row r="1002" spans="2:4" x14ac:dyDescent="0.25">
      <c r="B1002" s="9">
        <v>38411</v>
      </c>
      <c r="C1002" s="3">
        <v>1.7925</v>
      </c>
      <c r="D1002" s="101">
        <f t="shared" si="24"/>
        <v>2.457845098599587E-2</v>
      </c>
    </row>
    <row r="1003" spans="2:4" x14ac:dyDescent="0.25">
      <c r="B1003" s="9">
        <v>38404</v>
      </c>
      <c r="C1003" s="3">
        <v>1.7495000000000001</v>
      </c>
      <c r="D1003" s="101">
        <f t="shared" si="24"/>
        <v>-9.0625885018408292E-3</v>
      </c>
    </row>
    <row r="1004" spans="2:4" x14ac:dyDescent="0.25">
      <c r="B1004" s="9">
        <v>38397</v>
      </c>
      <c r="C1004" s="3">
        <v>1.7655000000000001</v>
      </c>
      <c r="D1004" s="101">
        <f t="shared" si="24"/>
        <v>-1.3135830072666166E-2</v>
      </c>
    </row>
    <row r="1005" spans="2:4" x14ac:dyDescent="0.25">
      <c r="B1005" s="9">
        <v>38390</v>
      </c>
      <c r="C1005" s="3">
        <v>1.7889999999999999</v>
      </c>
      <c r="D1005" s="101">
        <f t="shared" si="24"/>
        <v>1.6797312430010258E-3</v>
      </c>
    </row>
    <row r="1006" spans="2:4" x14ac:dyDescent="0.25">
      <c r="B1006" s="9">
        <v>38383</v>
      </c>
      <c r="C1006" s="3">
        <v>1.786</v>
      </c>
      <c r="D1006" s="101">
        <f t="shared" si="24"/>
        <v>-0.15395547134059695</v>
      </c>
    </row>
    <row r="1007" spans="2:4" x14ac:dyDescent="0.25">
      <c r="B1007" s="9">
        <v>38376</v>
      </c>
      <c r="C1007" s="3">
        <v>2.1110000000000002</v>
      </c>
      <c r="D1007" s="101">
        <f t="shared" si="24"/>
        <v>2.5753158406219834E-2</v>
      </c>
    </row>
    <row r="1008" spans="2:4" x14ac:dyDescent="0.25">
      <c r="B1008" s="9">
        <v>38369</v>
      </c>
      <c r="C1008" s="3">
        <v>2.0579999999999998</v>
      </c>
      <c r="D1008" s="101">
        <f t="shared" si="24"/>
        <v>-7.6094276094276214E-2</v>
      </c>
    </row>
    <row r="1009" spans="2:4" x14ac:dyDescent="0.25">
      <c r="B1009" s="9">
        <v>38362</v>
      </c>
      <c r="C1009" s="3">
        <v>2.2275</v>
      </c>
      <c r="D1009" s="101">
        <f t="shared" si="24"/>
        <v>5.2693761814744722E-2</v>
      </c>
    </row>
    <row r="1010" spans="2:4" x14ac:dyDescent="0.25">
      <c r="B1010" s="9">
        <v>38355</v>
      </c>
      <c r="C1010" s="3">
        <v>2.1160000000000001</v>
      </c>
      <c r="D1010" s="101">
        <f t="shared" si="24"/>
        <v>-4.4479566493565104E-2</v>
      </c>
    </row>
    <row r="1011" spans="2:4" x14ac:dyDescent="0.25">
      <c r="B1011" s="9">
        <v>38348</v>
      </c>
      <c r="C1011" s="3">
        <v>2.2145000000000001</v>
      </c>
      <c r="D1011" s="101">
        <f t="shared" si="24"/>
        <v>0.13768302080657602</v>
      </c>
    </row>
    <row r="1012" spans="2:4" x14ac:dyDescent="0.25">
      <c r="B1012" s="9">
        <v>38341</v>
      </c>
      <c r="C1012" s="3">
        <v>1.9464999999999999</v>
      </c>
      <c r="D1012" s="101">
        <f t="shared" si="24"/>
        <v>-2.6993251687078335E-2</v>
      </c>
    </row>
    <row r="1013" spans="2:4" x14ac:dyDescent="0.25">
      <c r="B1013" s="9">
        <v>38334</v>
      </c>
      <c r="C1013" s="3">
        <v>2.0005000000000002</v>
      </c>
      <c r="D1013" s="101">
        <f t="shared" si="24"/>
        <v>2.4583866837388113E-2</v>
      </c>
    </row>
    <row r="1014" spans="2:4" x14ac:dyDescent="0.25">
      <c r="B1014" s="9">
        <v>38327</v>
      </c>
      <c r="C1014" s="3">
        <v>1.9524999999999999</v>
      </c>
      <c r="D1014" s="101">
        <f t="shared" si="24"/>
        <v>-2.5941631329508774E-2</v>
      </c>
    </row>
    <row r="1015" spans="2:4" x14ac:dyDescent="0.25">
      <c r="B1015" s="9">
        <v>38320</v>
      </c>
      <c r="C1015" s="3">
        <v>2.0045000000000002</v>
      </c>
      <c r="D1015" s="101">
        <f t="shared" si="24"/>
        <v>2.5581990278843891E-2</v>
      </c>
    </row>
    <row r="1016" spans="2:4" x14ac:dyDescent="0.25">
      <c r="B1016" s="9">
        <v>38313</v>
      </c>
      <c r="C1016" s="3">
        <v>1.9544999999999999</v>
      </c>
      <c r="D1016" s="101">
        <f t="shared" si="24"/>
        <v>1.4007782101167265E-2</v>
      </c>
    </row>
    <row r="1017" spans="2:4" x14ac:dyDescent="0.25">
      <c r="B1017" s="9">
        <v>38306</v>
      </c>
      <c r="C1017" s="3">
        <v>1.9275</v>
      </c>
      <c r="D1017" s="101">
        <f t="shared" si="24"/>
        <v>-4.7207118141374238E-2</v>
      </c>
    </row>
    <row r="1018" spans="2:4" x14ac:dyDescent="0.25">
      <c r="B1018" s="9">
        <v>38299</v>
      </c>
      <c r="C1018" s="3">
        <v>2.0230000000000001</v>
      </c>
      <c r="D1018" s="101">
        <f t="shared" si="24"/>
        <v>0.10667396061269141</v>
      </c>
    </row>
    <row r="1019" spans="2:4" x14ac:dyDescent="0.25">
      <c r="B1019" s="9">
        <v>38292</v>
      </c>
      <c r="C1019" s="3">
        <v>1.8280000000000001</v>
      </c>
      <c r="D1019" s="101">
        <f t="shared" si="24"/>
        <v>7.1198359214767137E-2</v>
      </c>
    </row>
    <row r="1020" spans="2:4" x14ac:dyDescent="0.25">
      <c r="B1020" s="9">
        <v>38285</v>
      </c>
      <c r="C1020" s="3">
        <v>1.7064999999999999</v>
      </c>
      <c r="D1020" s="101">
        <f t="shared" si="24"/>
        <v>-1.3583815028901824E-2</v>
      </c>
    </row>
    <row r="1021" spans="2:4" x14ac:dyDescent="0.25">
      <c r="B1021" s="9">
        <v>38278</v>
      </c>
      <c r="C1021" s="3">
        <v>1.73</v>
      </c>
      <c r="D1021" s="101">
        <f t="shared" si="24"/>
        <v>-0.10246433203631644</v>
      </c>
    </row>
    <row r="1022" spans="2:4" x14ac:dyDescent="0.25">
      <c r="B1022" s="9">
        <v>38271</v>
      </c>
      <c r="C1022" s="3">
        <v>1.9275</v>
      </c>
      <c r="D1022" s="101">
        <f t="shared" si="24"/>
        <v>-3.6250000000000004E-2</v>
      </c>
    </row>
    <row r="1023" spans="2:4" x14ac:dyDescent="0.25">
      <c r="B1023" s="9">
        <v>38264</v>
      </c>
      <c r="C1023" s="3">
        <v>2</v>
      </c>
      <c r="D1023" s="101">
        <f t="shared" si="24"/>
        <v>-1.1613540894489627E-2</v>
      </c>
    </row>
    <row r="1024" spans="2:4" x14ac:dyDescent="0.25">
      <c r="B1024" s="9">
        <v>38257</v>
      </c>
      <c r="C1024" s="3">
        <v>2.0234999999999999</v>
      </c>
      <c r="D1024" s="101">
        <f t="shared" si="24"/>
        <v>-1.1480214948705547E-2</v>
      </c>
    </row>
    <row r="1025" spans="2:4" x14ac:dyDescent="0.25">
      <c r="B1025" s="9">
        <v>38250</v>
      </c>
      <c r="C1025" s="3">
        <v>2.0470000000000002</v>
      </c>
      <c r="D1025" s="101">
        <f t="shared" si="24"/>
        <v>-4.7020484171322097E-2</v>
      </c>
    </row>
    <row r="1026" spans="2:4" x14ac:dyDescent="0.25">
      <c r="B1026" s="9">
        <v>38243</v>
      </c>
      <c r="C1026" s="3">
        <v>2.1480000000000001</v>
      </c>
      <c r="D1026" s="101">
        <f t="shared" si="24"/>
        <v>0.11381903033445684</v>
      </c>
    </row>
    <row r="1027" spans="2:4" x14ac:dyDescent="0.25">
      <c r="B1027" s="9">
        <v>38236</v>
      </c>
      <c r="C1027" s="3">
        <v>1.9285000000000001</v>
      </c>
      <c r="D1027" s="101">
        <f t="shared" ref="D1027:D1090" si="25">C1027/C1028-1</f>
        <v>-4.3882292204439066E-3</v>
      </c>
    </row>
    <row r="1028" spans="2:4" x14ac:dyDescent="0.25">
      <c r="B1028" s="9">
        <v>38229</v>
      </c>
      <c r="C1028" s="3">
        <v>1.9370000000000001</v>
      </c>
      <c r="D1028" s="101">
        <f t="shared" si="25"/>
        <v>-2.9072681704260694E-2</v>
      </c>
    </row>
    <row r="1029" spans="2:4" x14ac:dyDescent="0.25">
      <c r="B1029" s="9">
        <v>38222</v>
      </c>
      <c r="C1029" s="3">
        <v>1.9950000000000001</v>
      </c>
      <c r="D1029" s="101">
        <f t="shared" si="25"/>
        <v>9.8709187547456612E-3</v>
      </c>
    </row>
    <row r="1030" spans="2:4" x14ac:dyDescent="0.25">
      <c r="B1030" s="9">
        <v>38215</v>
      </c>
      <c r="C1030" s="3">
        <v>1.9755</v>
      </c>
      <c r="D1030" s="101">
        <f t="shared" si="25"/>
        <v>9.3551065596457317E-2</v>
      </c>
    </row>
    <row r="1031" spans="2:4" x14ac:dyDescent="0.25">
      <c r="B1031" s="9">
        <v>38208</v>
      </c>
      <c r="C1031" s="3">
        <v>1.8065</v>
      </c>
      <c r="D1031" s="101">
        <f t="shared" si="25"/>
        <v>1.8033248802479696E-2</v>
      </c>
    </row>
    <row r="1032" spans="2:4" x14ac:dyDescent="0.25">
      <c r="B1032" s="9">
        <v>38201</v>
      </c>
      <c r="C1032" s="3">
        <v>1.7745</v>
      </c>
      <c r="D1032" s="101">
        <f t="shared" si="25"/>
        <v>-8.8129496402877705E-2</v>
      </c>
    </row>
    <row r="1033" spans="2:4" x14ac:dyDescent="0.25">
      <c r="B1033" s="9">
        <v>38194</v>
      </c>
      <c r="C1033" s="3">
        <v>1.946</v>
      </c>
      <c r="D1033" s="101">
        <f t="shared" si="25"/>
        <v>-2.6513256628314275E-2</v>
      </c>
    </row>
    <row r="1034" spans="2:4" x14ac:dyDescent="0.25">
      <c r="B1034" s="9">
        <v>38187</v>
      </c>
      <c r="C1034" s="3">
        <v>1.9990000000000001</v>
      </c>
      <c r="D1034" s="101">
        <f t="shared" si="25"/>
        <v>-0.1511677282377919</v>
      </c>
    </row>
    <row r="1035" spans="2:4" x14ac:dyDescent="0.25">
      <c r="B1035" s="9">
        <v>38180</v>
      </c>
      <c r="C1035" s="3">
        <v>2.355</v>
      </c>
      <c r="D1035" s="101">
        <f t="shared" si="25"/>
        <v>-2.5248344370860876E-2</v>
      </c>
    </row>
    <row r="1036" spans="2:4" x14ac:dyDescent="0.25">
      <c r="B1036" s="9">
        <v>38173</v>
      </c>
      <c r="C1036" s="3">
        <v>2.4159999999999999</v>
      </c>
      <c r="D1036" s="101">
        <f t="shared" si="25"/>
        <v>-8.1194143373264915E-2</v>
      </c>
    </row>
    <row r="1037" spans="2:4" x14ac:dyDescent="0.25">
      <c r="B1037" s="9">
        <v>38166</v>
      </c>
      <c r="C1037" s="3">
        <v>2.6295000000000002</v>
      </c>
      <c r="D1037" s="101">
        <f t="shared" si="25"/>
        <v>1.5250965250965365E-2</v>
      </c>
    </row>
    <row r="1038" spans="2:4" x14ac:dyDescent="0.25">
      <c r="B1038" s="9">
        <v>38159</v>
      </c>
      <c r="C1038" s="3">
        <v>2.59</v>
      </c>
      <c r="D1038" s="101">
        <f t="shared" si="25"/>
        <v>4.4354838709677269E-2</v>
      </c>
    </row>
    <row r="1039" spans="2:4" x14ac:dyDescent="0.25">
      <c r="B1039" s="9">
        <v>38152</v>
      </c>
      <c r="C1039" s="3">
        <v>2.48</v>
      </c>
      <c r="D1039" s="101">
        <f t="shared" si="25"/>
        <v>-6.80816980376453E-3</v>
      </c>
    </row>
    <row r="1040" spans="2:4" x14ac:dyDescent="0.25">
      <c r="B1040" s="9">
        <v>38145</v>
      </c>
      <c r="C1040" s="3">
        <v>2.4969999999999999</v>
      </c>
      <c r="D1040" s="101">
        <f t="shared" si="25"/>
        <v>-1.9823356231599587E-2</v>
      </c>
    </row>
    <row r="1041" spans="2:4" x14ac:dyDescent="0.25">
      <c r="B1041" s="9">
        <v>38138</v>
      </c>
      <c r="C1041" s="3">
        <v>2.5474999999999999</v>
      </c>
      <c r="D1041" s="101">
        <f t="shared" si="25"/>
        <v>5.0515463917525816E-2</v>
      </c>
    </row>
    <row r="1042" spans="2:4" x14ac:dyDescent="0.25">
      <c r="B1042" s="9">
        <v>38131</v>
      </c>
      <c r="C1042" s="3">
        <v>2.4249999999999998</v>
      </c>
      <c r="D1042" s="101">
        <f t="shared" si="25"/>
        <v>0.17804226378430887</v>
      </c>
    </row>
    <row r="1043" spans="2:4" x14ac:dyDescent="0.25">
      <c r="B1043" s="9">
        <v>38124</v>
      </c>
      <c r="C1043" s="3">
        <v>2.0585</v>
      </c>
      <c r="D1043" s="101">
        <f t="shared" si="25"/>
        <v>-4.3670150987224043E-2</v>
      </c>
    </row>
    <row r="1044" spans="2:4" x14ac:dyDescent="0.25">
      <c r="B1044" s="9">
        <v>38117</v>
      </c>
      <c r="C1044" s="3">
        <v>2.1524999999999999</v>
      </c>
      <c r="D1044" s="101">
        <f t="shared" si="25"/>
        <v>2.7446300715990191E-2</v>
      </c>
    </row>
    <row r="1045" spans="2:4" x14ac:dyDescent="0.25">
      <c r="B1045" s="9">
        <v>38110</v>
      </c>
      <c r="C1045" s="3">
        <v>2.0950000000000002</v>
      </c>
      <c r="D1045" s="101">
        <f t="shared" si="25"/>
        <v>-3.8990825688073327E-2</v>
      </c>
    </row>
    <row r="1046" spans="2:4" x14ac:dyDescent="0.25">
      <c r="B1046" s="9">
        <v>38103</v>
      </c>
      <c r="C1046" s="3">
        <v>2.1800000000000002</v>
      </c>
      <c r="D1046" s="101">
        <f t="shared" si="25"/>
        <v>-5.8111903218837635E-2</v>
      </c>
    </row>
    <row r="1047" spans="2:4" x14ac:dyDescent="0.25">
      <c r="B1047" s="9">
        <v>38096</v>
      </c>
      <c r="C1047" s="3">
        <v>2.3144999999999998</v>
      </c>
      <c r="D1047" s="101">
        <f t="shared" si="25"/>
        <v>1.7362637362637212E-2</v>
      </c>
    </row>
    <row r="1048" spans="2:4" x14ac:dyDescent="0.25">
      <c r="B1048" s="9">
        <v>38089</v>
      </c>
      <c r="C1048" s="3">
        <v>2.2749999999999999</v>
      </c>
      <c r="D1048" s="101">
        <f t="shared" si="25"/>
        <v>-5.4054054054054057E-2</v>
      </c>
    </row>
    <row r="1049" spans="2:4" x14ac:dyDescent="0.25">
      <c r="B1049" s="9">
        <v>38082</v>
      </c>
      <c r="C1049" s="3">
        <v>2.4049999999999998</v>
      </c>
      <c r="D1049" s="101">
        <f t="shared" si="25"/>
        <v>4.3610327619874045E-2</v>
      </c>
    </row>
    <row r="1050" spans="2:4" x14ac:dyDescent="0.25">
      <c r="B1050" s="9">
        <v>38075</v>
      </c>
      <c r="C1050" s="3">
        <v>2.3045</v>
      </c>
      <c r="D1050" s="101">
        <f t="shared" si="25"/>
        <v>0.1052757793764989</v>
      </c>
    </row>
    <row r="1051" spans="2:4" x14ac:dyDescent="0.25">
      <c r="B1051" s="9">
        <v>38068</v>
      </c>
      <c r="C1051" s="3">
        <v>2.085</v>
      </c>
      <c r="D1051" s="101">
        <f t="shared" si="25"/>
        <v>-2.5700934579439338E-2</v>
      </c>
    </row>
    <row r="1052" spans="2:4" x14ac:dyDescent="0.25">
      <c r="B1052" s="9">
        <v>38061</v>
      </c>
      <c r="C1052" s="3">
        <v>2.14</v>
      </c>
      <c r="D1052" s="101">
        <f t="shared" si="25"/>
        <v>8.4825636192271681E-3</v>
      </c>
    </row>
    <row r="1053" spans="2:4" x14ac:dyDescent="0.25">
      <c r="B1053" s="9">
        <v>38054</v>
      </c>
      <c r="C1053" s="3">
        <v>2.1219999999999999</v>
      </c>
      <c r="D1053" s="101">
        <f t="shared" si="25"/>
        <v>-3.7423452029938797E-2</v>
      </c>
    </row>
    <row r="1054" spans="2:4" x14ac:dyDescent="0.25">
      <c r="B1054" s="9">
        <v>38047</v>
      </c>
      <c r="C1054" s="3">
        <v>2.2044999999999999</v>
      </c>
      <c r="D1054" s="101">
        <f t="shared" si="25"/>
        <v>2.5110439432689979E-2</v>
      </c>
    </row>
    <row r="1055" spans="2:4" x14ac:dyDescent="0.25">
      <c r="B1055" s="9">
        <v>38040</v>
      </c>
      <c r="C1055" s="3">
        <v>2.1505000000000001</v>
      </c>
      <c r="D1055" s="101">
        <f t="shared" si="25"/>
        <v>-4.7819349125525878E-2</v>
      </c>
    </row>
    <row r="1056" spans="2:4" x14ac:dyDescent="0.25">
      <c r="B1056" s="9">
        <v>38033</v>
      </c>
      <c r="C1056" s="3">
        <v>2.2585000000000002</v>
      </c>
      <c r="D1056" s="101">
        <f t="shared" si="25"/>
        <v>-2.6088831392841683E-2</v>
      </c>
    </row>
    <row r="1057" spans="2:4" x14ac:dyDescent="0.25">
      <c r="B1057" s="9">
        <v>38026</v>
      </c>
      <c r="C1057" s="3">
        <v>2.319</v>
      </c>
      <c r="D1057" s="101">
        <f t="shared" si="25"/>
        <v>6.4724919093861466E-4</v>
      </c>
    </row>
    <row r="1058" spans="2:4" x14ac:dyDescent="0.25">
      <c r="B1058" s="9">
        <v>38019</v>
      </c>
      <c r="C1058" s="3">
        <v>2.3174999999999999</v>
      </c>
      <c r="D1058" s="101">
        <f t="shared" si="25"/>
        <v>-8.0357142857142905E-2</v>
      </c>
    </row>
    <row r="1059" spans="2:4" x14ac:dyDescent="0.25">
      <c r="B1059" s="9">
        <v>38012</v>
      </c>
      <c r="C1059" s="3">
        <v>2.52</v>
      </c>
      <c r="D1059" s="101">
        <f t="shared" si="25"/>
        <v>-0.11749255822097715</v>
      </c>
    </row>
    <row r="1060" spans="2:4" x14ac:dyDescent="0.25">
      <c r="B1060" s="9">
        <v>38005</v>
      </c>
      <c r="C1060" s="3">
        <v>2.8555000000000001</v>
      </c>
      <c r="D1060" s="101">
        <f t="shared" si="25"/>
        <v>2.4946159368270049E-2</v>
      </c>
    </row>
    <row r="1061" spans="2:4" x14ac:dyDescent="0.25">
      <c r="B1061" s="9">
        <v>37998</v>
      </c>
      <c r="C1061" s="3">
        <v>2.786</v>
      </c>
      <c r="D1061" s="101">
        <f t="shared" si="25"/>
        <v>8.0054274084124799E-2</v>
      </c>
    </row>
    <row r="1062" spans="2:4" x14ac:dyDescent="0.25">
      <c r="B1062" s="9">
        <v>37991</v>
      </c>
      <c r="C1062" s="3">
        <v>2.5794999999999999</v>
      </c>
      <c r="D1062" s="101">
        <f t="shared" si="25"/>
        <v>-5.9730250481696556E-3</v>
      </c>
    </row>
    <row r="1063" spans="2:4" x14ac:dyDescent="0.25">
      <c r="B1063" s="9">
        <v>37984</v>
      </c>
      <c r="C1063" s="3">
        <v>2.5950000000000002</v>
      </c>
      <c r="D1063" s="101">
        <f t="shared" si="25"/>
        <v>-2.9362259210772401E-2</v>
      </c>
    </row>
    <row r="1064" spans="2:4" x14ac:dyDescent="0.25">
      <c r="B1064" s="9">
        <v>37977</v>
      </c>
      <c r="C1064" s="3">
        <v>2.6735000000000002</v>
      </c>
      <c r="D1064" s="101">
        <f t="shared" si="25"/>
        <v>8.5905767668562172E-2</v>
      </c>
    </row>
    <row r="1065" spans="2:4" x14ac:dyDescent="0.25">
      <c r="B1065" s="9">
        <v>37970</v>
      </c>
      <c r="C1065" s="3">
        <v>2.4620000000000002</v>
      </c>
      <c r="D1065" s="101">
        <f t="shared" si="25"/>
        <v>-3.4320454991174754E-2</v>
      </c>
    </row>
    <row r="1066" spans="2:4" x14ac:dyDescent="0.25">
      <c r="B1066" s="9">
        <v>37963</v>
      </c>
      <c r="C1066" s="3">
        <v>2.5495000000000001</v>
      </c>
      <c r="D1066" s="101">
        <f t="shared" si="25"/>
        <v>-1.1055081458494875E-2</v>
      </c>
    </row>
    <row r="1067" spans="2:4" x14ac:dyDescent="0.25">
      <c r="B1067" s="9">
        <v>37956</v>
      </c>
      <c r="C1067" s="3">
        <v>2.5779999999999998</v>
      </c>
      <c r="D1067" s="101">
        <f t="shared" si="25"/>
        <v>-4.4654437650546663E-2</v>
      </c>
    </row>
    <row r="1068" spans="2:4" x14ac:dyDescent="0.25">
      <c r="B1068" s="9">
        <v>37949</v>
      </c>
      <c r="C1068" s="3">
        <v>2.6985000000000001</v>
      </c>
      <c r="D1068" s="101">
        <f t="shared" si="25"/>
        <v>0.1109510086455332</v>
      </c>
    </row>
    <row r="1069" spans="2:4" x14ac:dyDescent="0.25">
      <c r="B1069" s="9">
        <v>37942</v>
      </c>
      <c r="C1069" s="3">
        <v>2.4289999999999998</v>
      </c>
      <c r="D1069" s="101">
        <f t="shared" si="25"/>
        <v>-7.3784556720686401E-2</v>
      </c>
    </row>
    <row r="1070" spans="2:4" x14ac:dyDescent="0.25">
      <c r="B1070" s="9">
        <v>37935</v>
      </c>
      <c r="C1070" s="3">
        <v>2.6225000000000001</v>
      </c>
      <c r="D1070" s="101">
        <f t="shared" si="25"/>
        <v>-3.4247836494199935E-2</v>
      </c>
    </row>
    <row r="1071" spans="2:4" x14ac:dyDescent="0.25">
      <c r="B1071" s="9">
        <v>37928</v>
      </c>
      <c r="C1071" s="3">
        <v>2.7155</v>
      </c>
      <c r="D1071" s="101">
        <f t="shared" si="25"/>
        <v>-2.2046665441851632E-3</v>
      </c>
    </row>
    <row r="1072" spans="2:4" x14ac:dyDescent="0.25">
      <c r="B1072" s="9">
        <v>37921</v>
      </c>
      <c r="C1072" s="3">
        <v>2.7214999999999998</v>
      </c>
      <c r="D1072" s="101">
        <f t="shared" si="25"/>
        <v>-1.4676206200696651E-3</v>
      </c>
    </row>
    <row r="1073" spans="2:4" x14ac:dyDescent="0.25">
      <c r="B1073" s="9">
        <v>37914</v>
      </c>
      <c r="C1073" s="3">
        <v>2.7254999999999998</v>
      </c>
      <c r="D1073" s="101">
        <f t="shared" si="25"/>
        <v>-8.678170547830466E-2</v>
      </c>
    </row>
    <row r="1074" spans="2:4" x14ac:dyDescent="0.25">
      <c r="B1074" s="9">
        <v>37907</v>
      </c>
      <c r="C1074" s="3">
        <v>2.9845000000000002</v>
      </c>
      <c r="D1074" s="101">
        <f t="shared" si="25"/>
        <v>2.807440578711673E-2</v>
      </c>
    </row>
    <row r="1075" spans="2:4" x14ac:dyDescent="0.25">
      <c r="B1075" s="9">
        <v>37900</v>
      </c>
      <c r="C1075" s="3">
        <v>2.903</v>
      </c>
      <c r="D1075" s="101">
        <f t="shared" si="25"/>
        <v>9.7750047267914697E-2</v>
      </c>
    </row>
    <row r="1076" spans="2:4" x14ac:dyDescent="0.25">
      <c r="B1076" s="9">
        <v>37893</v>
      </c>
      <c r="C1076" s="3">
        <v>2.6444999999999999</v>
      </c>
      <c r="D1076" s="101">
        <f t="shared" si="25"/>
        <v>8.9168039538714883E-2</v>
      </c>
    </row>
    <row r="1077" spans="2:4" x14ac:dyDescent="0.25">
      <c r="B1077" s="9">
        <v>37886</v>
      </c>
      <c r="C1077" s="3">
        <v>2.4279999999999999</v>
      </c>
      <c r="D1077" s="101">
        <f t="shared" si="25"/>
        <v>2.0596889449348454E-2</v>
      </c>
    </row>
    <row r="1078" spans="2:4" x14ac:dyDescent="0.25">
      <c r="B1078" s="9">
        <v>37879</v>
      </c>
      <c r="C1078" s="3">
        <v>2.379</v>
      </c>
      <c r="D1078" s="101">
        <f t="shared" si="25"/>
        <v>4.1593695271453734E-2</v>
      </c>
    </row>
    <row r="1079" spans="2:4" x14ac:dyDescent="0.25">
      <c r="B1079" s="9">
        <v>37872</v>
      </c>
      <c r="C1079" s="3">
        <v>2.2839999999999998</v>
      </c>
      <c r="D1079" s="101">
        <f t="shared" si="25"/>
        <v>-1.8056749785038795E-2</v>
      </c>
    </row>
    <row r="1080" spans="2:4" x14ac:dyDescent="0.25">
      <c r="B1080" s="9">
        <v>37865</v>
      </c>
      <c r="C1080" s="3">
        <v>2.3260000000000001</v>
      </c>
      <c r="D1080" s="101">
        <f t="shared" si="25"/>
        <v>4.3177892918826455E-3</v>
      </c>
    </row>
    <row r="1081" spans="2:4" x14ac:dyDescent="0.25">
      <c r="B1081" s="9">
        <v>37858</v>
      </c>
      <c r="C1081" s="3">
        <v>2.3159999999999998</v>
      </c>
      <c r="D1081" s="101">
        <f t="shared" si="25"/>
        <v>2.4325519681556607E-2</v>
      </c>
    </row>
    <row r="1082" spans="2:4" x14ac:dyDescent="0.25">
      <c r="B1082" s="9">
        <v>37851</v>
      </c>
      <c r="C1082" s="3">
        <v>2.2610000000000001</v>
      </c>
      <c r="D1082" s="101">
        <f t="shared" si="25"/>
        <v>0.12768079800498766</v>
      </c>
    </row>
    <row r="1083" spans="2:4" x14ac:dyDescent="0.25">
      <c r="B1083" s="9">
        <v>37844</v>
      </c>
      <c r="C1083" s="3">
        <v>2.0049999999999999</v>
      </c>
      <c r="D1083" s="101">
        <f t="shared" si="25"/>
        <v>2.4265644955300036E-2</v>
      </c>
    </row>
    <row r="1084" spans="2:4" x14ac:dyDescent="0.25">
      <c r="B1084" s="9">
        <v>37837</v>
      </c>
      <c r="C1084" s="3">
        <v>1.9575</v>
      </c>
      <c r="D1084" s="101">
        <f t="shared" si="25"/>
        <v>-2.198351236572571E-2</v>
      </c>
    </row>
    <row r="1085" spans="2:4" x14ac:dyDescent="0.25">
      <c r="B1085" s="9">
        <v>37830</v>
      </c>
      <c r="C1085" s="3">
        <v>2.0015000000000001</v>
      </c>
      <c r="D1085" s="101">
        <f t="shared" si="25"/>
        <v>-3.7740384615384648E-2</v>
      </c>
    </row>
    <row r="1086" spans="2:4" x14ac:dyDescent="0.25">
      <c r="B1086" s="9">
        <v>37823</v>
      </c>
      <c r="C1086" s="3">
        <v>2.08</v>
      </c>
      <c r="D1086" s="101">
        <f t="shared" si="25"/>
        <v>0.18925100057175515</v>
      </c>
    </row>
    <row r="1087" spans="2:4" x14ac:dyDescent="0.25">
      <c r="B1087" s="9">
        <v>37816</v>
      </c>
      <c r="C1087" s="3">
        <v>1.7490000000000001</v>
      </c>
      <c r="D1087" s="101">
        <f t="shared" si="25"/>
        <v>-7.0916334661354608E-2</v>
      </c>
    </row>
    <row r="1088" spans="2:4" x14ac:dyDescent="0.25">
      <c r="B1088" s="9">
        <v>37809</v>
      </c>
      <c r="C1088" s="3">
        <v>1.8825000000000001</v>
      </c>
      <c r="D1088" s="101">
        <f t="shared" si="25"/>
        <v>-7.1202531645568889E-3</v>
      </c>
    </row>
    <row r="1089" spans="2:4" x14ac:dyDescent="0.25">
      <c r="B1089" s="9">
        <v>37802</v>
      </c>
      <c r="C1089" s="3">
        <v>1.8959999999999999</v>
      </c>
      <c r="D1089" s="101">
        <f t="shared" si="25"/>
        <v>4.4628099173553704E-2</v>
      </c>
    </row>
    <row r="1090" spans="2:4" x14ac:dyDescent="0.25">
      <c r="B1090" s="9">
        <v>37795</v>
      </c>
      <c r="C1090" s="3">
        <v>1.8149999999999999</v>
      </c>
      <c r="D1090" s="101">
        <f t="shared" si="25"/>
        <v>3.5958904109588907E-2</v>
      </c>
    </row>
    <row r="1091" spans="2:4" x14ac:dyDescent="0.25">
      <c r="B1091" s="9">
        <v>37788</v>
      </c>
      <c r="C1091" s="3">
        <v>1.752</v>
      </c>
      <c r="D1091" s="101">
        <f t="shared" ref="D1091:D1154" si="26">C1091/C1092-1</f>
        <v>2.6662760035159661E-2</v>
      </c>
    </row>
    <row r="1092" spans="2:4" x14ac:dyDescent="0.25">
      <c r="B1092" s="9">
        <v>37781</v>
      </c>
      <c r="C1092" s="3">
        <v>1.7064999999999999</v>
      </c>
      <c r="D1092" s="101">
        <f t="shared" si="26"/>
        <v>2.3388305847076518E-2</v>
      </c>
    </row>
    <row r="1093" spans="2:4" x14ac:dyDescent="0.25">
      <c r="B1093" s="9">
        <v>37774</v>
      </c>
      <c r="C1093" s="3">
        <v>1.6675</v>
      </c>
      <c r="D1093" s="101">
        <f t="shared" si="26"/>
        <v>-7.0771802730565603E-2</v>
      </c>
    </row>
    <row r="1094" spans="2:4" x14ac:dyDescent="0.25">
      <c r="B1094" s="9">
        <v>37767</v>
      </c>
      <c r="C1094" s="3">
        <v>1.7945</v>
      </c>
      <c r="D1094" s="101">
        <f t="shared" si="26"/>
        <v>9.6882640586797075E-2</v>
      </c>
    </row>
    <row r="1095" spans="2:4" x14ac:dyDescent="0.25">
      <c r="B1095" s="9">
        <v>37760</v>
      </c>
      <c r="C1095" s="3">
        <v>1.6359999999999999</v>
      </c>
      <c r="D1095" s="101">
        <f t="shared" si="26"/>
        <v>-9.9848714069592504E-3</v>
      </c>
    </row>
    <row r="1096" spans="2:4" x14ac:dyDescent="0.25">
      <c r="B1096" s="9">
        <v>37753</v>
      </c>
      <c r="C1096" s="3">
        <v>1.6525000000000001</v>
      </c>
      <c r="D1096" s="101">
        <f t="shared" si="26"/>
        <v>6.7506459948320385E-2</v>
      </c>
    </row>
    <row r="1097" spans="2:4" x14ac:dyDescent="0.25">
      <c r="B1097" s="9">
        <v>37746</v>
      </c>
      <c r="C1097" s="3">
        <v>1.548</v>
      </c>
      <c r="D1097" s="101">
        <f t="shared" si="26"/>
        <v>5.1987767584097844E-2</v>
      </c>
    </row>
    <row r="1098" spans="2:4" x14ac:dyDescent="0.25">
      <c r="B1098" s="9">
        <v>37739</v>
      </c>
      <c r="C1098" s="3">
        <v>1.4715</v>
      </c>
      <c r="D1098" s="101">
        <f t="shared" si="26"/>
        <v>1.5878494994822301E-2</v>
      </c>
    </row>
    <row r="1099" spans="2:4" x14ac:dyDescent="0.25">
      <c r="B1099" s="9">
        <v>37732</v>
      </c>
      <c r="C1099" s="3">
        <v>1.4484999999999999</v>
      </c>
      <c r="D1099" s="101">
        <f t="shared" si="26"/>
        <v>0.15926370548219282</v>
      </c>
    </row>
    <row r="1100" spans="2:4" x14ac:dyDescent="0.25">
      <c r="B1100" s="9">
        <v>37725</v>
      </c>
      <c r="C1100" s="3">
        <v>1.2495000000000001</v>
      </c>
      <c r="D1100" s="101">
        <f t="shared" si="26"/>
        <v>-2.9514563106796121E-2</v>
      </c>
    </row>
    <row r="1101" spans="2:4" x14ac:dyDescent="0.25">
      <c r="B1101" s="9">
        <v>37718</v>
      </c>
      <c r="C1101" s="3">
        <v>1.2875000000000001</v>
      </c>
      <c r="D1101" s="101">
        <f t="shared" si="26"/>
        <v>-1.7925247902364494E-2</v>
      </c>
    </row>
    <row r="1102" spans="2:4" x14ac:dyDescent="0.25">
      <c r="B1102" s="9">
        <v>37711</v>
      </c>
      <c r="C1102" s="3">
        <v>1.3109999999999999</v>
      </c>
      <c r="D1102" s="101">
        <f t="shared" si="26"/>
        <v>-3.532008830022082E-2</v>
      </c>
    </row>
    <row r="1103" spans="2:4" x14ac:dyDescent="0.25">
      <c r="B1103" s="9">
        <v>37704</v>
      </c>
      <c r="C1103" s="3">
        <v>1.359</v>
      </c>
      <c r="D1103" s="101">
        <f t="shared" si="26"/>
        <v>-2.68528464017187E-2</v>
      </c>
    </row>
    <row r="1104" spans="2:4" x14ac:dyDescent="0.25">
      <c r="B1104" s="9">
        <v>37697</v>
      </c>
      <c r="C1104" s="3">
        <v>1.3965000000000001</v>
      </c>
      <c r="D1104" s="101">
        <f t="shared" si="26"/>
        <v>0.13031161473087827</v>
      </c>
    </row>
    <row r="1105" spans="2:4" x14ac:dyDescent="0.25">
      <c r="B1105" s="9">
        <v>37690</v>
      </c>
      <c r="C1105" s="3">
        <v>1.2355</v>
      </c>
      <c r="D1105" s="101">
        <f t="shared" si="26"/>
        <v>7.5750979538528496E-2</v>
      </c>
    </row>
    <row r="1106" spans="2:4" x14ac:dyDescent="0.25">
      <c r="B1106" s="9">
        <v>37683</v>
      </c>
      <c r="C1106" s="3">
        <v>1.1485000000000001</v>
      </c>
      <c r="D1106" s="101">
        <f t="shared" si="26"/>
        <v>4.3616537937301247E-2</v>
      </c>
    </row>
    <row r="1107" spans="2:4" x14ac:dyDescent="0.25">
      <c r="B1107" s="9">
        <v>37676</v>
      </c>
      <c r="C1107" s="3">
        <v>1.1005</v>
      </c>
      <c r="D1107" s="101">
        <f t="shared" si="26"/>
        <v>1.0560146923783265E-2</v>
      </c>
    </row>
    <row r="1108" spans="2:4" x14ac:dyDescent="0.25">
      <c r="B1108" s="9">
        <v>37669</v>
      </c>
      <c r="C1108" s="3">
        <v>1.089</v>
      </c>
      <c r="D1108" s="101">
        <f t="shared" si="26"/>
        <v>8.5742771684945263E-2</v>
      </c>
    </row>
    <row r="1109" spans="2:4" x14ac:dyDescent="0.25">
      <c r="B1109" s="9">
        <v>37662</v>
      </c>
      <c r="C1109" s="3">
        <v>1.0029999999999999</v>
      </c>
      <c r="D1109" s="101">
        <f t="shared" si="26"/>
        <v>-6.4365671641791189E-2</v>
      </c>
    </row>
    <row r="1110" spans="2:4" x14ac:dyDescent="0.25">
      <c r="B1110" s="9">
        <v>37655</v>
      </c>
      <c r="C1110" s="3">
        <v>1.0720000000000001</v>
      </c>
      <c r="D1110" s="101">
        <f t="shared" si="26"/>
        <v>-1.8764302059496529E-2</v>
      </c>
    </row>
    <row r="1111" spans="2:4" x14ac:dyDescent="0.25">
      <c r="B1111" s="9">
        <v>37648</v>
      </c>
      <c r="C1111" s="3">
        <v>1.0925</v>
      </c>
      <c r="D1111" s="101">
        <f t="shared" si="26"/>
        <v>-1.1759384893713198E-2</v>
      </c>
    </row>
    <row r="1112" spans="2:4" x14ac:dyDescent="0.25">
      <c r="B1112" s="9">
        <v>37641</v>
      </c>
      <c r="C1112" s="3">
        <v>1.1054999999999999</v>
      </c>
      <c r="D1112" s="101">
        <f t="shared" si="26"/>
        <v>3.3177570093457787E-2</v>
      </c>
    </row>
    <row r="1113" spans="2:4" x14ac:dyDescent="0.25">
      <c r="B1113" s="9">
        <v>37634</v>
      </c>
      <c r="C1113" s="3">
        <v>1.07</v>
      </c>
      <c r="D1113" s="101">
        <f t="shared" si="26"/>
        <v>3.7523452157599557E-3</v>
      </c>
    </row>
    <row r="1114" spans="2:4" x14ac:dyDescent="0.25">
      <c r="B1114" s="9">
        <v>37627</v>
      </c>
      <c r="C1114" s="3">
        <v>1.0660000000000001</v>
      </c>
      <c r="D1114" s="101">
        <f t="shared" si="26"/>
        <v>3.8986354775828458E-2</v>
      </c>
    </row>
    <row r="1115" spans="2:4" x14ac:dyDescent="0.25">
      <c r="B1115" s="9">
        <v>37620</v>
      </c>
      <c r="C1115" s="3">
        <v>1.026</v>
      </c>
      <c r="D1115" s="101">
        <f t="shared" si="26"/>
        <v>8.8016967126193002E-2</v>
      </c>
    </row>
    <row r="1116" spans="2:4" x14ac:dyDescent="0.25">
      <c r="B1116" s="9">
        <v>37613</v>
      </c>
      <c r="C1116" s="3">
        <v>0.94299999999999995</v>
      </c>
      <c r="D1116" s="101">
        <f t="shared" si="26"/>
        <v>-0.13999088007295946</v>
      </c>
    </row>
    <row r="1117" spans="2:4" x14ac:dyDescent="0.25">
      <c r="B1117" s="9">
        <v>37606</v>
      </c>
      <c r="C1117" s="3">
        <v>1.0965</v>
      </c>
      <c r="D1117" s="101">
        <f t="shared" si="26"/>
        <v>-1.1271415689810604E-2</v>
      </c>
    </row>
    <row r="1118" spans="2:4" x14ac:dyDescent="0.25">
      <c r="B1118" s="9">
        <v>37599</v>
      </c>
      <c r="C1118" s="3">
        <v>1.109</v>
      </c>
      <c r="D1118" s="101">
        <f t="shared" si="26"/>
        <v>-1.9018133569217222E-2</v>
      </c>
    </row>
    <row r="1119" spans="2:4" x14ac:dyDescent="0.25">
      <c r="B1119" s="9">
        <v>37592</v>
      </c>
      <c r="C1119" s="3">
        <v>1.1305000000000001</v>
      </c>
      <c r="D1119" s="101">
        <f t="shared" si="26"/>
        <v>-3.1691648822269713E-2</v>
      </c>
    </row>
    <row r="1120" spans="2:4" x14ac:dyDescent="0.25">
      <c r="B1120" s="9">
        <v>37585</v>
      </c>
      <c r="C1120" s="3">
        <v>1.1675</v>
      </c>
      <c r="D1120" s="101">
        <f t="shared" si="26"/>
        <v>-2.667778240933727E-2</v>
      </c>
    </row>
    <row r="1121" spans="2:4" x14ac:dyDescent="0.25">
      <c r="B1121" s="9">
        <v>37578</v>
      </c>
      <c r="C1121" s="3">
        <v>1.1995</v>
      </c>
      <c r="D1121" s="101">
        <f t="shared" si="26"/>
        <v>8.014407924358391E-2</v>
      </c>
    </row>
    <row r="1122" spans="2:4" x14ac:dyDescent="0.25">
      <c r="B1122" s="9">
        <v>37571</v>
      </c>
      <c r="C1122" s="3">
        <v>1.1105</v>
      </c>
      <c r="D1122" s="101">
        <f t="shared" si="26"/>
        <v>0.1383905689390057</v>
      </c>
    </row>
    <row r="1123" spans="2:4" x14ac:dyDescent="0.25">
      <c r="B1123" s="9">
        <v>37564</v>
      </c>
      <c r="C1123" s="3">
        <v>0.97550000000000003</v>
      </c>
      <c r="D1123" s="101">
        <f t="shared" si="26"/>
        <v>-1.4646464646464574E-2</v>
      </c>
    </row>
    <row r="1124" spans="2:4" x14ac:dyDescent="0.25">
      <c r="B1124" s="9">
        <v>37557</v>
      </c>
      <c r="C1124" s="3">
        <v>0.99</v>
      </c>
      <c r="D1124" s="101">
        <f t="shared" si="26"/>
        <v>2.5906735751295429E-2</v>
      </c>
    </row>
    <row r="1125" spans="2:4" x14ac:dyDescent="0.25">
      <c r="B1125" s="9">
        <v>37550</v>
      </c>
      <c r="C1125" s="3">
        <v>0.96499999999999997</v>
      </c>
      <c r="D1125" s="101">
        <f t="shared" si="26"/>
        <v>1.3655462184873901E-2</v>
      </c>
    </row>
    <row r="1126" spans="2:4" x14ac:dyDescent="0.25">
      <c r="B1126" s="9">
        <v>37543</v>
      </c>
      <c r="C1126" s="3">
        <v>0.95199999999999996</v>
      </c>
      <c r="D1126" s="101">
        <f t="shared" si="26"/>
        <v>3.1419284940411574E-2</v>
      </c>
    </row>
    <row r="1127" spans="2:4" x14ac:dyDescent="0.25">
      <c r="B1127" s="9">
        <v>37536</v>
      </c>
      <c r="C1127" s="3">
        <v>0.92300000000000004</v>
      </c>
      <c r="D1127" s="101">
        <f t="shared" si="26"/>
        <v>0.11540785498489425</v>
      </c>
    </row>
    <row r="1128" spans="2:4" x14ac:dyDescent="0.25">
      <c r="B1128" s="9">
        <v>37529</v>
      </c>
      <c r="C1128" s="3">
        <v>0.82750000000000001</v>
      </c>
      <c r="D1128" s="101">
        <f t="shared" si="26"/>
        <v>-2.7042915931804856E-2</v>
      </c>
    </row>
    <row r="1129" spans="2:4" x14ac:dyDescent="0.25">
      <c r="B1129" s="9">
        <v>37522</v>
      </c>
      <c r="C1129" s="3">
        <v>0.85050000000000003</v>
      </c>
      <c r="D1129" s="101">
        <f t="shared" si="26"/>
        <v>7.250945775535933E-2</v>
      </c>
    </row>
    <row r="1130" spans="2:4" x14ac:dyDescent="0.25">
      <c r="B1130" s="9">
        <v>37515</v>
      </c>
      <c r="C1130" s="3">
        <v>0.79300000000000004</v>
      </c>
      <c r="D1130" s="101">
        <f t="shared" si="26"/>
        <v>-4.5153521974714006E-2</v>
      </c>
    </row>
    <row r="1131" spans="2:4" x14ac:dyDescent="0.25">
      <c r="B1131" s="9">
        <v>37508</v>
      </c>
      <c r="C1131" s="3">
        <v>0.83050000000000002</v>
      </c>
      <c r="D1131" s="101">
        <f t="shared" si="26"/>
        <v>8.4911822338340937E-2</v>
      </c>
    </row>
    <row r="1132" spans="2:4" x14ac:dyDescent="0.25">
      <c r="B1132" s="9">
        <v>37501</v>
      </c>
      <c r="C1132" s="3">
        <v>0.76549999999999996</v>
      </c>
      <c r="D1132" s="101">
        <f t="shared" si="26"/>
        <v>2.4765729585006557E-2</v>
      </c>
    </row>
    <row r="1133" spans="2:4" x14ac:dyDescent="0.25">
      <c r="B1133" s="9">
        <v>37494</v>
      </c>
      <c r="C1133" s="3">
        <v>0.747</v>
      </c>
      <c r="D1133" s="101">
        <f t="shared" si="26"/>
        <v>-1.5161502966380969E-2</v>
      </c>
    </row>
    <row r="1134" spans="2:4" x14ac:dyDescent="0.25">
      <c r="B1134" s="9">
        <v>37487</v>
      </c>
      <c r="C1134" s="3">
        <v>0.75849999999999995</v>
      </c>
      <c r="D1134" s="101">
        <f t="shared" si="26"/>
        <v>1.8120805369127524E-2</v>
      </c>
    </row>
    <row r="1135" spans="2:4" x14ac:dyDescent="0.25">
      <c r="B1135" s="9">
        <v>37480</v>
      </c>
      <c r="C1135" s="3">
        <v>0.745</v>
      </c>
      <c r="D1135" s="101">
        <f t="shared" si="26"/>
        <v>4.4880785413744739E-2</v>
      </c>
    </row>
    <row r="1136" spans="2:4" x14ac:dyDescent="0.25">
      <c r="B1136" s="9">
        <v>37473</v>
      </c>
      <c r="C1136" s="3">
        <v>0.71299999999999997</v>
      </c>
      <c r="D1136" s="101">
        <f t="shared" si="26"/>
        <v>3.0346820809248554E-2</v>
      </c>
    </row>
    <row r="1137" spans="2:4" x14ac:dyDescent="0.25">
      <c r="B1137" s="9">
        <v>37466</v>
      </c>
      <c r="C1137" s="3">
        <v>0.69199999999999995</v>
      </c>
      <c r="D1137" s="101">
        <f t="shared" si="26"/>
        <v>7.0378963650425286E-2</v>
      </c>
    </row>
    <row r="1138" spans="2:4" x14ac:dyDescent="0.25">
      <c r="B1138" s="9">
        <v>37459</v>
      </c>
      <c r="C1138" s="3">
        <v>0.64649999999999996</v>
      </c>
      <c r="D1138" s="101">
        <f t="shared" si="26"/>
        <v>-0.15434924787442772</v>
      </c>
    </row>
    <row r="1139" spans="2:4" x14ac:dyDescent="0.25">
      <c r="B1139" s="9">
        <v>37452</v>
      </c>
      <c r="C1139" s="3">
        <v>0.76449999999999996</v>
      </c>
      <c r="D1139" s="101">
        <f t="shared" si="26"/>
        <v>-9.0732339598185163E-3</v>
      </c>
    </row>
    <row r="1140" spans="2:4" x14ac:dyDescent="0.25">
      <c r="B1140" s="9">
        <v>37445</v>
      </c>
      <c r="C1140" s="3">
        <v>0.77149999999999996</v>
      </c>
      <c r="D1140" s="101">
        <f t="shared" si="26"/>
        <v>1.4464168310322156E-2</v>
      </c>
    </row>
    <row r="1141" spans="2:4" x14ac:dyDescent="0.25">
      <c r="B1141" s="9">
        <v>37438</v>
      </c>
      <c r="C1141" s="3">
        <v>0.76049999999999995</v>
      </c>
      <c r="D1141" s="101">
        <f t="shared" si="26"/>
        <v>-6.4000000000000057E-2</v>
      </c>
    </row>
    <row r="1142" spans="2:4" x14ac:dyDescent="0.25">
      <c r="B1142" s="9">
        <v>37431</v>
      </c>
      <c r="C1142" s="3">
        <v>0.8125</v>
      </c>
      <c r="D1142" s="101">
        <f t="shared" si="26"/>
        <v>-7.3017683970336478E-2</v>
      </c>
    </row>
    <row r="1143" spans="2:4" x14ac:dyDescent="0.25">
      <c r="B1143" s="9">
        <v>37424</v>
      </c>
      <c r="C1143" s="3">
        <v>0.87649999999999995</v>
      </c>
      <c r="D1143" s="101">
        <f t="shared" si="26"/>
        <v>4.2211652794292398E-2</v>
      </c>
    </row>
    <row r="1144" spans="2:4" x14ac:dyDescent="0.25">
      <c r="B1144" s="9">
        <v>37417</v>
      </c>
      <c r="C1144" s="3">
        <v>0.84099999999999997</v>
      </c>
      <c r="D1144" s="101">
        <f t="shared" si="26"/>
        <v>-9.4725511302475862E-2</v>
      </c>
    </row>
    <row r="1145" spans="2:4" x14ac:dyDescent="0.25">
      <c r="B1145" s="9">
        <v>37410</v>
      </c>
      <c r="C1145" s="3">
        <v>0.92900000000000005</v>
      </c>
      <c r="D1145" s="101">
        <f t="shared" si="26"/>
        <v>1.9199122325836537E-2</v>
      </c>
    </row>
    <row r="1146" spans="2:4" x14ac:dyDescent="0.25">
      <c r="B1146" s="9">
        <v>37403</v>
      </c>
      <c r="C1146" s="3">
        <v>0.91149999999999998</v>
      </c>
      <c r="D1146" s="101">
        <f t="shared" si="26"/>
        <v>-6.3687724704673876E-2</v>
      </c>
    </row>
    <row r="1147" spans="2:4" x14ac:dyDescent="0.25">
      <c r="B1147" s="9">
        <v>37396</v>
      </c>
      <c r="C1147" s="3">
        <v>0.97350000000000003</v>
      </c>
      <c r="D1147" s="101">
        <f t="shared" si="26"/>
        <v>1.6179540709812201E-2</v>
      </c>
    </row>
    <row r="1148" spans="2:4" x14ac:dyDescent="0.25">
      <c r="B1148" s="9">
        <v>37389</v>
      </c>
      <c r="C1148" s="3">
        <v>0.95799999999999996</v>
      </c>
      <c r="D1148" s="101">
        <f t="shared" si="26"/>
        <v>0.13105076741440369</v>
      </c>
    </row>
    <row r="1149" spans="2:4" x14ac:dyDescent="0.25">
      <c r="B1149" s="9">
        <v>37382</v>
      </c>
      <c r="C1149" s="3">
        <v>0.84699999999999998</v>
      </c>
      <c r="D1149" s="101">
        <f t="shared" si="26"/>
        <v>5.5451713395638702E-2</v>
      </c>
    </row>
    <row r="1150" spans="2:4" x14ac:dyDescent="0.25">
      <c r="B1150" s="9">
        <v>37375</v>
      </c>
      <c r="C1150" s="3">
        <v>0.80249999999999999</v>
      </c>
      <c r="D1150" s="101">
        <f t="shared" si="26"/>
        <v>-5.0857480780603259E-2</v>
      </c>
    </row>
    <row r="1151" spans="2:4" x14ac:dyDescent="0.25">
      <c r="B1151" s="9">
        <v>37368</v>
      </c>
      <c r="C1151" s="3">
        <v>0.84550000000000003</v>
      </c>
      <c r="D1151" s="101">
        <f t="shared" si="26"/>
        <v>0.16379903647625604</v>
      </c>
    </row>
    <row r="1152" spans="2:4" x14ac:dyDescent="0.25">
      <c r="B1152" s="9">
        <v>37361</v>
      </c>
      <c r="C1152" s="3">
        <v>0.72650000000000003</v>
      </c>
      <c r="D1152" s="101">
        <f t="shared" si="26"/>
        <v>9.1660405709992565E-2</v>
      </c>
    </row>
    <row r="1153" spans="2:4" x14ac:dyDescent="0.25">
      <c r="B1153" s="9">
        <v>37354</v>
      </c>
      <c r="C1153" s="3">
        <v>0.66549999999999998</v>
      </c>
      <c r="D1153" s="101">
        <f t="shared" si="26"/>
        <v>-1.4074074074074128E-2</v>
      </c>
    </row>
    <row r="1154" spans="2:4" x14ac:dyDescent="0.25">
      <c r="B1154" s="9">
        <v>37347</v>
      </c>
      <c r="C1154" s="3">
        <v>0.67500000000000004</v>
      </c>
      <c r="D1154" s="101">
        <f t="shared" si="26"/>
        <v>-5.5944055944055826E-2</v>
      </c>
    </row>
    <row r="1155" spans="2:4" x14ac:dyDescent="0.25">
      <c r="B1155" s="9">
        <v>37340</v>
      </c>
      <c r="C1155" s="3">
        <v>0.71499999999999997</v>
      </c>
      <c r="D1155" s="101">
        <f t="shared" ref="D1155:D1218" si="27">C1155/C1156-1</f>
        <v>-7.9201545396007766E-2</v>
      </c>
    </row>
    <row r="1156" spans="2:4" x14ac:dyDescent="0.25">
      <c r="B1156" s="9">
        <v>37333</v>
      </c>
      <c r="C1156" s="3">
        <v>0.77649999999999997</v>
      </c>
      <c r="D1156" s="101">
        <f t="shared" si="27"/>
        <v>0.10691375623663579</v>
      </c>
    </row>
    <row r="1157" spans="2:4" x14ac:dyDescent="0.25">
      <c r="B1157" s="9">
        <v>37326</v>
      </c>
      <c r="C1157" s="3">
        <v>0.70150000000000001</v>
      </c>
      <c r="D1157" s="101">
        <f t="shared" si="27"/>
        <v>-0.14189602446483185</v>
      </c>
    </row>
    <row r="1158" spans="2:4" x14ac:dyDescent="0.25">
      <c r="B1158" s="9">
        <v>37319</v>
      </c>
      <c r="C1158" s="3">
        <v>0.8175</v>
      </c>
      <c r="D1158" s="101">
        <f t="shared" si="27"/>
        <v>6.2378167641325533E-2</v>
      </c>
    </row>
    <row r="1159" spans="2:4" x14ac:dyDescent="0.25">
      <c r="B1159" s="9">
        <v>37312</v>
      </c>
      <c r="C1159" s="3">
        <v>0.76949999999999996</v>
      </c>
      <c r="D1159" s="101">
        <f t="shared" si="27"/>
        <v>0.17750573833205818</v>
      </c>
    </row>
    <row r="1160" spans="2:4" x14ac:dyDescent="0.25">
      <c r="B1160" s="9">
        <v>37305</v>
      </c>
      <c r="C1160" s="3">
        <v>0.65349999999999997</v>
      </c>
      <c r="D1160" s="101">
        <f t="shared" si="27"/>
        <v>-2.5354213273676374E-2</v>
      </c>
    </row>
    <row r="1161" spans="2:4" x14ac:dyDescent="0.25">
      <c r="B1161" s="9">
        <v>37298</v>
      </c>
      <c r="C1161" s="3">
        <v>0.67049999999999998</v>
      </c>
      <c r="D1161" s="101">
        <f t="shared" si="27"/>
        <v>7.1086261980830567E-2</v>
      </c>
    </row>
    <row r="1162" spans="2:4" x14ac:dyDescent="0.25">
      <c r="B1162" s="9">
        <v>37291</v>
      </c>
      <c r="C1162" s="3">
        <v>0.626</v>
      </c>
      <c r="D1162" s="101">
        <f t="shared" si="27"/>
        <v>-8.8128186453022561E-2</v>
      </c>
    </row>
    <row r="1163" spans="2:4" x14ac:dyDescent="0.25">
      <c r="B1163" s="9">
        <v>37284</v>
      </c>
      <c r="C1163" s="3">
        <v>0.6865</v>
      </c>
      <c r="D1163" s="101">
        <f t="shared" si="27"/>
        <v>-4.9168975069251997E-2</v>
      </c>
    </row>
    <row r="1164" spans="2:4" x14ac:dyDescent="0.25">
      <c r="B1164" s="9">
        <v>37277</v>
      </c>
      <c r="C1164" s="3">
        <v>0.72199999999999998</v>
      </c>
      <c r="D1164" s="101">
        <f t="shared" si="27"/>
        <v>0.42125984251968496</v>
      </c>
    </row>
    <row r="1165" spans="2:4" x14ac:dyDescent="0.25">
      <c r="B1165" s="9">
        <v>37270</v>
      </c>
      <c r="C1165" s="3">
        <v>0.50800000000000001</v>
      </c>
      <c r="D1165" s="101">
        <f t="shared" si="27"/>
        <v>-7.8875793291024454E-2</v>
      </c>
    </row>
    <row r="1166" spans="2:4" x14ac:dyDescent="0.25">
      <c r="B1166" s="9">
        <v>37263</v>
      </c>
      <c r="C1166" s="3">
        <v>0.55149999999999999</v>
      </c>
      <c r="D1166" s="101">
        <f t="shared" si="27"/>
        <v>-9.9591836734693961E-2</v>
      </c>
    </row>
    <row r="1167" spans="2:4" x14ac:dyDescent="0.25">
      <c r="B1167" s="9">
        <v>37256</v>
      </c>
      <c r="C1167" s="3">
        <v>0.61250000000000004</v>
      </c>
      <c r="D1167" s="101">
        <f t="shared" si="27"/>
        <v>0.12385321100917435</v>
      </c>
    </row>
    <row r="1168" spans="2:4" x14ac:dyDescent="0.25">
      <c r="B1168" s="9">
        <v>37249</v>
      </c>
      <c r="C1168" s="3">
        <v>0.54500000000000004</v>
      </c>
      <c r="D1168" s="101">
        <f t="shared" si="27"/>
        <v>9.000000000000008E-2</v>
      </c>
    </row>
    <row r="1169" spans="2:4" x14ac:dyDescent="0.25">
      <c r="B1169" s="9">
        <v>37242</v>
      </c>
      <c r="C1169" s="3">
        <v>0.5</v>
      </c>
      <c r="D1169" s="101">
        <f t="shared" si="27"/>
        <v>-9.0909090909090939E-2</v>
      </c>
    </row>
    <row r="1170" spans="2:4" x14ac:dyDescent="0.25">
      <c r="B1170" s="9">
        <v>37235</v>
      </c>
      <c r="C1170" s="3">
        <v>0.55000000000000004</v>
      </c>
      <c r="D1170" s="101">
        <f t="shared" si="27"/>
        <v>-6.0631938514090433E-2</v>
      </c>
    </row>
    <row r="1171" spans="2:4" x14ac:dyDescent="0.25">
      <c r="B1171" s="9">
        <v>37228</v>
      </c>
      <c r="C1171" s="3">
        <v>0.58550000000000002</v>
      </c>
      <c r="D1171" s="101">
        <f t="shared" si="27"/>
        <v>3.4452296819788009E-2</v>
      </c>
    </row>
    <row r="1172" spans="2:4" x14ac:dyDescent="0.25">
      <c r="B1172" s="9">
        <v>37221</v>
      </c>
      <c r="C1172" s="3">
        <v>0.56599999999999995</v>
      </c>
      <c r="D1172" s="101">
        <f t="shared" si="27"/>
        <v>0.24669603524229067</v>
      </c>
    </row>
    <row r="1173" spans="2:4" x14ac:dyDescent="0.25">
      <c r="B1173" s="9">
        <v>37214</v>
      </c>
      <c r="C1173" s="3">
        <v>0.45400000000000001</v>
      </c>
      <c r="D1173" s="101">
        <f t="shared" si="27"/>
        <v>1.4525139664804509E-2</v>
      </c>
    </row>
    <row r="1174" spans="2:4" x14ac:dyDescent="0.25">
      <c r="B1174" s="9">
        <v>37207</v>
      </c>
      <c r="C1174" s="3">
        <v>0.44750000000000001</v>
      </c>
      <c r="D1174" s="101">
        <f t="shared" si="27"/>
        <v>0.2570224719101124</v>
      </c>
    </row>
    <row r="1175" spans="2:4" x14ac:dyDescent="0.25">
      <c r="B1175" s="9">
        <v>37200</v>
      </c>
      <c r="C1175" s="3">
        <v>0.35599999999999998</v>
      </c>
      <c r="D1175" s="101">
        <f t="shared" si="27"/>
        <v>6.1102831594634699E-2</v>
      </c>
    </row>
    <row r="1176" spans="2:4" x14ac:dyDescent="0.25">
      <c r="B1176" s="9">
        <v>37193</v>
      </c>
      <c r="C1176" s="3">
        <v>0.33550000000000002</v>
      </c>
      <c r="D1176" s="101">
        <f t="shared" si="27"/>
        <v>-0.11243386243386244</v>
      </c>
    </row>
    <row r="1177" spans="2:4" x14ac:dyDescent="0.25">
      <c r="B1177" s="9">
        <v>37186</v>
      </c>
      <c r="C1177" s="3">
        <v>0.378</v>
      </c>
      <c r="D1177" s="101">
        <f t="shared" si="27"/>
        <v>-5.6179775280898903E-2</v>
      </c>
    </row>
    <row r="1178" spans="2:4" x14ac:dyDescent="0.25">
      <c r="B1178" s="9">
        <v>37179</v>
      </c>
      <c r="C1178" s="3">
        <v>0.40050000000000002</v>
      </c>
      <c r="D1178" s="101">
        <f t="shared" si="27"/>
        <v>-7.4349442379182396E-3</v>
      </c>
    </row>
    <row r="1179" spans="2:4" x14ac:dyDescent="0.25">
      <c r="B1179" s="9">
        <v>37172</v>
      </c>
      <c r="C1179" s="3">
        <v>0.40350000000000003</v>
      </c>
      <c r="D1179" s="101">
        <f t="shared" si="27"/>
        <v>0.12083333333333335</v>
      </c>
    </row>
    <row r="1180" spans="2:4" x14ac:dyDescent="0.25">
      <c r="B1180" s="9">
        <v>37165</v>
      </c>
      <c r="C1180" s="3">
        <v>0.36</v>
      </c>
      <c r="D1180" s="101">
        <f t="shared" si="27"/>
        <v>0.20603015075376896</v>
      </c>
    </row>
    <row r="1181" spans="2:4" x14ac:dyDescent="0.25">
      <c r="B1181" s="9">
        <v>37158</v>
      </c>
      <c r="C1181" s="3">
        <v>0.29849999999999999</v>
      </c>
      <c r="D1181" s="101">
        <f t="shared" si="27"/>
        <v>-0.20187165775401072</v>
      </c>
    </row>
    <row r="1182" spans="2:4" x14ac:dyDescent="0.25">
      <c r="B1182" s="9">
        <v>37151</v>
      </c>
      <c r="C1182" s="3">
        <v>0.374</v>
      </c>
      <c r="D1182" s="101">
        <f t="shared" si="27"/>
        <v>-0.1332560834298957</v>
      </c>
    </row>
    <row r="1183" spans="2:4" x14ac:dyDescent="0.25">
      <c r="B1183" s="9">
        <v>37144</v>
      </c>
      <c r="C1183" s="3">
        <v>0.43149999999999999</v>
      </c>
      <c r="D1183" s="101">
        <f t="shared" si="27"/>
        <v>1.4101057579318566E-2</v>
      </c>
    </row>
    <row r="1184" spans="2:4" x14ac:dyDescent="0.25">
      <c r="B1184" s="9">
        <v>37137</v>
      </c>
      <c r="C1184" s="3">
        <v>0.42549999999999999</v>
      </c>
      <c r="D1184" s="101">
        <f t="shared" si="27"/>
        <v>-4.8098434004474333E-2</v>
      </c>
    </row>
    <row r="1185" spans="2:4" x14ac:dyDescent="0.25">
      <c r="B1185" s="9">
        <v>37130</v>
      </c>
      <c r="C1185" s="3">
        <v>0.44700000000000001</v>
      </c>
      <c r="D1185" s="101">
        <f t="shared" si="27"/>
        <v>-0.12609970674486792</v>
      </c>
    </row>
    <row r="1186" spans="2:4" x14ac:dyDescent="0.25">
      <c r="B1186" s="9">
        <v>37123</v>
      </c>
      <c r="C1186" s="3">
        <v>0.51149999999999995</v>
      </c>
      <c r="D1186" s="101">
        <f t="shared" si="27"/>
        <v>2.4024024024023927E-2</v>
      </c>
    </row>
    <row r="1187" spans="2:4" x14ac:dyDescent="0.25">
      <c r="B1187" s="9">
        <v>37116</v>
      </c>
      <c r="C1187" s="3">
        <v>0.4995</v>
      </c>
      <c r="D1187" s="101">
        <f t="shared" si="27"/>
        <v>4.020100502512669E-3</v>
      </c>
    </row>
    <row r="1188" spans="2:4" x14ac:dyDescent="0.25">
      <c r="B1188" s="9">
        <v>37109</v>
      </c>
      <c r="C1188" s="3">
        <v>0.4975</v>
      </c>
      <c r="D1188" s="101">
        <f t="shared" si="27"/>
        <v>-0.18106995884773669</v>
      </c>
    </row>
    <row r="1189" spans="2:4" x14ac:dyDescent="0.25">
      <c r="B1189" s="9">
        <v>37102</v>
      </c>
      <c r="C1189" s="3">
        <v>0.60750000000000004</v>
      </c>
      <c r="D1189" s="101">
        <f t="shared" si="27"/>
        <v>-8.1632653061224358E-3</v>
      </c>
    </row>
    <row r="1190" spans="2:4" x14ac:dyDescent="0.25">
      <c r="B1190" s="9">
        <v>37095</v>
      </c>
      <c r="C1190" s="3">
        <v>0.61250000000000004</v>
      </c>
      <c r="D1190" s="101">
        <f t="shared" si="27"/>
        <v>-0.2785630153121319</v>
      </c>
    </row>
    <row r="1191" spans="2:4" x14ac:dyDescent="0.25">
      <c r="B1191" s="9">
        <v>37088</v>
      </c>
      <c r="C1191" s="3">
        <v>0.84899999999999998</v>
      </c>
      <c r="D1191" s="101">
        <f t="shared" si="27"/>
        <v>0</v>
      </c>
    </row>
    <row r="1192" spans="2:4" x14ac:dyDescent="0.25">
      <c r="B1192" s="9">
        <v>37081</v>
      </c>
      <c r="C1192" s="3">
        <v>0.84899999999999998</v>
      </c>
      <c r="D1192" s="101">
        <f t="shared" si="27"/>
        <v>0.11198428290766205</v>
      </c>
    </row>
    <row r="1193" spans="2:4" x14ac:dyDescent="0.25">
      <c r="B1193" s="9">
        <v>37074</v>
      </c>
      <c r="C1193" s="3">
        <v>0.76349999999999996</v>
      </c>
      <c r="D1193" s="101">
        <f t="shared" si="27"/>
        <v>7.9151943462897334E-2</v>
      </c>
    </row>
    <row r="1194" spans="2:4" x14ac:dyDescent="0.25">
      <c r="B1194" s="9">
        <v>37067</v>
      </c>
      <c r="C1194" s="3">
        <v>0.70750000000000002</v>
      </c>
      <c r="D1194" s="101">
        <f t="shared" si="27"/>
        <v>0.1411290322580645</v>
      </c>
    </row>
    <row r="1195" spans="2:4" x14ac:dyDescent="0.25">
      <c r="B1195" s="9">
        <v>37060</v>
      </c>
      <c r="C1195" s="3">
        <v>0.62</v>
      </c>
      <c r="D1195" s="101">
        <f t="shared" si="27"/>
        <v>-7.2057646116894247E-3</v>
      </c>
    </row>
    <row r="1196" spans="2:4" x14ac:dyDescent="0.25">
      <c r="B1196" s="9">
        <v>37053</v>
      </c>
      <c r="C1196" s="3">
        <v>0.62450000000000006</v>
      </c>
      <c r="D1196" s="101">
        <f t="shared" si="27"/>
        <v>-0.2044585987261146</v>
      </c>
    </row>
    <row r="1197" spans="2:4" x14ac:dyDescent="0.25">
      <c r="B1197" s="9">
        <v>37046</v>
      </c>
      <c r="C1197" s="3">
        <v>0.78500000000000003</v>
      </c>
      <c r="D1197" s="101">
        <f t="shared" si="27"/>
        <v>-7.3746312684365822E-2</v>
      </c>
    </row>
    <row r="1198" spans="2:4" x14ac:dyDescent="0.25">
      <c r="B1198" s="9">
        <v>37039</v>
      </c>
      <c r="C1198" s="3">
        <v>0.84750000000000003</v>
      </c>
      <c r="D1198" s="101">
        <f t="shared" si="27"/>
        <v>-8.191925102399078E-3</v>
      </c>
    </row>
    <row r="1199" spans="2:4" x14ac:dyDescent="0.25">
      <c r="B1199" s="9">
        <v>37032</v>
      </c>
      <c r="C1199" s="3">
        <v>0.85450000000000004</v>
      </c>
      <c r="D1199" s="101">
        <f t="shared" si="27"/>
        <v>0.16100543478260887</v>
      </c>
    </row>
    <row r="1200" spans="2:4" x14ac:dyDescent="0.25">
      <c r="B1200" s="9">
        <v>37025</v>
      </c>
      <c r="C1200" s="3">
        <v>0.73599999999999999</v>
      </c>
      <c r="D1200" s="101">
        <f t="shared" si="27"/>
        <v>2.7247956403269047E-3</v>
      </c>
    </row>
    <row r="1201" spans="2:4" x14ac:dyDescent="0.25">
      <c r="B1201" s="9">
        <v>37018</v>
      </c>
      <c r="C1201" s="3">
        <v>0.73399999999999999</v>
      </c>
      <c r="D1201" s="101">
        <f t="shared" si="27"/>
        <v>-0.16400911161731213</v>
      </c>
    </row>
    <row r="1202" spans="2:4" x14ac:dyDescent="0.25">
      <c r="B1202" s="9">
        <v>37011</v>
      </c>
      <c r="C1202" s="3">
        <v>0.878</v>
      </c>
      <c r="D1202" s="101">
        <f t="shared" si="27"/>
        <v>0.14996725605762951</v>
      </c>
    </row>
    <row r="1203" spans="2:4" x14ac:dyDescent="0.25">
      <c r="B1203" s="9">
        <v>37004</v>
      </c>
      <c r="C1203" s="3">
        <v>0.76349999999999996</v>
      </c>
      <c r="D1203" s="101">
        <f t="shared" si="27"/>
        <v>-3.2319391634981098E-2</v>
      </c>
    </row>
    <row r="1204" spans="2:4" x14ac:dyDescent="0.25">
      <c r="B1204" s="9">
        <v>36997</v>
      </c>
      <c r="C1204" s="3">
        <v>0.78900000000000003</v>
      </c>
      <c r="D1204" s="101">
        <f t="shared" si="27"/>
        <v>7.5664621676891697E-2</v>
      </c>
    </row>
    <row r="1205" spans="2:4" x14ac:dyDescent="0.25">
      <c r="B1205" s="9">
        <v>36990</v>
      </c>
      <c r="C1205" s="3">
        <v>0.73350000000000004</v>
      </c>
      <c r="D1205" s="101">
        <f t="shared" si="27"/>
        <v>0.75268817204301097</v>
      </c>
    </row>
    <row r="1206" spans="2:4" x14ac:dyDescent="0.25">
      <c r="B1206" s="9">
        <v>36983</v>
      </c>
      <c r="C1206" s="3">
        <v>0.41849999999999998</v>
      </c>
      <c r="D1206" s="101">
        <f t="shared" si="27"/>
        <v>-0.18181818181818177</v>
      </c>
    </row>
    <row r="1207" spans="2:4" x14ac:dyDescent="0.25">
      <c r="B1207" s="9">
        <v>36976</v>
      </c>
      <c r="C1207" s="3">
        <v>0.51149999999999995</v>
      </c>
      <c r="D1207" s="101">
        <f t="shared" si="27"/>
        <v>4.171779141104226E-3</v>
      </c>
    </row>
    <row r="1208" spans="2:4" x14ac:dyDescent="0.25">
      <c r="B1208" s="9">
        <v>36969</v>
      </c>
      <c r="C1208" s="3">
        <v>0.50937500000000002</v>
      </c>
      <c r="D1208" s="101">
        <f t="shared" si="27"/>
        <v>-7.3863636363636354E-2</v>
      </c>
    </row>
    <row r="1209" spans="2:4" x14ac:dyDescent="0.25">
      <c r="B1209" s="9">
        <v>36962</v>
      </c>
      <c r="C1209" s="3">
        <v>0.55000000000000004</v>
      </c>
      <c r="D1209" s="101">
        <f t="shared" si="27"/>
        <v>-0.10204081632653061</v>
      </c>
    </row>
    <row r="1210" spans="2:4" x14ac:dyDescent="0.25">
      <c r="B1210" s="9">
        <v>36955</v>
      </c>
      <c r="C1210" s="3">
        <v>0.61250000000000004</v>
      </c>
      <c r="D1210" s="101">
        <f t="shared" si="27"/>
        <v>0.22500000000000009</v>
      </c>
    </row>
    <row r="1211" spans="2:4" x14ac:dyDescent="0.25">
      <c r="B1211" s="9">
        <v>36948</v>
      </c>
      <c r="C1211" s="3">
        <v>0.5</v>
      </c>
      <c r="D1211" s="101">
        <f t="shared" si="27"/>
        <v>-0.15343915343915338</v>
      </c>
    </row>
    <row r="1212" spans="2:4" x14ac:dyDescent="0.25">
      <c r="B1212" s="9">
        <v>36941</v>
      </c>
      <c r="C1212" s="3">
        <v>0.59062499999999996</v>
      </c>
      <c r="D1212" s="101">
        <f t="shared" si="27"/>
        <v>-0.13698630136986301</v>
      </c>
    </row>
    <row r="1213" spans="2:4" x14ac:dyDescent="0.25">
      <c r="B1213" s="9">
        <v>36934</v>
      </c>
      <c r="C1213" s="3">
        <v>0.68437499999999996</v>
      </c>
      <c r="D1213" s="101">
        <f t="shared" si="27"/>
        <v>2.3364485981308469E-2</v>
      </c>
    </row>
    <row r="1214" spans="2:4" x14ac:dyDescent="0.25">
      <c r="B1214" s="9">
        <v>36927</v>
      </c>
      <c r="C1214" s="3">
        <v>0.66874999999999996</v>
      </c>
      <c r="D1214" s="101">
        <f t="shared" si="27"/>
        <v>-6.956521739130439E-2</v>
      </c>
    </row>
    <row r="1215" spans="2:4" x14ac:dyDescent="0.25">
      <c r="B1215" s="9">
        <v>36920</v>
      </c>
      <c r="C1215" s="3">
        <v>0.71875</v>
      </c>
      <c r="D1215" s="101">
        <f t="shared" si="27"/>
        <v>-0.26282051282051277</v>
      </c>
    </row>
    <row r="1216" spans="2:4" x14ac:dyDescent="0.25">
      <c r="B1216" s="9">
        <v>36913</v>
      </c>
      <c r="C1216" s="3">
        <v>0.97499999999999998</v>
      </c>
      <c r="D1216" s="101">
        <f t="shared" si="27"/>
        <v>-2.1943573667711602E-2</v>
      </c>
    </row>
    <row r="1217" spans="2:4" x14ac:dyDescent="0.25">
      <c r="B1217" s="9">
        <v>36906</v>
      </c>
      <c r="C1217" s="3">
        <v>0.99687499999999996</v>
      </c>
      <c r="D1217" s="101">
        <f t="shared" si="27"/>
        <v>0.12720848056537104</v>
      </c>
    </row>
    <row r="1218" spans="2:4" x14ac:dyDescent="0.25">
      <c r="B1218" s="9">
        <v>36899</v>
      </c>
      <c r="C1218" s="3">
        <v>0.88437500000000002</v>
      </c>
      <c r="D1218" s="101">
        <f t="shared" si="27"/>
        <v>0.21459227467811148</v>
      </c>
    </row>
    <row r="1219" spans="2:4" x14ac:dyDescent="0.25">
      <c r="B1219" s="9">
        <v>36892</v>
      </c>
      <c r="C1219" s="3">
        <v>0.72812500000000002</v>
      </c>
      <c r="D1219" s="101">
        <f t="shared" ref="D1219:D1282" si="28">C1219/C1220-1</f>
        <v>-6.425702811244971E-2</v>
      </c>
    </row>
    <row r="1220" spans="2:4" x14ac:dyDescent="0.25">
      <c r="B1220" s="9">
        <v>36885</v>
      </c>
      <c r="C1220" s="3">
        <v>0.77812499999999996</v>
      </c>
      <c r="D1220" s="101">
        <f t="shared" si="28"/>
        <v>0</v>
      </c>
    </row>
    <row r="1221" spans="2:4" x14ac:dyDescent="0.25">
      <c r="B1221" s="9">
        <v>36878</v>
      </c>
      <c r="C1221" s="3">
        <v>0.77812499999999996</v>
      </c>
      <c r="D1221" s="101">
        <f t="shared" si="28"/>
        <v>-0.31967213114754101</v>
      </c>
    </row>
    <row r="1222" spans="2:4" x14ac:dyDescent="0.25">
      <c r="B1222" s="9">
        <v>36871</v>
      </c>
      <c r="C1222" s="3">
        <v>1.14375</v>
      </c>
      <c r="D1222" s="101">
        <f t="shared" si="28"/>
        <v>-2.399999999999991E-2</v>
      </c>
    </row>
    <row r="1223" spans="2:4" x14ac:dyDescent="0.25">
      <c r="B1223" s="9">
        <v>36864</v>
      </c>
      <c r="C1223" s="3">
        <v>1.171875</v>
      </c>
      <c r="D1223" s="101">
        <f t="shared" si="28"/>
        <v>-4.8223350253807085E-2</v>
      </c>
    </row>
    <row r="1224" spans="2:4" x14ac:dyDescent="0.25">
      <c r="B1224" s="9">
        <v>36857</v>
      </c>
      <c r="C1224" s="3">
        <v>1.23125</v>
      </c>
      <c r="D1224" s="101">
        <f t="shared" si="28"/>
        <v>-0.14902807775377969</v>
      </c>
    </row>
    <row r="1225" spans="2:4" x14ac:dyDescent="0.25">
      <c r="B1225" s="9">
        <v>36850</v>
      </c>
      <c r="C1225" s="3">
        <v>1.4468749999999999</v>
      </c>
      <c r="D1225" s="101">
        <f t="shared" si="28"/>
        <v>5.4669703872437303E-2</v>
      </c>
    </row>
    <row r="1226" spans="2:4" x14ac:dyDescent="0.25">
      <c r="B1226" s="9">
        <v>36843</v>
      </c>
      <c r="C1226" s="3">
        <v>1.371875</v>
      </c>
      <c r="D1226" s="101">
        <f t="shared" si="28"/>
        <v>-8.7318087318087323E-2</v>
      </c>
    </row>
    <row r="1227" spans="2:4" x14ac:dyDescent="0.25">
      <c r="B1227" s="9">
        <v>36836</v>
      </c>
      <c r="C1227" s="3">
        <v>1.503125</v>
      </c>
      <c r="D1227" s="101">
        <f t="shared" si="28"/>
        <v>-0.19966722129783698</v>
      </c>
    </row>
    <row r="1228" spans="2:4" x14ac:dyDescent="0.25">
      <c r="B1228" s="9">
        <v>36829</v>
      </c>
      <c r="C1228" s="3">
        <v>1.878125</v>
      </c>
      <c r="D1228" s="101">
        <f t="shared" si="28"/>
        <v>5.4385964912280649E-2</v>
      </c>
    </row>
    <row r="1229" spans="2:4" x14ac:dyDescent="0.25">
      <c r="B1229" s="9">
        <v>36822</v>
      </c>
      <c r="C1229" s="3">
        <v>1.78125</v>
      </c>
      <c r="D1229" s="101">
        <f t="shared" si="28"/>
        <v>0.15618661257606492</v>
      </c>
    </row>
    <row r="1230" spans="2:4" x14ac:dyDescent="0.25">
      <c r="B1230" s="9">
        <v>36815</v>
      </c>
      <c r="C1230" s="3">
        <v>1.5406249999999999</v>
      </c>
      <c r="D1230" s="101">
        <f t="shared" si="28"/>
        <v>8.3516483516483442E-2</v>
      </c>
    </row>
    <row r="1231" spans="2:4" x14ac:dyDescent="0.25">
      <c r="B1231" s="9">
        <v>36808</v>
      </c>
      <c r="C1231" s="3">
        <v>1.421875</v>
      </c>
      <c r="D1231" s="101">
        <f t="shared" si="28"/>
        <v>-9.9009900990098987E-2</v>
      </c>
    </row>
    <row r="1232" spans="2:4" x14ac:dyDescent="0.25">
      <c r="B1232" s="9">
        <v>36801</v>
      </c>
      <c r="C1232" s="3">
        <v>1.578125</v>
      </c>
      <c r="D1232" s="101">
        <f t="shared" si="28"/>
        <v>-0.17886178861788615</v>
      </c>
    </row>
    <row r="1233" spans="2:4" x14ac:dyDescent="0.25">
      <c r="B1233" s="9">
        <v>36794</v>
      </c>
      <c r="C1233" s="3">
        <v>1.921875</v>
      </c>
      <c r="D1233" s="101">
        <f t="shared" si="28"/>
        <v>-7.2398190045248834E-2</v>
      </c>
    </row>
    <row r="1234" spans="2:4" x14ac:dyDescent="0.25">
      <c r="B1234" s="9">
        <v>36787</v>
      </c>
      <c r="C1234" s="3">
        <v>2.0718749999999999</v>
      </c>
      <c r="D1234" s="101">
        <f t="shared" si="28"/>
        <v>-5.014326647564471E-2</v>
      </c>
    </row>
    <row r="1235" spans="2:4" x14ac:dyDescent="0.25">
      <c r="B1235" s="9">
        <v>36780</v>
      </c>
      <c r="C1235" s="3">
        <v>2.1812499999999999</v>
      </c>
      <c r="D1235" s="101">
        <f t="shared" si="28"/>
        <v>1.6011644832605532E-2</v>
      </c>
    </row>
    <row r="1236" spans="2:4" x14ac:dyDescent="0.25">
      <c r="B1236" s="9">
        <v>36773</v>
      </c>
      <c r="C1236" s="3">
        <v>2.1468750000000001</v>
      </c>
      <c r="D1236" s="101">
        <f t="shared" si="28"/>
        <v>3.4638554216867457E-2</v>
      </c>
    </row>
    <row r="1237" spans="2:4" x14ac:dyDescent="0.25">
      <c r="B1237" s="9">
        <v>36766</v>
      </c>
      <c r="C1237" s="3">
        <v>2.0750000000000002</v>
      </c>
      <c r="D1237" s="101">
        <f t="shared" si="28"/>
        <v>3.9123630672926568E-2</v>
      </c>
    </row>
    <row r="1238" spans="2:4" x14ac:dyDescent="0.25">
      <c r="B1238" s="9">
        <v>36759</v>
      </c>
      <c r="C1238" s="3">
        <v>1.996875</v>
      </c>
      <c r="D1238" s="101">
        <f t="shared" si="28"/>
        <v>2.4038461538461453E-2</v>
      </c>
    </row>
    <row r="1239" spans="2:4" x14ac:dyDescent="0.25">
      <c r="B1239" s="9">
        <v>36752</v>
      </c>
      <c r="C1239" s="3">
        <v>1.95</v>
      </c>
      <c r="D1239" s="101">
        <f t="shared" si="28"/>
        <v>0.1576994434137291</v>
      </c>
    </row>
    <row r="1240" spans="2:4" x14ac:dyDescent="0.25">
      <c r="B1240" s="9">
        <v>36745</v>
      </c>
      <c r="C1240" s="3">
        <v>1.684375</v>
      </c>
      <c r="D1240" s="101">
        <f t="shared" si="28"/>
        <v>3.6538461538461409E-2</v>
      </c>
    </row>
    <row r="1241" spans="2:4" x14ac:dyDescent="0.25">
      <c r="B1241" s="9">
        <v>36738</v>
      </c>
      <c r="C1241" s="3">
        <v>1.625</v>
      </c>
      <c r="D1241" s="101">
        <f t="shared" si="28"/>
        <v>8.3333333333333259E-2</v>
      </c>
    </row>
    <row r="1242" spans="2:4" x14ac:dyDescent="0.25">
      <c r="B1242" s="9">
        <v>36731</v>
      </c>
      <c r="C1242" s="3">
        <v>1.5</v>
      </c>
      <c r="D1242" s="101">
        <f t="shared" si="28"/>
        <v>-0.27051671732522797</v>
      </c>
    </row>
    <row r="1243" spans="2:4" x14ac:dyDescent="0.25">
      <c r="B1243" s="9">
        <v>36724</v>
      </c>
      <c r="C1243" s="3">
        <v>2.0562499999999999</v>
      </c>
      <c r="D1243" s="101">
        <f t="shared" si="28"/>
        <v>-3.5190615835777206E-2</v>
      </c>
    </row>
    <row r="1244" spans="2:4" x14ac:dyDescent="0.25">
      <c r="B1244" s="9">
        <v>36717</v>
      </c>
      <c r="C1244" s="3">
        <v>2.1312500000000001</v>
      </c>
      <c r="D1244" s="101">
        <f t="shared" si="28"/>
        <v>0.17993079584775096</v>
      </c>
    </row>
    <row r="1245" spans="2:4" x14ac:dyDescent="0.25">
      <c r="B1245" s="9">
        <v>36710</v>
      </c>
      <c r="C1245" s="3">
        <v>1.8062499999999999</v>
      </c>
      <c r="D1245" s="101">
        <f t="shared" si="28"/>
        <v>-5.1635111876076056E-3</v>
      </c>
    </row>
    <row r="1246" spans="2:4" x14ac:dyDescent="0.25">
      <c r="B1246" s="9">
        <v>36703</v>
      </c>
      <c r="C1246" s="3">
        <v>1.815625</v>
      </c>
      <c r="D1246" s="101">
        <f t="shared" si="28"/>
        <v>7.1955719557195597E-2</v>
      </c>
    </row>
    <row r="1247" spans="2:4" x14ac:dyDescent="0.25">
      <c r="B1247" s="9">
        <v>36696</v>
      </c>
      <c r="C1247" s="3">
        <v>1.6937500000000001</v>
      </c>
      <c r="D1247" s="101">
        <f t="shared" si="28"/>
        <v>-0.26358695652173902</v>
      </c>
    </row>
    <row r="1248" spans="2:4" x14ac:dyDescent="0.25">
      <c r="B1248" s="9">
        <v>36689</v>
      </c>
      <c r="C1248" s="3">
        <v>2.2999999999999998</v>
      </c>
      <c r="D1248" s="101">
        <f t="shared" si="28"/>
        <v>-0.11856287425149703</v>
      </c>
    </row>
    <row r="1249" spans="2:4" x14ac:dyDescent="0.25">
      <c r="B1249" s="9">
        <v>36682</v>
      </c>
      <c r="C1249" s="3">
        <v>2.609375</v>
      </c>
      <c r="D1249" s="101">
        <f t="shared" si="28"/>
        <v>-9.8272138228941652E-2</v>
      </c>
    </row>
    <row r="1250" spans="2:4" x14ac:dyDescent="0.25">
      <c r="B1250" s="9">
        <v>36675</v>
      </c>
      <c r="C1250" s="3">
        <v>2.8937499999999998</v>
      </c>
      <c r="D1250" s="101">
        <f t="shared" si="28"/>
        <v>0.24462365591397828</v>
      </c>
    </row>
    <row r="1251" spans="2:4" x14ac:dyDescent="0.25">
      <c r="B1251" s="9">
        <v>36668</v>
      </c>
      <c r="C1251" s="3">
        <v>2.3250000000000002</v>
      </c>
      <c r="D1251" s="101">
        <f t="shared" si="28"/>
        <v>-0.11638954869358664</v>
      </c>
    </row>
    <row r="1252" spans="2:4" x14ac:dyDescent="0.25">
      <c r="B1252" s="9">
        <v>36661</v>
      </c>
      <c r="C1252" s="3">
        <v>2.6312500000000001</v>
      </c>
      <c r="D1252" s="101">
        <f t="shared" si="28"/>
        <v>-2.0930232558139528E-2</v>
      </c>
    </row>
    <row r="1253" spans="2:4" x14ac:dyDescent="0.25">
      <c r="B1253" s="9">
        <v>36654</v>
      </c>
      <c r="C1253" s="3">
        <v>2.6875</v>
      </c>
      <c r="D1253" s="101">
        <f t="shared" si="28"/>
        <v>-8.119658119658113E-2</v>
      </c>
    </row>
    <row r="1254" spans="2:4" x14ac:dyDescent="0.25">
      <c r="B1254" s="9">
        <v>36647</v>
      </c>
      <c r="C1254" s="3">
        <v>2.9249999999999998</v>
      </c>
      <c r="D1254" s="101">
        <f t="shared" si="28"/>
        <v>6.0022650056625215E-2</v>
      </c>
    </row>
    <row r="1255" spans="2:4" x14ac:dyDescent="0.25">
      <c r="B1255" s="9">
        <v>36640</v>
      </c>
      <c r="C1255" s="3">
        <v>2.7593749999999999</v>
      </c>
      <c r="D1255" s="101">
        <f t="shared" si="28"/>
        <v>5.3699284009546489E-2</v>
      </c>
    </row>
    <row r="1256" spans="2:4" x14ac:dyDescent="0.25">
      <c r="B1256" s="9">
        <v>36633</v>
      </c>
      <c r="C1256" s="3">
        <v>2.6187499999999999</v>
      </c>
      <c r="D1256" s="101">
        <f t="shared" si="28"/>
        <v>0.11733333333333329</v>
      </c>
    </row>
    <row r="1257" spans="2:4" x14ac:dyDescent="0.25">
      <c r="B1257" s="9">
        <v>36626</v>
      </c>
      <c r="C1257" s="3">
        <v>2.34375</v>
      </c>
      <c r="D1257" s="101">
        <f t="shared" si="28"/>
        <v>-0.3061979648473635</v>
      </c>
    </row>
    <row r="1258" spans="2:4" x14ac:dyDescent="0.25">
      <c r="B1258" s="9">
        <v>36619</v>
      </c>
      <c r="C1258" s="3">
        <v>3.3781249999999998</v>
      </c>
      <c r="D1258" s="101">
        <f t="shared" si="28"/>
        <v>8.3955223880596286E-3</v>
      </c>
    </row>
    <row r="1259" spans="2:4" x14ac:dyDescent="0.25">
      <c r="B1259" s="9">
        <v>36612</v>
      </c>
      <c r="C1259" s="3">
        <v>3.35</v>
      </c>
      <c r="D1259" s="101">
        <f t="shared" si="28"/>
        <v>-7.8245915735167593E-2</v>
      </c>
    </row>
    <row r="1260" spans="2:4" x14ac:dyDescent="0.25">
      <c r="B1260" s="9">
        <v>36605</v>
      </c>
      <c r="C1260" s="3">
        <v>3.6343749999999999</v>
      </c>
      <c r="D1260" s="101">
        <f t="shared" si="28"/>
        <v>0.12150433944069428</v>
      </c>
    </row>
    <row r="1261" spans="2:4" x14ac:dyDescent="0.25">
      <c r="B1261" s="9">
        <v>36598</v>
      </c>
      <c r="C1261" s="3">
        <v>3.2406250000000001</v>
      </c>
      <c r="D1261" s="101">
        <f t="shared" si="28"/>
        <v>-3.0841121495327029E-2</v>
      </c>
    </row>
    <row r="1262" spans="2:4" x14ac:dyDescent="0.25">
      <c r="B1262" s="9">
        <v>36591</v>
      </c>
      <c r="C1262" s="3">
        <v>3.34375</v>
      </c>
      <c r="D1262" s="101">
        <f t="shared" si="28"/>
        <v>7.0000000000000062E-2</v>
      </c>
    </row>
    <row r="1263" spans="2:4" x14ac:dyDescent="0.25">
      <c r="B1263" s="9">
        <v>36584</v>
      </c>
      <c r="C1263" s="3">
        <v>3.125</v>
      </c>
      <c r="D1263" s="101">
        <f t="shared" si="28"/>
        <v>-9.5840867992766698E-2</v>
      </c>
    </row>
    <row r="1264" spans="2:4" x14ac:dyDescent="0.25">
      <c r="B1264" s="9">
        <v>36577</v>
      </c>
      <c r="C1264" s="3">
        <v>3.4562499999999998</v>
      </c>
      <c r="D1264" s="101">
        <f t="shared" si="28"/>
        <v>6.7567567567567544E-2</v>
      </c>
    </row>
    <row r="1265" spans="2:4" x14ac:dyDescent="0.25">
      <c r="B1265" s="9">
        <v>36570</v>
      </c>
      <c r="C1265" s="3">
        <v>3.2374999999999998</v>
      </c>
      <c r="D1265" s="101">
        <f t="shared" si="28"/>
        <v>-0.15012305168170637</v>
      </c>
    </row>
    <row r="1266" spans="2:4" x14ac:dyDescent="0.25">
      <c r="B1266" s="9">
        <v>36563</v>
      </c>
      <c r="C1266" s="3">
        <v>3.8093750000000002</v>
      </c>
      <c r="D1266" s="101">
        <f t="shared" si="28"/>
        <v>-3.0230708035003939E-2</v>
      </c>
    </row>
    <row r="1267" spans="2:4" x14ac:dyDescent="0.25">
      <c r="B1267" s="9">
        <v>36556</v>
      </c>
      <c r="C1267" s="3">
        <v>3.9281250000000001</v>
      </c>
      <c r="D1267" s="101">
        <f t="shared" si="28"/>
        <v>0.2735562310030395</v>
      </c>
    </row>
    <row r="1268" spans="2:4" x14ac:dyDescent="0.25">
      <c r="B1268" s="9">
        <v>36549</v>
      </c>
      <c r="C1268" s="3">
        <v>3.0843750000000001</v>
      </c>
      <c r="D1268" s="101">
        <f t="shared" si="28"/>
        <v>-6.0422960725075026E-3</v>
      </c>
    </row>
    <row r="1269" spans="2:4" x14ac:dyDescent="0.25">
      <c r="B1269" s="9">
        <v>36542</v>
      </c>
      <c r="C1269" s="3">
        <v>3.1031249999999999</v>
      </c>
      <c r="D1269" s="101">
        <f t="shared" si="28"/>
        <v>-3.4046692607003881E-2</v>
      </c>
    </row>
    <row r="1270" spans="2:4" x14ac:dyDescent="0.25">
      <c r="B1270" s="9">
        <v>36535</v>
      </c>
      <c r="C1270" s="3">
        <v>3.2124999999999999</v>
      </c>
      <c r="D1270" s="101">
        <f t="shared" si="28"/>
        <v>-7.637017070979335E-2</v>
      </c>
    </row>
    <row r="1271" spans="2:4" x14ac:dyDescent="0.25">
      <c r="B1271" s="9">
        <v>36528</v>
      </c>
      <c r="C1271" s="3">
        <v>3.4781249999999999</v>
      </c>
      <c r="D1271" s="101">
        <f t="shared" si="28"/>
        <v>-8.6206896551724088E-2</v>
      </c>
    </row>
    <row r="1272" spans="2:4" x14ac:dyDescent="0.25">
      <c r="B1272" s="9">
        <v>36521</v>
      </c>
      <c r="C1272" s="3">
        <v>3.8062499999999999</v>
      </c>
      <c r="D1272" s="101">
        <f t="shared" si="28"/>
        <v>-0.15416666666666667</v>
      </c>
    </row>
    <row r="1273" spans="2:4" x14ac:dyDescent="0.25">
      <c r="B1273" s="9">
        <v>36514</v>
      </c>
      <c r="C1273" s="3">
        <v>4.5</v>
      </c>
      <c r="D1273" s="101">
        <f t="shared" si="28"/>
        <v>-4.3189368770764069E-2</v>
      </c>
    </row>
    <row r="1274" spans="2:4" x14ac:dyDescent="0.25">
      <c r="B1274" s="9">
        <v>36507</v>
      </c>
      <c r="C1274" s="3">
        <v>4.703125</v>
      </c>
      <c r="D1274" s="101">
        <f t="shared" si="28"/>
        <v>-0.1183362624487404</v>
      </c>
    </row>
    <row r="1275" spans="2:4" x14ac:dyDescent="0.25">
      <c r="B1275" s="9">
        <v>36500</v>
      </c>
      <c r="C1275" s="3">
        <v>5.3343749999999996</v>
      </c>
      <c r="D1275" s="101">
        <f t="shared" si="28"/>
        <v>0.23249097472924185</v>
      </c>
    </row>
    <row r="1276" spans="2:4" x14ac:dyDescent="0.25">
      <c r="B1276" s="9">
        <v>36493</v>
      </c>
      <c r="C1276" s="3">
        <v>4.328125</v>
      </c>
      <c r="D1276" s="101">
        <f t="shared" si="28"/>
        <v>-7.0469798657718075E-2</v>
      </c>
    </row>
    <row r="1277" spans="2:4" x14ac:dyDescent="0.25">
      <c r="B1277" s="9">
        <v>36486</v>
      </c>
      <c r="C1277" s="3">
        <v>4.65625</v>
      </c>
      <c r="D1277" s="101">
        <f t="shared" si="28"/>
        <v>0.1948676824378508</v>
      </c>
    </row>
    <row r="1278" spans="2:4" x14ac:dyDescent="0.25">
      <c r="B1278" s="9">
        <v>36479</v>
      </c>
      <c r="C1278" s="3">
        <v>3.8968750000000001</v>
      </c>
      <c r="D1278" s="101">
        <f t="shared" si="28"/>
        <v>4.0033361134278467E-2</v>
      </c>
    </row>
    <row r="1279" spans="2:4" x14ac:dyDescent="0.25">
      <c r="B1279" s="9">
        <v>36472</v>
      </c>
      <c r="C1279" s="3">
        <v>3.7468750000000002</v>
      </c>
      <c r="D1279" s="101">
        <f t="shared" si="28"/>
        <v>0.15399422521655448</v>
      </c>
    </row>
    <row r="1280" spans="2:4" x14ac:dyDescent="0.25">
      <c r="B1280" s="9">
        <v>36465</v>
      </c>
      <c r="C1280" s="3">
        <v>3.2468750000000002</v>
      </c>
      <c r="D1280" s="101">
        <f t="shared" si="28"/>
        <v>-8.0530973451327426E-2</v>
      </c>
    </row>
    <row r="1281" spans="2:4" x14ac:dyDescent="0.25">
      <c r="B1281" s="9">
        <v>36458</v>
      </c>
      <c r="C1281" s="3">
        <v>3.53125</v>
      </c>
      <c r="D1281" s="101">
        <f t="shared" si="28"/>
        <v>-0.10174880763116056</v>
      </c>
    </row>
    <row r="1282" spans="2:4" x14ac:dyDescent="0.25">
      <c r="B1282" s="9">
        <v>36451</v>
      </c>
      <c r="C1282" s="3">
        <v>3.9312499999999999</v>
      </c>
      <c r="D1282" s="101">
        <f t="shared" si="28"/>
        <v>4.7460449625312373E-2</v>
      </c>
    </row>
    <row r="1283" spans="2:4" x14ac:dyDescent="0.25">
      <c r="B1283" s="9">
        <v>36444</v>
      </c>
      <c r="C1283" s="3">
        <v>3.7531249999999998</v>
      </c>
      <c r="D1283" s="101">
        <f t="shared" ref="D1283:D1346" si="29">C1283/C1284-1</f>
        <v>-0.15896358543417377</v>
      </c>
    </row>
    <row r="1284" spans="2:4" x14ac:dyDescent="0.25">
      <c r="B1284" s="9">
        <v>36437</v>
      </c>
      <c r="C1284" s="3">
        <v>4.4625000000000004</v>
      </c>
      <c r="D1284" s="101">
        <f t="shared" si="29"/>
        <v>0.15533980582524287</v>
      </c>
    </row>
    <row r="1285" spans="2:4" x14ac:dyDescent="0.25">
      <c r="B1285" s="9">
        <v>36430</v>
      </c>
      <c r="C1285" s="3">
        <v>3.8624999999999998</v>
      </c>
      <c r="D1285" s="101">
        <f t="shared" si="29"/>
        <v>0.18846153846153846</v>
      </c>
    </row>
    <row r="1286" spans="2:4" x14ac:dyDescent="0.25">
      <c r="B1286" s="9">
        <v>36423</v>
      </c>
      <c r="C1286" s="3">
        <v>3.25</v>
      </c>
      <c r="D1286" s="101">
        <f t="shared" si="29"/>
        <v>1.8609206660137101E-2</v>
      </c>
    </row>
    <row r="1287" spans="2:4" x14ac:dyDescent="0.25">
      <c r="B1287" s="9">
        <v>36416</v>
      </c>
      <c r="C1287" s="3">
        <v>3.1906249999999998</v>
      </c>
      <c r="D1287" s="101">
        <f t="shared" si="29"/>
        <v>-4.0413533834586568E-2</v>
      </c>
    </row>
    <row r="1288" spans="2:4" x14ac:dyDescent="0.25">
      <c r="B1288" s="9">
        <v>36409</v>
      </c>
      <c r="C1288" s="3">
        <v>3.3250000000000002</v>
      </c>
      <c r="D1288" s="101">
        <f t="shared" si="29"/>
        <v>6.5065065065065042E-2</v>
      </c>
    </row>
    <row r="1289" spans="2:4" x14ac:dyDescent="0.25">
      <c r="B1289" s="9">
        <v>36402</v>
      </c>
      <c r="C1289" s="3">
        <v>3.1218750000000002</v>
      </c>
      <c r="D1289" s="101">
        <f t="shared" si="29"/>
        <v>-2.821011673151741E-2</v>
      </c>
    </row>
    <row r="1290" spans="2:4" x14ac:dyDescent="0.25">
      <c r="B1290" s="9">
        <v>36395</v>
      </c>
      <c r="C1290" s="3">
        <v>3.2124999999999999</v>
      </c>
      <c r="D1290" s="101">
        <f t="shared" si="29"/>
        <v>0.13278216942683518</v>
      </c>
    </row>
    <row r="1291" spans="2:4" x14ac:dyDescent="0.25">
      <c r="B1291" s="9">
        <v>36388</v>
      </c>
      <c r="C1291" s="3">
        <v>2.8359380000000001</v>
      </c>
      <c r="D1291" s="101">
        <f t="shared" si="29"/>
        <v>0.16420779182392975</v>
      </c>
    </row>
    <row r="1292" spans="2:4" x14ac:dyDescent="0.25">
      <c r="B1292" s="9">
        <v>36381</v>
      </c>
      <c r="C1292" s="3">
        <v>2.4359380000000002</v>
      </c>
      <c r="D1292" s="101">
        <f t="shared" si="29"/>
        <v>8.7927405347683507E-2</v>
      </c>
    </row>
    <row r="1293" spans="2:4" x14ac:dyDescent="0.25">
      <c r="B1293" s="9">
        <v>36374</v>
      </c>
      <c r="C1293" s="3">
        <v>2.2390629999999998</v>
      </c>
      <c r="D1293" s="101">
        <f t="shared" si="29"/>
        <v>-0.10493439501623592</v>
      </c>
    </row>
    <row r="1294" spans="2:4" x14ac:dyDescent="0.25">
      <c r="B1294" s="9">
        <v>36367</v>
      </c>
      <c r="C1294" s="3">
        <v>2.501563</v>
      </c>
      <c r="D1294" s="101">
        <f t="shared" si="29"/>
        <v>-0.12656844489803465</v>
      </c>
    </row>
    <row r="1295" spans="2:4" x14ac:dyDescent="0.25">
      <c r="B1295" s="9">
        <v>36360</v>
      </c>
      <c r="C1295" s="3">
        <v>2.8640629999999998</v>
      </c>
      <c r="D1295" s="101">
        <f t="shared" si="29"/>
        <v>-0.16757478655767488</v>
      </c>
    </row>
    <row r="1296" spans="2:4" x14ac:dyDescent="0.25">
      <c r="B1296" s="9">
        <v>36353</v>
      </c>
      <c r="C1296" s="3">
        <v>3.4406249999999998</v>
      </c>
      <c r="D1296" s="101">
        <f t="shared" si="29"/>
        <v>9.6613545816732982E-2</v>
      </c>
    </row>
    <row r="1297" spans="2:4" x14ac:dyDescent="0.25">
      <c r="B1297" s="9">
        <v>36346</v>
      </c>
      <c r="C1297" s="3">
        <v>3.1375000000000002</v>
      </c>
      <c r="D1297" s="101">
        <f t="shared" si="29"/>
        <v>1.1586738686268916E-2</v>
      </c>
    </row>
    <row r="1298" spans="2:4" x14ac:dyDescent="0.25">
      <c r="B1298" s="9">
        <v>36339</v>
      </c>
      <c r="C1298" s="3">
        <v>3.1015630000000001</v>
      </c>
      <c r="D1298" s="101">
        <f t="shared" si="29"/>
        <v>0.1259217014776266</v>
      </c>
    </row>
    <row r="1299" spans="2:4" x14ac:dyDescent="0.25">
      <c r="B1299" s="9">
        <v>36332</v>
      </c>
      <c r="C1299" s="3">
        <v>2.7546879999999998</v>
      </c>
      <c r="D1299" s="101">
        <f t="shared" si="29"/>
        <v>-1.0106679823617348E-2</v>
      </c>
    </row>
    <row r="1300" spans="2:4" x14ac:dyDescent="0.25">
      <c r="B1300" s="9">
        <v>36325</v>
      </c>
      <c r="C1300" s="3">
        <v>2.782813</v>
      </c>
      <c r="D1300" s="101">
        <f t="shared" si="29"/>
        <v>5.1978726146962639E-2</v>
      </c>
    </row>
    <row r="1301" spans="2:4" x14ac:dyDescent="0.25">
      <c r="B1301" s="9">
        <v>36318</v>
      </c>
      <c r="C1301" s="3">
        <v>2.6453129999999998</v>
      </c>
      <c r="D1301" s="101">
        <f t="shared" si="29"/>
        <v>-2.4207488330607485E-2</v>
      </c>
    </row>
    <row r="1302" spans="2:4" x14ac:dyDescent="0.25">
      <c r="B1302" s="9">
        <v>36311</v>
      </c>
      <c r="C1302" s="3">
        <v>2.7109380000000001</v>
      </c>
      <c r="D1302" s="101">
        <f t="shared" si="29"/>
        <v>-8.6841936842105283E-2</v>
      </c>
    </row>
    <row r="1303" spans="2:4" x14ac:dyDescent="0.25">
      <c r="B1303" s="9">
        <v>36304</v>
      </c>
      <c r="C1303" s="3">
        <v>2.96875</v>
      </c>
      <c r="D1303" s="101">
        <f t="shared" si="29"/>
        <v>-7.6324888466716367E-2</v>
      </c>
    </row>
    <row r="1304" spans="2:4" x14ac:dyDescent="0.25">
      <c r="B1304" s="9">
        <v>36297</v>
      </c>
      <c r="C1304" s="3">
        <v>3.2140629999999999</v>
      </c>
      <c r="D1304" s="101">
        <f t="shared" si="29"/>
        <v>-2.8800604343720559E-2</v>
      </c>
    </row>
    <row r="1305" spans="2:4" x14ac:dyDescent="0.25">
      <c r="B1305" s="9">
        <v>36290</v>
      </c>
      <c r="C1305" s="3">
        <v>3.3093750000000002</v>
      </c>
      <c r="D1305" s="101">
        <f t="shared" si="29"/>
        <v>-2.9330889092575529E-2</v>
      </c>
    </row>
    <row r="1306" spans="2:4" x14ac:dyDescent="0.25">
      <c r="B1306" s="9">
        <v>36283</v>
      </c>
      <c r="C1306" s="3">
        <v>3.4093749999999998</v>
      </c>
      <c r="D1306" s="101">
        <f t="shared" si="29"/>
        <v>-0.20741019020295648</v>
      </c>
    </row>
    <row r="1307" spans="2:4" x14ac:dyDescent="0.25">
      <c r="B1307" s="9">
        <v>36276</v>
      </c>
      <c r="C1307" s="3">
        <v>4.3015629999999998</v>
      </c>
      <c r="D1307" s="101">
        <f t="shared" si="29"/>
        <v>-0.18114208209399163</v>
      </c>
    </row>
    <row r="1308" spans="2:4" x14ac:dyDescent="0.25">
      <c r="B1308" s="9">
        <v>36269</v>
      </c>
      <c r="C1308" s="3">
        <v>5.2531249999999998</v>
      </c>
      <c r="D1308" s="101">
        <f t="shared" si="29"/>
        <v>0.1059210526315788</v>
      </c>
    </row>
    <row r="1309" spans="2:4" x14ac:dyDescent="0.25">
      <c r="B1309" s="9">
        <v>36262</v>
      </c>
      <c r="C1309" s="3">
        <v>4.75</v>
      </c>
      <c r="D1309" s="101">
        <f t="shared" si="29"/>
        <v>3.8961038961038863E-2</v>
      </c>
    </row>
    <row r="1310" spans="2:4" x14ac:dyDescent="0.25">
      <c r="B1310" s="9">
        <v>36255</v>
      </c>
      <c r="C1310" s="3">
        <v>4.5718750000000004</v>
      </c>
      <c r="D1310" s="101">
        <f t="shared" si="29"/>
        <v>6.944444444444442E-2</v>
      </c>
    </row>
    <row r="1311" spans="2:4" x14ac:dyDescent="0.25">
      <c r="B1311" s="9">
        <v>36248</v>
      </c>
      <c r="C1311" s="3">
        <v>4.2750000000000004</v>
      </c>
      <c r="D1311" s="101">
        <f t="shared" si="29"/>
        <v>0.22966274449794244</v>
      </c>
    </row>
    <row r="1312" spans="2:4" x14ac:dyDescent="0.25">
      <c r="B1312" s="9">
        <v>36241</v>
      </c>
      <c r="C1312" s="3">
        <v>3.4765630000000001</v>
      </c>
      <c r="D1312" s="101">
        <f t="shared" si="29"/>
        <v>2.9615914170711521E-2</v>
      </c>
    </row>
    <row r="1313" spans="2:4" x14ac:dyDescent="0.25">
      <c r="B1313" s="9">
        <v>36234</v>
      </c>
      <c r="C1313" s="3">
        <v>3.376563</v>
      </c>
      <c r="D1313" s="101">
        <f t="shared" si="29"/>
        <v>1.3127049132369617E-2</v>
      </c>
    </row>
    <row r="1314" spans="2:4" x14ac:dyDescent="0.25">
      <c r="B1314" s="9">
        <v>36227</v>
      </c>
      <c r="C1314" s="3">
        <v>3.3328129999999998</v>
      </c>
      <c r="D1314" s="101">
        <f t="shared" si="29"/>
        <v>9.7222386831275598E-2</v>
      </c>
    </row>
    <row r="1315" spans="2:4" x14ac:dyDescent="0.25">
      <c r="B1315" s="9">
        <v>36220</v>
      </c>
      <c r="C1315" s="3">
        <v>3.0375000000000001</v>
      </c>
      <c r="D1315" s="101">
        <f t="shared" si="29"/>
        <v>-5.1707317073170667E-2</v>
      </c>
    </row>
    <row r="1316" spans="2:4" x14ac:dyDescent="0.25">
      <c r="B1316" s="9">
        <v>36213</v>
      </c>
      <c r="C1316" s="3">
        <v>3.203125</v>
      </c>
      <c r="D1316" s="101">
        <f t="shared" si="29"/>
        <v>0.25766871165644178</v>
      </c>
    </row>
    <row r="1317" spans="2:4" x14ac:dyDescent="0.25">
      <c r="B1317" s="9">
        <v>36206</v>
      </c>
      <c r="C1317" s="3">
        <v>2.546875</v>
      </c>
      <c r="D1317" s="101">
        <f t="shared" si="29"/>
        <v>-2.511961722488032E-2</v>
      </c>
    </row>
    <row r="1318" spans="2:4" x14ac:dyDescent="0.25">
      <c r="B1318" s="9">
        <v>36199</v>
      </c>
      <c r="C1318" s="3">
        <v>2.6124999999999998</v>
      </c>
      <c r="D1318" s="101">
        <f t="shared" si="29"/>
        <v>-9.8166127292340977E-2</v>
      </c>
    </row>
    <row r="1319" spans="2:4" x14ac:dyDescent="0.25">
      <c r="B1319" s="9">
        <v>36192</v>
      </c>
      <c r="C1319" s="3">
        <v>2.8968750000000001</v>
      </c>
      <c r="D1319" s="101">
        <f t="shared" si="29"/>
        <v>-9.0862197180169302E-3</v>
      </c>
    </row>
    <row r="1320" spans="2:4" x14ac:dyDescent="0.25">
      <c r="B1320" s="9">
        <v>36185</v>
      </c>
      <c r="C1320" s="3">
        <v>2.923438</v>
      </c>
      <c r="D1320" s="101">
        <f t="shared" si="29"/>
        <v>-4.9288455284552946E-2</v>
      </c>
    </row>
    <row r="1321" spans="2:4" x14ac:dyDescent="0.25">
      <c r="B1321" s="9">
        <v>36178</v>
      </c>
      <c r="C1321" s="3">
        <v>3.0750000000000002</v>
      </c>
      <c r="D1321" s="101">
        <f t="shared" si="29"/>
        <v>-0.12377560106856622</v>
      </c>
    </row>
    <row r="1322" spans="2:4" x14ac:dyDescent="0.25">
      <c r="B1322" s="9">
        <v>36171</v>
      </c>
      <c r="C1322" s="3">
        <v>3.5093749999999999</v>
      </c>
      <c r="D1322" s="101">
        <f t="shared" si="29"/>
        <v>-0.12402496099843985</v>
      </c>
    </row>
    <row r="1323" spans="2:4" x14ac:dyDescent="0.25">
      <c r="B1323" s="9">
        <v>36164</v>
      </c>
      <c r="C1323" s="3">
        <v>4.0062499999999996</v>
      </c>
      <c r="D1323" s="101">
        <f t="shared" si="29"/>
        <v>0.4964982408091192</v>
      </c>
    </row>
    <row r="1324" spans="2:4" x14ac:dyDescent="0.25">
      <c r="B1324" s="9">
        <v>36157</v>
      </c>
      <c r="C1324" s="3">
        <v>2.6770830000000001</v>
      </c>
      <c r="D1324" s="101">
        <f t="shared" si="29"/>
        <v>-1.0968050123190909E-2</v>
      </c>
    </row>
    <row r="1325" spans="2:4" x14ac:dyDescent="0.25">
      <c r="B1325" s="9">
        <v>36150</v>
      </c>
      <c r="C1325" s="3">
        <v>2.7067709999999998</v>
      </c>
      <c r="D1325" s="101">
        <f t="shared" si="29"/>
        <v>0.1329843541170741</v>
      </c>
    </row>
    <row r="1326" spans="2:4" x14ac:dyDescent="0.25">
      <c r="B1326" s="9">
        <v>36143</v>
      </c>
      <c r="C1326" s="3">
        <v>2.3890630000000002</v>
      </c>
      <c r="D1326" s="101">
        <f t="shared" si="29"/>
        <v>0.28559467006182437</v>
      </c>
    </row>
    <row r="1327" spans="2:4" x14ac:dyDescent="0.25">
      <c r="B1327" s="9">
        <v>36136</v>
      </c>
      <c r="C1327" s="3">
        <v>1.858333</v>
      </c>
      <c r="D1327" s="101">
        <f t="shared" si="29"/>
        <v>0.18302391151701047</v>
      </c>
    </row>
    <row r="1328" spans="2:4" x14ac:dyDescent="0.25">
      <c r="B1328" s="9">
        <v>36129</v>
      </c>
      <c r="C1328" s="3">
        <v>1.5708329999999999</v>
      </c>
      <c r="D1328" s="101">
        <f t="shared" si="29"/>
        <v>-0.12983268410066873</v>
      </c>
    </row>
    <row r="1329" spans="2:4" x14ac:dyDescent="0.25">
      <c r="B1329" s="9">
        <v>36122</v>
      </c>
      <c r="C1329" s="3">
        <v>1.8052079999999999</v>
      </c>
      <c r="D1329" s="101">
        <f t="shared" si="29"/>
        <v>0.19930800261492077</v>
      </c>
    </row>
    <row r="1330" spans="2:4" x14ac:dyDescent="0.25">
      <c r="B1330" s="9">
        <v>36115</v>
      </c>
      <c r="C1330" s="3">
        <v>1.5052080000000001</v>
      </c>
      <c r="D1330" s="101">
        <f t="shared" si="29"/>
        <v>0.41389445444836159</v>
      </c>
    </row>
    <row r="1331" spans="2:4" x14ac:dyDescent="0.25">
      <c r="B1331" s="9">
        <v>36108</v>
      </c>
      <c r="C1331" s="3">
        <v>1.0645830000000001</v>
      </c>
      <c r="D1331" s="101">
        <f t="shared" si="29"/>
        <v>2.558907767761931E-2</v>
      </c>
    </row>
    <row r="1332" spans="2:4" x14ac:dyDescent="0.25">
      <c r="B1332" s="9">
        <v>36101</v>
      </c>
      <c r="C1332" s="3">
        <v>1.0380210000000001</v>
      </c>
      <c r="D1332" s="101">
        <f t="shared" si="29"/>
        <v>-1.4829458850505794E-2</v>
      </c>
    </row>
    <row r="1333" spans="2:4" x14ac:dyDescent="0.25">
      <c r="B1333" s="9">
        <v>36094</v>
      </c>
      <c r="C1333" s="3">
        <v>1.0536460000000001</v>
      </c>
      <c r="D1333" s="101">
        <f t="shared" si="29"/>
        <v>8.8805714120375301E-2</v>
      </c>
    </row>
    <row r="1334" spans="2:4" x14ac:dyDescent="0.25">
      <c r="B1334" s="9">
        <v>36087</v>
      </c>
      <c r="C1334" s="3">
        <v>0.96770800000000001</v>
      </c>
      <c r="D1334" s="101">
        <f t="shared" si="29"/>
        <v>0.16781834462484579</v>
      </c>
    </row>
    <row r="1335" spans="2:4" x14ac:dyDescent="0.25">
      <c r="B1335" s="9">
        <v>36080</v>
      </c>
      <c r="C1335" s="3">
        <v>0.82864599999999999</v>
      </c>
      <c r="D1335" s="101">
        <f t="shared" si="29"/>
        <v>9.0472906818827914E-2</v>
      </c>
    </row>
    <row r="1336" spans="2:4" x14ac:dyDescent="0.25">
      <c r="B1336" s="9">
        <v>36073</v>
      </c>
      <c r="C1336" s="3">
        <v>0.75989600000000002</v>
      </c>
      <c r="D1336" s="101">
        <f t="shared" si="29"/>
        <v>-0.17290231292517</v>
      </c>
    </row>
    <row r="1337" spans="2:4" x14ac:dyDescent="0.25">
      <c r="B1337" s="9">
        <v>36066</v>
      </c>
      <c r="C1337" s="3">
        <v>0.91874999999999996</v>
      </c>
      <c r="D1337" s="101">
        <f t="shared" si="29"/>
        <v>9.1529485938859345E-3</v>
      </c>
    </row>
    <row r="1338" spans="2:4" x14ac:dyDescent="0.25">
      <c r="B1338" s="9">
        <v>36059</v>
      </c>
      <c r="C1338" s="3">
        <v>0.91041700000000003</v>
      </c>
      <c r="D1338" s="101">
        <f t="shared" si="29"/>
        <v>0.37097986185045717</v>
      </c>
    </row>
    <row r="1339" spans="2:4" x14ac:dyDescent="0.25">
      <c r="B1339" s="9">
        <v>36052</v>
      </c>
      <c r="C1339" s="3">
        <v>0.66406299999999996</v>
      </c>
      <c r="D1339" s="101">
        <f t="shared" si="29"/>
        <v>4.7659240140473846E-2</v>
      </c>
    </row>
    <row r="1340" spans="2:4" x14ac:dyDescent="0.25">
      <c r="B1340" s="9">
        <v>36045</v>
      </c>
      <c r="C1340" s="3">
        <v>0.63385400000000003</v>
      </c>
      <c r="D1340" s="101">
        <f t="shared" si="29"/>
        <v>-0.11811617391304341</v>
      </c>
    </row>
    <row r="1341" spans="2:4" x14ac:dyDescent="0.25">
      <c r="B1341" s="9">
        <v>36038</v>
      </c>
      <c r="C1341" s="3">
        <v>0.71875</v>
      </c>
      <c r="D1341" s="101">
        <f t="shared" si="29"/>
        <v>-0.18548041639940982</v>
      </c>
    </row>
    <row r="1342" spans="2:4" x14ac:dyDescent="0.25">
      <c r="B1342" s="9">
        <v>36031</v>
      </c>
      <c r="C1342" s="3">
        <v>0.88242200000000004</v>
      </c>
      <c r="D1342" s="101">
        <f t="shared" si="29"/>
        <v>-0.18349373432192528</v>
      </c>
    </row>
    <row r="1343" spans="2:4" x14ac:dyDescent="0.25">
      <c r="B1343" s="9">
        <v>36024</v>
      </c>
      <c r="C1343" s="3">
        <v>1.0807290000000001</v>
      </c>
      <c r="D1343" s="101">
        <f t="shared" si="29"/>
        <v>5.651680439370943E-2</v>
      </c>
    </row>
    <row r="1344" spans="2:4" x14ac:dyDescent="0.25">
      <c r="B1344" s="9">
        <v>36017</v>
      </c>
      <c r="C1344" s="3">
        <v>1.0229170000000001</v>
      </c>
      <c r="D1344" s="101">
        <f t="shared" si="29"/>
        <v>5.8189635107022353E-2</v>
      </c>
    </row>
    <row r="1345" spans="2:4" x14ac:dyDescent="0.25">
      <c r="B1345" s="9">
        <v>36010</v>
      </c>
      <c r="C1345" s="3">
        <v>0.96666700000000005</v>
      </c>
      <c r="D1345" s="101">
        <f t="shared" si="29"/>
        <v>4.6223962561068976E-2</v>
      </c>
    </row>
    <row r="1346" spans="2:4" x14ac:dyDescent="0.25">
      <c r="B1346" s="9">
        <v>36003</v>
      </c>
      <c r="C1346" s="3">
        <v>0.92395799999999995</v>
      </c>
      <c r="D1346" s="101">
        <f t="shared" si="29"/>
        <v>-0.10764648445988434</v>
      </c>
    </row>
    <row r="1347" spans="2:4" x14ac:dyDescent="0.25">
      <c r="B1347" s="9">
        <v>35996</v>
      </c>
      <c r="C1347" s="3">
        <v>1.035417</v>
      </c>
      <c r="D1347" s="101">
        <f t="shared" ref="D1347:D1408" si="30">C1347/C1348-1</f>
        <v>3.7036851562139983E-2</v>
      </c>
    </row>
    <row r="1348" spans="2:4" x14ac:dyDescent="0.25">
      <c r="B1348" s="9">
        <v>35989</v>
      </c>
      <c r="C1348" s="3">
        <v>0.99843800000000005</v>
      </c>
      <c r="D1348" s="101">
        <f t="shared" si="30"/>
        <v>0.20414584757955878</v>
      </c>
    </row>
    <row r="1349" spans="2:4" x14ac:dyDescent="0.25">
      <c r="B1349" s="9">
        <v>35982</v>
      </c>
      <c r="C1349" s="3">
        <v>0.82916699999999999</v>
      </c>
      <c r="D1349" s="101">
        <f t="shared" si="30"/>
        <v>-0.19758006373550452</v>
      </c>
    </row>
    <row r="1350" spans="2:4" x14ac:dyDescent="0.25">
      <c r="B1350" s="9">
        <v>35975</v>
      </c>
      <c r="C1350" s="3">
        <v>1.0333330000000001</v>
      </c>
      <c r="D1350" s="101">
        <f t="shared" si="30"/>
        <v>0.31564888460524787</v>
      </c>
    </row>
    <row r="1351" spans="2:4" x14ac:dyDescent="0.25">
      <c r="B1351" s="9">
        <v>35968</v>
      </c>
      <c r="C1351" s="3">
        <v>0.78541700000000003</v>
      </c>
      <c r="D1351" s="101">
        <f t="shared" si="30"/>
        <v>0.24319888060705552</v>
      </c>
    </row>
    <row r="1352" spans="2:4" x14ac:dyDescent="0.25">
      <c r="B1352" s="9">
        <v>35961</v>
      </c>
      <c r="C1352" s="3">
        <v>0.63177099999999997</v>
      </c>
      <c r="D1352" s="101">
        <f t="shared" si="30"/>
        <v>0.24282901169115512</v>
      </c>
    </row>
    <row r="1353" spans="2:4" x14ac:dyDescent="0.25">
      <c r="B1353" s="9">
        <v>35954</v>
      </c>
      <c r="C1353" s="3">
        <v>0.50833300000000003</v>
      </c>
      <c r="D1353" s="101">
        <f t="shared" si="30"/>
        <v>0.37853016949152551</v>
      </c>
    </row>
    <row r="1354" spans="2:4" x14ac:dyDescent="0.25">
      <c r="B1354" s="9">
        <v>35947</v>
      </c>
      <c r="C1354" s="3">
        <v>0.36875000000000002</v>
      </c>
      <c r="D1354" s="101">
        <f t="shared" si="30"/>
        <v>4.2539516541935107E-3</v>
      </c>
    </row>
    <row r="1355" spans="2:4" x14ac:dyDescent="0.25">
      <c r="B1355" s="9">
        <v>35940</v>
      </c>
      <c r="C1355" s="3">
        <v>0.36718800000000001</v>
      </c>
      <c r="D1355" s="101">
        <f t="shared" si="30"/>
        <v>2.4711650894559067E-2</v>
      </c>
    </row>
    <row r="1356" spans="2:4" x14ac:dyDescent="0.25">
      <c r="B1356" s="9">
        <v>35933</v>
      </c>
      <c r="C1356" s="3">
        <v>0.35833300000000001</v>
      </c>
      <c r="D1356" s="101">
        <f t="shared" si="30"/>
        <v>-4.0448481407890924E-2</v>
      </c>
    </row>
    <row r="1357" spans="2:4" x14ac:dyDescent="0.25">
      <c r="B1357" s="9">
        <v>35926</v>
      </c>
      <c r="C1357" s="3">
        <v>0.37343799999999999</v>
      </c>
      <c r="D1357" s="101">
        <f t="shared" si="30"/>
        <v>-2.9769080478882715E-2</v>
      </c>
    </row>
    <row r="1358" spans="2:4" x14ac:dyDescent="0.25">
      <c r="B1358" s="9">
        <v>35919</v>
      </c>
      <c r="C1358" s="3">
        <v>0.38489600000000002</v>
      </c>
      <c r="D1358" s="101">
        <f t="shared" si="30"/>
        <v>-2.2486349206349177E-2</v>
      </c>
    </row>
    <row r="1359" spans="2:4" x14ac:dyDescent="0.25">
      <c r="B1359" s="9">
        <v>35912</v>
      </c>
      <c r="C1359" s="3">
        <v>0.39374999999999999</v>
      </c>
      <c r="D1359" s="101">
        <f t="shared" si="30"/>
        <v>0.1134015371303505</v>
      </c>
    </row>
    <row r="1360" spans="2:4" x14ac:dyDescent="0.25">
      <c r="B1360" s="9">
        <v>35905</v>
      </c>
      <c r="C1360" s="3">
        <v>0.35364600000000002</v>
      </c>
      <c r="D1360" s="101">
        <f t="shared" si="30"/>
        <v>-0.10540255443155178</v>
      </c>
    </row>
    <row r="1361" spans="2:4" x14ac:dyDescent="0.25">
      <c r="B1361" s="9">
        <v>35898</v>
      </c>
      <c r="C1361" s="3">
        <v>0.39531300000000003</v>
      </c>
      <c r="D1361" s="101">
        <f t="shared" si="30"/>
        <v>-3.9357480314959892E-3</v>
      </c>
    </row>
    <row r="1362" spans="2:4" x14ac:dyDescent="0.25">
      <c r="B1362" s="9">
        <v>35891</v>
      </c>
      <c r="C1362" s="3">
        <v>0.39687499999999998</v>
      </c>
      <c r="D1362" s="101">
        <f t="shared" si="30"/>
        <v>2.4193548387096753E-2</v>
      </c>
    </row>
    <row r="1363" spans="2:4" x14ac:dyDescent="0.25">
      <c r="B1363" s="9">
        <v>35884</v>
      </c>
      <c r="C1363" s="3">
        <v>0.38750000000000001</v>
      </c>
      <c r="D1363" s="101">
        <f t="shared" si="30"/>
        <v>9.4116617302007155E-2</v>
      </c>
    </row>
    <row r="1364" spans="2:4" x14ac:dyDescent="0.25">
      <c r="B1364" s="9">
        <v>35877</v>
      </c>
      <c r="C1364" s="3">
        <v>0.35416700000000001</v>
      </c>
      <c r="D1364" s="101">
        <f t="shared" si="30"/>
        <v>1.1905714285714408E-2</v>
      </c>
    </row>
    <row r="1365" spans="2:4" x14ac:dyDescent="0.25">
      <c r="B1365" s="9">
        <v>35870</v>
      </c>
      <c r="C1365" s="3">
        <v>0.35</v>
      </c>
      <c r="D1365" s="101">
        <f t="shared" si="30"/>
        <v>6.7512543272383319E-2</v>
      </c>
    </row>
    <row r="1366" spans="2:4" x14ac:dyDescent="0.25">
      <c r="B1366" s="9">
        <v>35863</v>
      </c>
      <c r="C1366" s="3">
        <v>0.32786500000000002</v>
      </c>
      <c r="D1366" s="101">
        <f t="shared" si="30"/>
        <v>2.5244533947065495E-2</v>
      </c>
    </row>
    <row r="1367" spans="2:4" x14ac:dyDescent="0.25">
      <c r="B1367" s="9">
        <v>35856</v>
      </c>
      <c r="C1367" s="3">
        <v>0.31979200000000002</v>
      </c>
      <c r="D1367" s="101">
        <f t="shared" si="30"/>
        <v>-3.2446786957699425E-3</v>
      </c>
    </row>
    <row r="1368" spans="2:4" x14ac:dyDescent="0.25">
      <c r="B1368" s="9">
        <v>35849</v>
      </c>
      <c r="C1368" s="3">
        <v>0.32083299999999998</v>
      </c>
      <c r="D1368" s="101">
        <f t="shared" si="30"/>
        <v>0.2173884997457709</v>
      </c>
    </row>
    <row r="1369" spans="2:4" x14ac:dyDescent="0.25">
      <c r="B1369" s="9">
        <v>35842</v>
      </c>
      <c r="C1369" s="3">
        <v>0.263542</v>
      </c>
      <c r="D1369" s="101">
        <f t="shared" si="30"/>
        <v>1.6065542168674618E-2</v>
      </c>
    </row>
    <row r="1370" spans="2:4" x14ac:dyDescent="0.25">
      <c r="B1370" s="9">
        <v>35835</v>
      </c>
      <c r="C1370" s="3">
        <v>0.25937500000000002</v>
      </c>
      <c r="D1370" s="101">
        <f t="shared" si="30"/>
        <v>5.7322685711723498E-2</v>
      </c>
    </row>
    <row r="1371" spans="2:4" x14ac:dyDescent="0.25">
      <c r="B1371" s="9">
        <v>35828</v>
      </c>
      <c r="C1371" s="3">
        <v>0.245313</v>
      </c>
      <c r="D1371" s="101">
        <f t="shared" si="30"/>
        <v>-2.1152571054333658E-3</v>
      </c>
    </row>
    <row r="1372" spans="2:4" x14ac:dyDescent="0.25">
      <c r="B1372" s="9">
        <v>35821</v>
      </c>
      <c r="C1372" s="3">
        <v>0.245833</v>
      </c>
      <c r="D1372" s="101">
        <f t="shared" si="30"/>
        <v>-4.2207594936709558E-3</v>
      </c>
    </row>
    <row r="1373" spans="2:4" x14ac:dyDescent="0.25">
      <c r="B1373" s="9">
        <v>35814</v>
      </c>
      <c r="C1373" s="3">
        <v>0.24687500000000001</v>
      </c>
      <c r="D1373" s="101">
        <f t="shared" si="30"/>
        <v>3.0436216259083659E-2</v>
      </c>
    </row>
    <row r="1374" spans="2:4" x14ac:dyDescent="0.25">
      <c r="B1374" s="9">
        <v>35807</v>
      </c>
      <c r="C1374" s="3">
        <v>0.23958299999999999</v>
      </c>
      <c r="D1374" s="101">
        <f t="shared" si="30"/>
        <v>0.12469193178137372</v>
      </c>
    </row>
    <row r="1375" spans="2:4" x14ac:dyDescent="0.25">
      <c r="B1375" s="9">
        <v>35800</v>
      </c>
      <c r="C1375" s="3">
        <v>0.21302099999999999</v>
      </c>
      <c r="D1375" s="101">
        <f t="shared" si="30"/>
        <v>-0.14075678553709514</v>
      </c>
    </row>
    <row r="1376" spans="2:4" x14ac:dyDescent="0.25">
      <c r="B1376" s="9">
        <v>35793</v>
      </c>
      <c r="C1376" s="3">
        <v>0.247917</v>
      </c>
      <c r="D1376" s="101">
        <f t="shared" si="30"/>
        <v>9.6774050840109371E-2</v>
      </c>
    </row>
    <row r="1377" spans="2:4" x14ac:dyDescent="0.25">
      <c r="B1377" s="9">
        <v>35786</v>
      </c>
      <c r="C1377" s="3">
        <v>0.22604199999999999</v>
      </c>
      <c r="D1377" s="101">
        <f t="shared" si="30"/>
        <v>4.6311111111110304E-3</v>
      </c>
    </row>
    <row r="1378" spans="2:4" x14ac:dyDescent="0.25">
      <c r="B1378" s="9">
        <v>35779</v>
      </c>
      <c r="C1378" s="3">
        <v>0.22500000000000001</v>
      </c>
      <c r="D1378" s="101">
        <f t="shared" si="30"/>
        <v>-9.1728575014422553E-3</v>
      </c>
    </row>
    <row r="1379" spans="2:4" x14ac:dyDescent="0.25">
      <c r="B1379" s="9">
        <v>35772</v>
      </c>
      <c r="C1379" s="3">
        <v>0.22708300000000001</v>
      </c>
      <c r="D1379" s="101">
        <f t="shared" si="30"/>
        <v>-1.1341471909721013E-2</v>
      </c>
    </row>
    <row r="1380" spans="2:4" x14ac:dyDescent="0.25">
      <c r="B1380" s="9">
        <v>35765</v>
      </c>
      <c r="C1380" s="3">
        <v>0.229688</v>
      </c>
      <c r="D1380" s="101">
        <f t="shared" si="30"/>
        <v>0.11363878787878789</v>
      </c>
    </row>
    <row r="1381" spans="2:4" x14ac:dyDescent="0.25">
      <c r="B1381" s="9">
        <v>35758</v>
      </c>
      <c r="C1381" s="3">
        <v>0.20624999999999999</v>
      </c>
      <c r="D1381" s="101">
        <f t="shared" si="30"/>
        <v>-8.1205814352344863E-2</v>
      </c>
    </row>
    <row r="1382" spans="2:4" x14ac:dyDescent="0.25">
      <c r="B1382" s="9">
        <v>35751</v>
      </c>
      <c r="C1382" s="3">
        <v>0.22447900000000001</v>
      </c>
      <c r="D1382" s="101">
        <f t="shared" si="30"/>
        <v>7.7500924001478566E-2</v>
      </c>
    </row>
    <row r="1383" spans="2:4" x14ac:dyDescent="0.25">
      <c r="B1383" s="9">
        <v>35744</v>
      </c>
      <c r="C1383" s="3">
        <v>0.20833299999999999</v>
      </c>
      <c r="D1383" s="101">
        <f t="shared" si="30"/>
        <v>-6.9767545700533118E-2</v>
      </c>
    </row>
    <row r="1384" spans="2:4" x14ac:dyDescent="0.25">
      <c r="B1384" s="9">
        <v>35737</v>
      </c>
      <c r="C1384" s="3">
        <v>0.22395799999999999</v>
      </c>
      <c r="D1384" s="101">
        <f t="shared" si="30"/>
        <v>-0.11885492609190018</v>
      </c>
    </row>
    <row r="1385" spans="2:4" x14ac:dyDescent="0.25">
      <c r="B1385" s="9">
        <v>35730</v>
      </c>
      <c r="C1385" s="3">
        <v>0.25416699999999998</v>
      </c>
      <c r="D1385" s="101">
        <f t="shared" si="30"/>
        <v>1.1400625542176135E-2</v>
      </c>
    </row>
    <row r="1386" spans="2:4" x14ac:dyDescent="0.25">
      <c r="B1386" s="9">
        <v>35723</v>
      </c>
      <c r="C1386" s="3">
        <v>0.25130200000000003</v>
      </c>
      <c r="D1386" s="101">
        <f t="shared" si="30"/>
        <v>0.38649379310344845</v>
      </c>
    </row>
    <row r="1387" spans="2:4" x14ac:dyDescent="0.25">
      <c r="B1387" s="9">
        <v>35716</v>
      </c>
      <c r="C1387" s="3">
        <v>0.18124999999999999</v>
      </c>
      <c r="D1387" s="101">
        <f t="shared" si="30"/>
        <v>-7.076061768143882E-2</v>
      </c>
    </row>
    <row r="1388" spans="2:4" x14ac:dyDescent="0.25">
      <c r="B1388" s="9">
        <v>35709</v>
      </c>
      <c r="C1388" s="3">
        <v>0.195052</v>
      </c>
      <c r="D1388" s="101">
        <f t="shared" si="30"/>
        <v>-2.8533576384219494E-2</v>
      </c>
    </row>
    <row r="1389" spans="2:4" x14ac:dyDescent="0.25">
      <c r="B1389" s="9">
        <v>35702</v>
      </c>
      <c r="C1389" s="3">
        <v>0.20078099999999999</v>
      </c>
      <c r="D1389" s="101">
        <f t="shared" si="30"/>
        <v>-3.6249657999452789E-2</v>
      </c>
    </row>
    <row r="1390" spans="2:4" x14ac:dyDescent="0.25">
      <c r="B1390" s="9">
        <v>35695</v>
      </c>
      <c r="C1390" s="3">
        <v>0.20833299999999999</v>
      </c>
      <c r="D1390" s="101">
        <f t="shared" si="30"/>
        <v>5.5406391213601136E-2</v>
      </c>
    </row>
    <row r="1391" spans="2:4" x14ac:dyDescent="0.25">
      <c r="B1391" s="9">
        <v>35688</v>
      </c>
      <c r="C1391" s="3">
        <v>0.19739599999999999</v>
      </c>
      <c r="D1391" s="101">
        <f t="shared" si="30"/>
        <v>7.0622372881355755E-2</v>
      </c>
    </row>
    <row r="1392" spans="2:4" x14ac:dyDescent="0.25">
      <c r="B1392" s="9">
        <v>35681</v>
      </c>
      <c r="C1392" s="3">
        <v>0.18437500000000001</v>
      </c>
      <c r="D1392" s="101">
        <f t="shared" si="30"/>
        <v>0.47500000000000009</v>
      </c>
    </row>
    <row r="1393" spans="2:4" x14ac:dyDescent="0.25">
      <c r="B1393" s="9">
        <v>35674</v>
      </c>
      <c r="C1393" s="3">
        <v>0.125</v>
      </c>
      <c r="D1393" s="101">
        <f t="shared" si="30"/>
        <v>6.9043078159877425E-2</v>
      </c>
    </row>
    <row r="1394" spans="2:4" x14ac:dyDescent="0.25">
      <c r="B1394" s="9">
        <v>35667</v>
      </c>
      <c r="C1394" s="3">
        <v>0.116927</v>
      </c>
      <c r="D1394" s="101">
        <f t="shared" si="30"/>
        <v>0.10048941176470594</v>
      </c>
    </row>
    <row r="1395" spans="2:4" x14ac:dyDescent="0.25">
      <c r="B1395" s="9">
        <v>35660</v>
      </c>
      <c r="C1395" s="3">
        <v>0.10625</v>
      </c>
      <c r="D1395" s="101">
        <f t="shared" si="30"/>
        <v>4.9276924968550961E-3</v>
      </c>
    </row>
    <row r="1396" spans="2:4" x14ac:dyDescent="0.25">
      <c r="B1396" s="9">
        <v>35653</v>
      </c>
      <c r="C1396" s="3">
        <v>0.105729</v>
      </c>
      <c r="D1396" s="101">
        <f t="shared" si="30"/>
        <v>-7.7271497517083731E-2</v>
      </c>
    </row>
    <row r="1397" spans="2:4" x14ac:dyDescent="0.25">
      <c r="B1397" s="9">
        <v>35646</v>
      </c>
      <c r="C1397" s="3">
        <v>0.114583</v>
      </c>
      <c r="D1397" s="101">
        <f t="shared" si="30"/>
        <v>-5.1724280618705043E-2</v>
      </c>
    </row>
    <row r="1398" spans="2:4" x14ac:dyDescent="0.25">
      <c r="B1398" s="9">
        <v>35639</v>
      </c>
      <c r="C1398" s="3">
        <v>0.120833</v>
      </c>
      <c r="D1398" s="101">
        <f t="shared" si="30"/>
        <v>8.4112401083816346E-2</v>
      </c>
    </row>
    <row r="1399" spans="2:4" x14ac:dyDescent="0.25">
      <c r="B1399" s="9">
        <v>35632</v>
      </c>
      <c r="C1399" s="3">
        <v>0.111458</v>
      </c>
      <c r="D1399" s="101">
        <f t="shared" si="30"/>
        <v>3.3808538858950188E-2</v>
      </c>
    </row>
    <row r="1400" spans="2:4" x14ac:dyDescent="0.25">
      <c r="B1400" s="9">
        <v>35625</v>
      </c>
      <c r="C1400" s="3">
        <v>0.10781300000000001</v>
      </c>
      <c r="D1400" s="101">
        <f t="shared" si="30"/>
        <v>-5.9083808243805769E-2</v>
      </c>
    </row>
    <row r="1401" spans="2:4" x14ac:dyDescent="0.25">
      <c r="B1401" s="9">
        <v>35618</v>
      </c>
      <c r="C1401" s="3">
        <v>0.114583</v>
      </c>
      <c r="D1401" s="101">
        <f t="shared" si="30"/>
        <v>0.19890554863821364</v>
      </c>
    </row>
    <row r="1402" spans="2:4" x14ac:dyDescent="0.25">
      <c r="B1402" s="9">
        <v>35611</v>
      </c>
      <c r="C1402" s="3">
        <v>9.5573000000000005E-2</v>
      </c>
      <c r="D1402" s="101">
        <f t="shared" si="30"/>
        <v>0.28322077364089204</v>
      </c>
    </row>
    <row r="1403" spans="2:4" x14ac:dyDescent="0.25">
      <c r="B1403" s="9">
        <v>35604</v>
      </c>
      <c r="C1403" s="3">
        <v>7.4479000000000004E-2</v>
      </c>
      <c r="D1403" s="101">
        <f t="shared" si="30"/>
        <v>-2.3891903226651912E-2</v>
      </c>
    </row>
    <row r="1404" spans="2:4" x14ac:dyDescent="0.25">
      <c r="B1404" s="9">
        <v>35597</v>
      </c>
      <c r="C1404" s="3">
        <v>7.6301999999999995E-2</v>
      </c>
      <c r="D1404" s="101">
        <f t="shared" si="30"/>
        <v>-3.6189321308120914E-2</v>
      </c>
    </row>
    <row r="1405" spans="2:4" x14ac:dyDescent="0.25">
      <c r="B1405" s="9">
        <v>35590</v>
      </c>
      <c r="C1405" s="3">
        <v>7.9167000000000001E-2</v>
      </c>
      <c r="D1405" s="101">
        <f t="shared" si="30"/>
        <v>-4.4026903988504174E-2</v>
      </c>
    </row>
    <row r="1406" spans="2:4" x14ac:dyDescent="0.25">
      <c r="B1406" s="9">
        <v>35583</v>
      </c>
      <c r="C1406" s="3">
        <v>8.2812999999999998E-2</v>
      </c>
      <c r="D1406" s="101">
        <f t="shared" si="30"/>
        <v>0.10417333333333345</v>
      </c>
    </row>
    <row r="1407" spans="2:4" x14ac:dyDescent="0.25">
      <c r="B1407" s="9">
        <v>35576</v>
      </c>
      <c r="C1407" s="3">
        <v>7.4999999999999997E-2</v>
      </c>
      <c r="D1407" s="101">
        <f t="shared" si="30"/>
        <v>0</v>
      </c>
    </row>
    <row r="1408" spans="2:4" x14ac:dyDescent="0.25">
      <c r="B1408" s="9">
        <v>35569</v>
      </c>
      <c r="C1408" s="3">
        <v>7.4999999999999997E-2</v>
      </c>
      <c r="D1408" s="101">
        <f t="shared" si="30"/>
        <v>-0.13252677600684726</v>
      </c>
    </row>
    <row r="1409" spans="2:3" x14ac:dyDescent="0.25">
      <c r="B1409" s="9">
        <v>35562</v>
      </c>
      <c r="C1409" s="3">
        <v>8.6457999999999993E-2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76AD8F62-D6BD-4156-9D17-0F8694D63F5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 Graph</vt:lpstr>
      <vt:lpstr>KPIs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2024-11-07T23:56:30Z</dcterms:modified>
</cp:coreProperties>
</file>