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Internet - Software Services\"/>
    </mc:Choice>
  </mc:AlternateContent>
  <xr:revisionPtr revIDLastSave="0" documentId="13_ncr:1_{EEDC21B0-222C-4BC0-8556-44329D321D21}" xr6:coauthVersionLast="47" xr6:coauthVersionMax="47" xr10:uidLastSave="{00000000-0000-0000-0000-000000000000}"/>
  <bookViews>
    <workbookView xWindow="210" yWindow="90" windowWidth="14460" windowHeight="1539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Model!$B$17</definedName>
    <definedName name="_xlchart.v1.1" hidden="1">Model!$B$18</definedName>
    <definedName name="_xlchart.v1.2" hidden="1">Model!$K$17:$W$17</definedName>
    <definedName name="_xlchart.v1.3" hidden="1">Model!$K$18:$W$18</definedName>
    <definedName name="_xlchart.v1.4" hidden="1">Model!$K$2:$W$2</definedName>
    <definedName name="_xlchart.v1.5" hidden="1">Model!$B$5</definedName>
    <definedName name="_xlchart.v1.6" hidden="1">Model!$B$6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7" i="2" l="1"/>
  <c r="R57" i="2"/>
  <c r="V56" i="2"/>
  <c r="R56" i="2"/>
  <c r="V55" i="2"/>
  <c r="R55" i="2"/>
  <c r="V54" i="2"/>
  <c r="R54" i="2"/>
  <c r="V52" i="2"/>
  <c r="R52" i="2"/>
  <c r="V51" i="2"/>
  <c r="R51" i="2"/>
  <c r="V50" i="2"/>
  <c r="R50" i="2"/>
  <c r="V49" i="2"/>
  <c r="R49" i="2"/>
  <c r="V48" i="2"/>
  <c r="R48" i="2"/>
  <c r="V47" i="2"/>
  <c r="R47" i="2"/>
  <c r="V45" i="2"/>
  <c r="R45" i="2"/>
  <c r="V44" i="2"/>
  <c r="R44" i="2"/>
  <c r="V43" i="2"/>
  <c r="R43" i="2"/>
  <c r="V42" i="2"/>
  <c r="R42" i="2"/>
  <c r="V41" i="2"/>
  <c r="R41" i="2"/>
  <c r="V40" i="2"/>
  <c r="R40" i="2"/>
  <c r="V39" i="2"/>
  <c r="R39" i="2"/>
  <c r="V37" i="2"/>
  <c r="R37" i="2"/>
  <c r="V36" i="2"/>
  <c r="R36" i="2"/>
  <c r="V35" i="2"/>
  <c r="R35" i="2"/>
  <c r="V34" i="2"/>
  <c r="R34" i="2"/>
  <c r="V33" i="2"/>
  <c r="R33" i="2"/>
  <c r="V32" i="2"/>
  <c r="R32" i="2"/>
  <c r="X30" i="2"/>
  <c r="W30" i="2"/>
  <c r="U30" i="2"/>
  <c r="T30" i="2"/>
  <c r="S30" i="2"/>
  <c r="Q30" i="2"/>
  <c r="P30" i="2"/>
  <c r="O30" i="2"/>
  <c r="N30" i="2"/>
  <c r="M30" i="2"/>
  <c r="L30" i="2"/>
  <c r="K30" i="2"/>
  <c r="R31" i="2"/>
  <c r="V31" i="2"/>
  <c r="W38" i="2"/>
  <c r="W46" i="2" s="1"/>
  <c r="X38" i="2"/>
  <c r="X46" i="2"/>
  <c r="W53" i="2"/>
  <c r="W58" i="2" s="1"/>
  <c r="X53" i="2"/>
  <c r="X58" i="2" s="1"/>
  <c r="X21" i="2"/>
  <c r="Y21" i="2"/>
  <c r="W21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W26" i="2"/>
  <c r="W25" i="2"/>
  <c r="W20" i="2"/>
  <c r="W19" i="2"/>
  <c r="V17" i="2"/>
  <c r="U17" i="2"/>
  <c r="T17" i="2"/>
  <c r="R17" i="2"/>
  <c r="Q17" i="2"/>
  <c r="P17" i="2"/>
  <c r="O17" i="2"/>
  <c r="W17" i="2"/>
  <c r="V5" i="2"/>
  <c r="U5" i="2"/>
  <c r="T5" i="2"/>
  <c r="S5" i="2"/>
  <c r="R5" i="2"/>
  <c r="Q5" i="2"/>
  <c r="P5" i="2"/>
  <c r="O5" i="2"/>
  <c r="W5" i="2"/>
  <c r="W11" i="2" s="1"/>
  <c r="W13" i="2" s="1"/>
  <c r="W15" i="2" s="1"/>
  <c r="C21" i="1"/>
  <c r="C20" i="1"/>
  <c r="C17" i="1"/>
  <c r="C15" i="1"/>
  <c r="C14" i="1"/>
  <c r="C10" i="1"/>
  <c r="C9" i="1"/>
  <c r="C7" i="1"/>
  <c r="C30" i="2"/>
  <c r="D30" i="2"/>
  <c r="F30" i="2"/>
  <c r="E30" i="2"/>
  <c r="C23" i="2"/>
  <c r="C24" i="2"/>
  <c r="D24" i="2"/>
  <c r="E24" i="2"/>
  <c r="E23" i="2"/>
  <c r="D23" i="2"/>
  <c r="E22" i="2"/>
  <c r="D22" i="2"/>
  <c r="C22" i="2"/>
  <c r="F24" i="2"/>
  <c r="F23" i="2"/>
  <c r="F2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27" i="2"/>
  <c r="Q11" i="2"/>
  <c r="Q13" i="2" s="1"/>
  <c r="Q15" i="2" s="1"/>
  <c r="L11" i="2"/>
  <c r="L13" i="2" s="1"/>
  <c r="L15" i="2" s="1"/>
  <c r="M11" i="2"/>
  <c r="M13" i="2" s="1"/>
  <c r="M15" i="2" s="1"/>
  <c r="T11" i="2"/>
  <c r="T13" i="2" s="1"/>
  <c r="T15" i="2" s="1"/>
  <c r="U11" i="2"/>
  <c r="U13" i="2" s="1"/>
  <c r="U15" i="2" s="1"/>
  <c r="V11" i="2"/>
  <c r="V13" i="2" s="1"/>
  <c r="V15" i="2" s="1"/>
  <c r="X11" i="2"/>
  <c r="X13" i="2" s="1"/>
  <c r="X15" i="2" s="1"/>
  <c r="K11" i="2"/>
  <c r="K13" i="2" s="1"/>
  <c r="K15" i="2" s="1"/>
  <c r="G11" i="2"/>
  <c r="G13" i="2" s="1"/>
  <c r="H11" i="2"/>
  <c r="H13" i="2" s="1"/>
  <c r="R30" i="2" l="1"/>
  <c r="V30" i="2"/>
  <c r="X59" i="2"/>
  <c r="W59" i="2"/>
  <c r="S11" i="2"/>
  <c r="S13" i="2" s="1"/>
  <c r="S15" i="2" s="1"/>
  <c r="S17" i="2" s="1"/>
  <c r="P11" i="2"/>
  <c r="P13" i="2" s="1"/>
  <c r="P15" i="2" s="1"/>
  <c r="R11" i="2"/>
  <c r="R13" i="2" s="1"/>
  <c r="R15" i="2" s="1"/>
  <c r="O11" i="2"/>
  <c r="O13" i="2" s="1"/>
  <c r="O15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1" i="2"/>
  <c r="C13" i="2" s="1"/>
  <c r="C15" i="2" s="1"/>
  <c r="D11" i="2"/>
  <c r="D13" i="2" s="1"/>
  <c r="D15" i="2" s="1"/>
  <c r="E11" i="2"/>
  <c r="E13" i="2" s="1"/>
  <c r="E15" i="2" s="1"/>
  <c r="F11" i="2"/>
  <c r="F13" i="2" s="1"/>
  <c r="L20" i="2"/>
  <c r="M20" i="2"/>
  <c r="N20" i="2"/>
  <c r="K19" i="2"/>
  <c r="L19" i="2"/>
  <c r="M19" i="2"/>
  <c r="N19" i="2"/>
  <c r="O19" i="2"/>
  <c r="P19" i="2"/>
  <c r="Q19" i="2"/>
  <c r="R19" i="2"/>
  <c r="S19" i="2"/>
  <c r="T19" i="2"/>
  <c r="U19" i="2"/>
  <c r="V19" i="2"/>
  <c r="O21" i="2"/>
  <c r="P21" i="2"/>
  <c r="Q21" i="2"/>
  <c r="R21" i="2"/>
  <c r="S21" i="2"/>
  <c r="T21" i="2"/>
  <c r="U21" i="2"/>
  <c r="V21" i="2"/>
  <c r="K38" i="2"/>
  <c r="K46" i="2" s="1"/>
  <c r="L38" i="2"/>
  <c r="L46" i="2" s="1"/>
  <c r="M38" i="2"/>
  <c r="M46" i="2" s="1"/>
  <c r="N38" i="2"/>
  <c r="N46" i="2" s="1"/>
  <c r="O38" i="2"/>
  <c r="O46" i="2" s="1"/>
  <c r="P38" i="2"/>
  <c r="P46" i="2" s="1"/>
  <c r="Q38" i="2"/>
  <c r="Q46" i="2" s="1"/>
  <c r="R38" i="2"/>
  <c r="R46" i="2" s="1"/>
  <c r="S38" i="2"/>
  <c r="S46" i="2" s="1"/>
  <c r="T38" i="2"/>
  <c r="T46" i="2" s="1"/>
  <c r="U38" i="2"/>
  <c r="U46" i="2" s="1"/>
  <c r="V38" i="2"/>
  <c r="V46" i="2" s="1"/>
  <c r="K53" i="2"/>
  <c r="K58" i="2" s="1"/>
  <c r="L53" i="2"/>
  <c r="L58" i="2" s="1"/>
  <c r="M53" i="2"/>
  <c r="M58" i="2" s="1"/>
  <c r="N53" i="2"/>
  <c r="N58" i="2" s="1"/>
  <c r="O53" i="2"/>
  <c r="O58" i="2" s="1"/>
  <c r="P53" i="2"/>
  <c r="P58" i="2" s="1"/>
  <c r="Q53" i="2"/>
  <c r="Q58" i="2" s="1"/>
  <c r="R53" i="2"/>
  <c r="R58" i="2" s="1"/>
  <c r="S53" i="2"/>
  <c r="S58" i="2" s="1"/>
  <c r="T53" i="2"/>
  <c r="T58" i="2" s="1"/>
  <c r="U53" i="2"/>
  <c r="U58" i="2" s="1"/>
  <c r="V53" i="2"/>
  <c r="V58" i="2" s="1"/>
  <c r="C38" i="2"/>
  <c r="C46" i="2" s="1"/>
  <c r="D38" i="2"/>
  <c r="D46" i="2" s="1"/>
  <c r="H20" i="2"/>
  <c r="G20" i="2"/>
  <c r="H21" i="2"/>
  <c r="F15" i="2" l="1"/>
  <c r="C23" i="1"/>
  <c r="C22" i="1"/>
  <c r="R59" i="2"/>
  <c r="V59" i="2"/>
  <c r="N59" i="2"/>
  <c r="U59" i="2"/>
  <c r="M59" i="2"/>
  <c r="T59" i="2"/>
  <c r="L59" i="2"/>
  <c r="S59" i="2"/>
  <c r="K59" i="2"/>
  <c r="P59" i="2"/>
  <c r="Q59" i="2"/>
  <c r="O59" i="2"/>
  <c r="K11" i="5"/>
  <c r="K20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S20" i="2"/>
  <c r="W27" i="2"/>
  <c r="S27" i="2"/>
  <c r="O20" i="2"/>
  <c r="R20" i="2"/>
  <c r="R27" i="2"/>
  <c r="V27" i="2"/>
  <c r="V20" i="2"/>
  <c r="U27" i="2"/>
  <c r="U20" i="2"/>
  <c r="T20" i="2"/>
  <c r="T27" i="2"/>
  <c r="Q27" i="2"/>
  <c r="Q20" i="2"/>
  <c r="P27" i="2"/>
  <c r="P20" i="2"/>
  <c r="G21" i="2"/>
  <c r="E19" i="2"/>
  <c r="D19" i="2"/>
  <c r="C19" i="2"/>
  <c r="F19" i="2"/>
  <c r="C24" i="1" s="1"/>
  <c r="F21" i="2"/>
  <c r="F53" i="2"/>
  <c r="F38" i="2"/>
  <c r="D21" i="2"/>
  <c r="E21" i="2"/>
  <c r="C53" i="2"/>
  <c r="C58" i="2" s="1"/>
  <c r="C59" i="2" s="1"/>
  <c r="D53" i="2"/>
  <c r="E38" i="2"/>
  <c r="E46" i="2" s="1"/>
  <c r="F46" i="2" l="1"/>
  <c r="C33" i="1" s="1"/>
  <c r="C31" i="1"/>
  <c r="C29" i="1"/>
  <c r="F58" i="2"/>
  <c r="F59" i="2" s="1"/>
  <c r="C30" i="1"/>
  <c r="C34" i="1"/>
  <c r="O27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E53" i="2"/>
  <c r="E58" i="2" s="1"/>
  <c r="E59" i="2" s="1"/>
  <c r="D58" i="2"/>
  <c r="D59" i="2" s="1"/>
  <c r="C27" i="1" l="1"/>
  <c r="C35" i="1"/>
  <c r="C32" i="1"/>
  <c r="D17" i="2"/>
  <c r="C20" i="2"/>
  <c r="F27" i="2"/>
  <c r="F17" i="2"/>
  <c r="F20" i="2"/>
  <c r="C25" i="1" s="1"/>
  <c r="G27" i="2" l="1"/>
  <c r="C13" i="1"/>
  <c r="C16" i="1"/>
  <c r="C18" i="1" s="1"/>
  <c r="D20" i="2"/>
  <c r="E27" i="2"/>
  <c r="E17" i="2"/>
  <c r="D27" i="2"/>
  <c r="C17" i="2"/>
  <c r="E2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<sst xmlns="http://schemas.openxmlformats.org/spreadsheetml/2006/main" count="244" uniqueCount="204">
  <si>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</si>
  <si>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</si>
  <si>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</si>
  <si>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</si>
  <si>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</si>
  <si>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</si>
  <si>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</si>
  <si>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</si>
  <si>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</si>
  <si>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</si>
  <si>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</si>
  <si>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</si>
  <si>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</si>
  <si>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</si>
  <si>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</si>
  <si>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</si>
  <si>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</si>
  <si>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</si>
  <si>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</si>
  <si>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</si>
  <si>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</si>
  <si>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</si>
  <si>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</si>
  <si>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</si>
  <si>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</si>
  <si>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</si>
  <si>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</si>
  <si>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</si>
  <si>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</si>
  <si>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</si>
  <si>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</si>
  <si>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</si>
  <si>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</si>
  <si>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</si>
  <si>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</si>
  <si>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</si>
  <si>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</si>
  <si>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</si>
  <si>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</si>
  <si>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</si>
  <si>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</si>
  <si>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</si>
  <si>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</si>
  <si>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</si>
  <si>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</si>
  <si>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</si>
  <si>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</si>
  <si>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</si>
  <si>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</si>
  <si>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</si>
  <si>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</si>
  <si>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</si>
  <si>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</si>
  <si>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</si>
  <si>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</si>
  <si>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</si>
  <si>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</si>
  <si>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</si>
  <si>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</si>
  <si>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</si>
  <si>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</si>
  <si>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</si>
  <si>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</si>
  <si>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</si>
  <si>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</si>
  <si>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</si>
  <si>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</si>
  <si>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</si>
  <si>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</si>
  <si>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</si>
  <si>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</si>
  <si>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</si>
  <si>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</si>
  <si>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</si>
  <si>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</si>
  <si>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</si>
  <si>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</si>
  <si>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</si>
  <si>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</si>
  <si>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Intangible Asset</t>
  </si>
  <si>
    <t>Long term debt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</si>
  <si>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</si>
  <si>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</si>
  <si>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</si>
  <si>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</si>
  <si>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</si>
  <si>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</si>
  <si>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</si>
  <si>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</si>
  <si>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</si>
  <si>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</si>
  <si>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</si>
  <si>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</si>
  <si>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</si>
  <si>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</si>
  <si>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</si>
  <si>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</si>
  <si>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</si>
  <si>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</si>
  <si>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</si>
  <si>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</si>
  <si>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</si>
  <si>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</si>
  <si>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</si>
  <si>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</si>
  <si>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</si>
  <si>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</si>
  <si>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</si>
  <si>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</si>
  <si>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</si>
  <si>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</si>
  <si>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</si>
  <si>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</si>
  <si>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</si>
  <si>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</si>
  <si>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</si>
  <si>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</si>
  <si>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</si>
  <si>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</si>
  <si>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</si>
  <si>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</si>
  <si>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</si>
  <si>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</si>
  <si>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</si>
  <si>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</si>
  <si>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</si>
  <si>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</si>
  <si>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</si>
  <si>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</si>
  <si>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</si>
  <si>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</si>
  <si>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</si>
  <si>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</si>
  <si>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</si>
  <si>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</si>
  <si>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</si>
  <si>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</si>
  <si>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</si>
  <si>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RDDT</t>
  </si>
  <si>
    <t>Mr. Steven Ladd Huffman</t>
  </si>
  <si>
    <t>Co-Founder, CEO, President &amp; Director</t>
  </si>
  <si>
    <t>Mr. Andrew Vollero</t>
  </si>
  <si>
    <t>Chief Financial Officer</t>
  </si>
  <si>
    <t>Ms. Jennifer L. Wong</t>
  </si>
  <si>
    <t>Chief Operating Officer</t>
  </si>
  <si>
    <t>Ms. Michelle Reynolds</t>
  </si>
  <si>
    <t>Chief Accounting Officer</t>
  </si>
  <si>
    <t>Dr. Christopher Slowe Ph.D.</t>
  </si>
  <si>
    <t>Chief Technology Officer</t>
  </si>
  <si>
    <t>Mr. Fredrick Lee</t>
  </si>
  <si>
    <t>Chief Information Security Officer</t>
  </si>
  <si>
    <t>Mr. Benjamin Lee</t>
  </si>
  <si>
    <t>Chief Legal Officer &amp; Corporate Secretary</t>
  </si>
  <si>
    <t>Ms. Roxy Young</t>
  </si>
  <si>
    <t>Chief Marketing &amp; Consumer Experience Officer</t>
  </si>
  <si>
    <t>Ms. Nellie Peshkov</t>
  </si>
  <si>
    <t>Chief People Officer</t>
  </si>
  <si>
    <t>Mr. Justin Bassett</t>
  </si>
  <si>
    <t>Head of Rounding-Up</t>
  </si>
  <si>
    <t>Holder</t>
  </si>
  <si>
    <t>Date Reported</t>
  </si>
  <si>
    <t>Value</t>
  </si>
  <si>
    <t>Congress Park Capital LLC</t>
  </si>
  <si>
    <t>5.66k</t>
  </si>
  <si>
    <t>Mar 31, 2024</t>
  </si>
  <si>
    <t>0.00%</t>
  </si>
  <si>
    <t>CenterStar Asset Management, LLC</t>
  </si>
  <si>
    <t>11.37k</t>
  </si>
  <si>
    <t>ARK Investment Management, LLC</t>
  </si>
  <si>
    <t>10.05k</t>
  </si>
  <si>
    <t>Raymond James Financial Services Advisors, Inc.</t>
  </si>
  <si>
    <t>41.71k</t>
  </si>
  <si>
    <t>1,945,911</t>
  </si>
  <si>
    <t>Raymond James &amp; Associates, Inc.</t>
  </si>
  <si>
    <t>5.29k</t>
  </si>
  <si>
    <t>Seven Grand Managers, LLC</t>
  </si>
  <si>
    <t>20k</t>
  </si>
  <si>
    <t>DekaBank Deutsche Girozentrale</t>
  </si>
  <si>
    <t>149.3k</t>
  </si>
  <si>
    <t>6,964,845</t>
  </si>
  <si>
    <t>Simplex Trading, LLC</t>
  </si>
  <si>
    <t>50.03k</t>
  </si>
  <si>
    <t>2,334,039</t>
  </si>
  <si>
    <t>Commonwealth Equity Services, LLC</t>
  </si>
  <si>
    <t>22.53k</t>
  </si>
  <si>
    <t>1,050,837</t>
  </si>
  <si>
    <t>Bank Of New York Mellon Corporation</t>
  </si>
  <si>
    <t>1.51M</t>
  </si>
  <si>
    <t>70,456,476</t>
  </si>
  <si>
    <t>Other Short-term Investments</t>
  </si>
  <si>
    <t>Accrued Receivables</t>
  </si>
  <si>
    <t>Other Receivables</t>
  </si>
  <si>
    <t>Investments</t>
  </si>
  <si>
    <t>Deferred assets non-current</t>
  </si>
  <si>
    <t>Accrued Expense</t>
  </si>
  <si>
    <t>Current Debt</t>
  </si>
  <si>
    <t>Deferred liabilities</t>
  </si>
  <si>
    <t>Trade</t>
  </si>
  <si>
    <t>Preferred Securities outside</t>
  </si>
  <si>
    <t>Pension</t>
  </si>
  <si>
    <t>US</t>
  </si>
  <si>
    <t>International</t>
  </si>
  <si>
    <t>US y/y</t>
  </si>
  <si>
    <t>International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</si>
</sst>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15" fillId="11" borderId="0" xfId="0" applyFont="1" applyFill="1" applyAlignment="1">
      <alignment horizontal="left" vertical="center"/>
    </xf>
    <xf numFmtId="0" fontId="15" fillId="11" borderId="0" xfId="0" applyFont="1" applyFill="1" applyAlignment="1">
      <alignment horizontal="right" vertical="center"/>
    </xf>
    <xf numFmtId="0" fontId="16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right" vertical="center"/>
    </xf>
    <xf numFmtId="2" fontId="2" fillId="6" borderId="0" xfId="0" applyNumberFormat="1" applyFont="1" applyFill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6" borderId="2" xfId="0" applyNumberFormat="1" applyFill="1" applyBorder="1"/>
    <xf numFmtId="2" fontId="2" fillId="6" borderId="2" xfId="0" applyNumberFormat="1" applyFont="1" applyFill="1" applyBorder="1" applyAlignment="1">
      <alignment horizontal="right"/>
    </xf>
    <xf numFmtId="9" fontId="0" fillId="6" borderId="2" xfId="0" applyNumberFormat="1" applyFill="1" applyBorder="1"/>
    <xf numFmtId="3" fontId="6" fillId="0" borderId="0" xfId="0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163.69999999999999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Model!$K$21:$W$21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0.48442272449602952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0-49E6-87E7-ADBA3DDE477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228.90799999999999</c:v>
                </c:pt>
                <c:pt idx="1">
                  <c:v>484.916</c:v>
                </c:pt>
                <c:pt idx="2">
                  <c:v>666.70100000000002</c:v>
                </c:pt>
                <c:pt idx="3">
                  <c:v>804.029</c:v>
                </c:pt>
                <c:pt idx="4">
                  <c:v>985.98</c:v>
                </c:pt>
                <c:pt idx="5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Model!$C$21:$H$21</c:f>
              <c:numCache>
                <c:formatCode>0%</c:formatCode>
                <c:ptCount val="6"/>
                <c:pt idx="1">
                  <c:v>1.118388173414647</c:v>
                </c:pt>
                <c:pt idx="2">
                  <c:v>0.37487936054904369</c:v>
                </c:pt>
                <c:pt idx="3">
                  <c:v>0.205981391958314</c:v>
                </c:pt>
                <c:pt idx="4">
                  <c:v>0.22629905140237483</c:v>
                </c:pt>
                <c:pt idx="5">
                  <c:v>0.22720541998823496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Model!$K$15:$W$15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-60.905999999999992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-575.029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Model!$K$19:$W$19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0.83590103848503361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0.88635390946502057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Model!$C$15:$H$15</c:f>
              <c:numCache>
                <c:formatCode>#,##0</c:formatCode>
                <c:ptCount val="6"/>
                <c:pt idx="0">
                  <c:v>-59.172999999999988</c:v>
                </c:pt>
                <c:pt idx="1">
                  <c:v>-127.89600000000003</c:v>
                </c:pt>
                <c:pt idx="2">
                  <c:v>-158.55000000000004</c:v>
                </c:pt>
                <c:pt idx="3">
                  <c:v>-90.824000000000055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-1.1613911750291526</c:v>
                </c:pt>
                <c:pt idx="2">
                  <c:v>0.23967911428035271</c:v>
                </c:pt>
                <c:pt idx="3">
                  <c:v>-0.42715862503941959</c:v>
                </c:pt>
                <c:pt idx="4">
                  <c:v>-1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Model!$K$22:$U$22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0.66442883323152113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Model!$K$23:$V$23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0.35376298106292003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Model!$K$24:$V$24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0.24924251679902262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Model!$C$22:$F$22</c:f>
              <c:numCache>
                <c:formatCode>0%</c:formatCode>
                <c:ptCount val="4"/>
                <c:pt idx="0">
                  <c:v>0.32937249899522952</c:v>
                </c:pt>
                <c:pt idx="1">
                  <c:v>0.2843110971797177</c:v>
                </c:pt>
                <c:pt idx="2">
                  <c:v>0.33759961361989854</c:v>
                </c:pt>
                <c:pt idx="3">
                  <c:v>0.28627698752159436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Model!$C$23:$F$23</c:f>
              <c:numCache>
                <c:formatCode>0%</c:formatCode>
                <c:ptCount val="4"/>
                <c:pt idx="0">
                  <c:v>0.19010694252712881</c:v>
                </c:pt>
                <c:pt idx="1">
                  <c:v>0.29844756617640994</c:v>
                </c:pt>
                <c:pt idx="2">
                  <c:v>0.21572189032264838</c:v>
                </c:pt>
                <c:pt idx="3">
                  <c:v>0.20479112071828254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Model!$C$24:$F$24</c:f>
              <c:numCache>
                <c:formatCode>0%</c:formatCode>
                <c:ptCount val="4"/>
                <c:pt idx="0">
                  <c:v>0.5134202386985165</c:v>
                </c:pt>
                <c:pt idx="1">
                  <c:v>0.52993714375273249</c:v>
                </c:pt>
                <c:pt idx="2">
                  <c:v>0.54771779253368447</c:v>
                </c:pt>
                <c:pt idx="3">
                  <c:v>0.54518680296357469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5"/>
  <sheetViews>
    <sheetView workbookViewId="0">
      <selection activeCell="E28" sqref="E2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138</v>
      </c>
      <c r="C2" s="19"/>
      <c r="E2" s="24" t="s">
        <v>50</v>
      </c>
      <c r="F2" s="62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45413</v>
      </c>
      <c r="E3" s="5"/>
      <c r="F3" s="28"/>
      <c r="I3" s="10"/>
      <c r="J3" s="39"/>
      <c r="L3" s="5" t="s">
        <v>139</v>
      </c>
      <c r="M3" t="s">
        <v>140</v>
      </c>
      <c r="N3" s="38"/>
    </row>
    <row r="4" spans="2:14" x14ac:dyDescent="0.25">
      <c r="B4" s="5"/>
      <c r="C4" s="21">
        <v>0.69166666666666665</v>
      </c>
      <c r="E4" s="5"/>
      <c r="F4" s="28"/>
      <c r="I4" s="10"/>
      <c r="J4" s="39"/>
      <c r="L4" s="5" t="s">
        <v>141</v>
      </c>
      <c r="M4" t="s">
        <v>142</v>
      </c>
      <c r="N4" s="13"/>
    </row>
    <row r="5" spans="2:14" x14ac:dyDescent="0.25">
      <c r="B5" s="5"/>
      <c r="C5" s="13"/>
      <c r="E5" s="5"/>
      <c r="F5" s="28"/>
      <c r="I5" s="10"/>
      <c r="J5" s="39"/>
      <c r="L5" s="5" t="s">
        <v>143</v>
      </c>
      <c r="M5" t="s">
        <v>144</v>
      </c>
      <c r="N5" s="13"/>
    </row>
    <row r="6" spans="2:14" x14ac:dyDescent="0.25">
      <c r="B6" s="5" t="s">
        <v>0</v>
      </c>
      <c r="C6" s="13">
        <v>46.49</v>
      </c>
      <c r="E6" s="5"/>
      <c r="F6" s="28"/>
      <c r="I6" s="10"/>
      <c r="J6" s="39"/>
      <c r="L6" s="5" t="s">
        <v>145</v>
      </c>
      <c r="M6" t="s">
        <v>146</v>
      </c>
      <c r="N6" s="13"/>
    </row>
    <row r="7" spans="2:14" x14ac:dyDescent="0.25">
      <c r="B7" s="5" t="s">
        <v>1</v>
      </c>
      <c r="C7" s="15">
        <f>Model!F16</f>
        <v>158.98356999999999</v>
      </c>
      <c r="E7" s="5"/>
      <c r="F7" s="28"/>
      <c r="I7" s="10"/>
      <c r="J7" s="39"/>
      <c r="L7" s="5" t="s">
        <v>147</v>
      </c>
      <c r="M7" t="s">
        <v>148</v>
      </c>
      <c r="N7" s="13"/>
    </row>
    <row r="8" spans="2:14" x14ac:dyDescent="0.25">
      <c r="B8" s="5" t="s">
        <v>2</v>
      </c>
      <c r="C8" s="15">
        <f>C6*C7</f>
        <v>7391.1461693000001</v>
      </c>
      <c r="E8" s="5"/>
      <c r="F8" s="28"/>
      <c r="I8" s="10"/>
      <c r="J8" s="39"/>
      <c r="L8" s="5" t="s">
        <v>149</v>
      </c>
      <c r="M8" t="s">
        <v>150</v>
      </c>
      <c r="N8" s="13"/>
    </row>
    <row r="9" spans="2:14" x14ac:dyDescent="0.25">
      <c r="B9" s="5" t="s">
        <v>3</v>
      </c>
      <c r="C9" s="15">
        <f>Model!F31+Model!F32</f>
        <v>1213.1220000000001</v>
      </c>
      <c r="E9" s="5"/>
      <c r="F9" s="28"/>
      <c r="I9" s="10"/>
      <c r="J9" s="39"/>
      <c r="L9" s="5" t="s">
        <v>151</v>
      </c>
      <c r="M9" t="s">
        <v>152</v>
      </c>
      <c r="N9" s="13"/>
    </row>
    <row r="10" spans="2:14" x14ac:dyDescent="0.25">
      <c r="B10" s="5" t="s">
        <v>4</v>
      </c>
      <c r="C10" s="15">
        <f>Model!F50+Model!F54+Model!F56</f>
        <v>1879.239</v>
      </c>
      <c r="E10" s="5"/>
      <c r="F10" s="28"/>
      <c r="I10" s="10"/>
      <c r="J10" s="39"/>
      <c r="L10" s="5" t="s">
        <v>153</v>
      </c>
      <c r="M10" t="s">
        <v>154</v>
      </c>
      <c r="N10" s="13"/>
    </row>
    <row r="11" spans="2:14" x14ac:dyDescent="0.25">
      <c r="B11" s="5" t="s">
        <v>38</v>
      </c>
      <c r="C11" s="15">
        <f>C9-C10</f>
        <v>-666.11699999999996</v>
      </c>
      <c r="E11" s="5"/>
      <c r="F11" s="28"/>
      <c r="I11" s="10"/>
      <c r="J11" s="39"/>
      <c r="L11" s="5" t="s">
        <v>155</v>
      </c>
      <c r="M11" t="s">
        <v>156</v>
      </c>
      <c r="N11" s="13"/>
    </row>
    <row r="12" spans="2:14" x14ac:dyDescent="0.25">
      <c r="B12" s="5" t="s">
        <v>5</v>
      </c>
      <c r="C12" s="15">
        <f>C8-C9+C10</f>
        <v>8057.2631693000003</v>
      </c>
      <c r="E12" s="5"/>
      <c r="F12" s="28"/>
      <c r="J12" s="13"/>
      <c r="L12" s="5" t="s">
        <v>157</v>
      </c>
      <c r="M12" t="s">
        <v>158</v>
      </c>
      <c r="N12" s="13"/>
    </row>
    <row r="13" spans="2:14" x14ac:dyDescent="0.25">
      <c r="B13" s="5" t="s">
        <v>49</v>
      </c>
      <c r="C13" s="36">
        <f>C6/Model!F17</f>
        <v>-81.378778398881295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C6/Model!G18</f>
        <v>-7.0761035007610351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C6/Model!H18</f>
        <v>-39.398305084745765</v>
      </c>
    </row>
    <row r="16" spans="2:14" x14ac:dyDescent="0.25">
      <c r="B16" s="5" t="s">
        <v>45</v>
      </c>
      <c r="C16" s="6">
        <f>Model!G18/Model!F17-1</f>
        <v>10.500507078525493</v>
      </c>
    </row>
    <row r="17" spans="2:14" x14ac:dyDescent="0.25">
      <c r="B17" s="5" t="s">
        <v>46</v>
      </c>
      <c r="C17" s="6">
        <f>Model!H18/Model!G18-1</f>
        <v>-0.82039573820395739</v>
      </c>
      <c r="E17" s="33" t="s">
        <v>56</v>
      </c>
      <c r="L17" s="131"/>
      <c r="M17" s="132"/>
      <c r="N17" s="133"/>
    </row>
    <row r="18" spans="2:14" x14ac:dyDescent="0.25">
      <c r="B18" s="5" t="s">
        <v>71</v>
      </c>
      <c r="C18" s="52">
        <f>C14/(C16*100)</f>
        <v>-6.7388207520304617E-3</v>
      </c>
      <c r="L18" s="134"/>
      <c r="M18" s="135"/>
      <c r="N18" s="136"/>
    </row>
    <row r="19" spans="2:14" x14ac:dyDescent="0.25">
      <c r="B19" s="5" t="s">
        <v>72</v>
      </c>
      <c r="C19" s="52">
        <f>C15/(C17*100)</f>
        <v>0.48023536995691957</v>
      </c>
      <c r="L19" s="134"/>
      <c r="M19" s="135"/>
      <c r="N19" s="136"/>
    </row>
    <row r="20" spans="2:14" x14ac:dyDescent="0.25">
      <c r="B20" s="5" t="s">
        <v>83</v>
      </c>
      <c r="C20" s="6">
        <f>Model!G6/Model!F5-1</f>
        <v>0.22629905140237483</v>
      </c>
      <c r="L20" s="134"/>
      <c r="M20" s="135"/>
      <c r="N20" s="136"/>
    </row>
    <row r="21" spans="2:14" x14ac:dyDescent="0.25">
      <c r="B21" s="5" t="s">
        <v>84</v>
      </c>
      <c r="C21" s="6">
        <f>Model!H6/Model!G6-1</f>
        <v>0.22720541998823496</v>
      </c>
      <c r="L21" s="134"/>
      <c r="M21" s="135"/>
      <c r="N21" s="136"/>
    </row>
    <row r="22" spans="2:14" x14ac:dyDescent="0.25">
      <c r="B22" s="5" t="s">
        <v>73</v>
      </c>
      <c r="C22" s="15">
        <f>Model!F13</f>
        <v>-87.023000000000053</v>
      </c>
      <c r="L22" s="134"/>
      <c r="M22" s="135"/>
      <c r="N22" s="136"/>
    </row>
    <row r="23" spans="2:14" x14ac:dyDescent="0.25">
      <c r="B23" s="5" t="s">
        <v>19</v>
      </c>
      <c r="C23" s="15">
        <f>Model!F13</f>
        <v>-87.023000000000053</v>
      </c>
      <c r="L23" s="134"/>
      <c r="M23" s="135"/>
      <c r="N23" s="136"/>
    </row>
    <row r="24" spans="2:14" x14ac:dyDescent="0.25">
      <c r="B24" s="5" t="s">
        <v>31</v>
      </c>
      <c r="C24" s="7">
        <f>Model!F19</f>
        <v>0.86193159699463573</v>
      </c>
      <c r="L24" s="134"/>
      <c r="M24" s="135"/>
      <c r="N24" s="136"/>
    </row>
    <row r="25" spans="2:14" x14ac:dyDescent="0.25">
      <c r="B25" s="5" t="s">
        <v>32</v>
      </c>
      <c r="C25" s="7">
        <f>Model!F20</f>
        <v>-0.11296109966182818</v>
      </c>
      <c r="L25" s="134"/>
      <c r="M25" s="135"/>
      <c r="N25" s="136"/>
    </row>
    <row r="26" spans="2:14" x14ac:dyDescent="0.25">
      <c r="B26" s="5" t="s">
        <v>74</v>
      </c>
      <c r="C26" s="36">
        <f>C12/C23</f>
        <v>-92.587743117336743</v>
      </c>
      <c r="L26" s="134"/>
      <c r="M26" s="135"/>
      <c r="N26" s="136"/>
    </row>
    <row r="27" spans="2:14" x14ac:dyDescent="0.25">
      <c r="B27" s="5" t="s">
        <v>85</v>
      </c>
      <c r="C27" s="122">
        <f>Main!C10/Model!F59</f>
        <v>-4.5510750214326166</v>
      </c>
      <c r="E27" t="s">
        <v>76</v>
      </c>
      <c r="L27" s="134"/>
      <c r="M27" s="135"/>
      <c r="N27" s="136"/>
    </row>
    <row r="28" spans="2:14" x14ac:dyDescent="0.25">
      <c r="B28" s="5" t="s">
        <v>86</v>
      </c>
      <c r="C28" s="36"/>
      <c r="L28" s="137"/>
      <c r="M28" s="138"/>
      <c r="N28" s="139"/>
    </row>
    <row r="29" spans="2:14" x14ac:dyDescent="0.25">
      <c r="B29" s="5" t="s">
        <v>87</v>
      </c>
      <c r="C29" s="36">
        <f>Model!F38/Model!F53</f>
        <v>11.077989069401811</v>
      </c>
    </row>
    <row r="30" spans="2:14" x14ac:dyDescent="0.25">
      <c r="B30" s="5" t="s">
        <v>88</v>
      </c>
      <c r="C30" s="36">
        <f>(Model!F31+Model!F32+Model!F33)/Model!F53</f>
        <v>10.918626937186495</v>
      </c>
    </row>
    <row r="31" spans="2:14" x14ac:dyDescent="0.25">
      <c r="B31" s="5" t="s">
        <v>89</v>
      </c>
      <c r="C31" s="6">
        <f>(Model!F38-Model!F53)/Model!F46</f>
        <v>0.84318498284023424</v>
      </c>
    </row>
    <row r="32" spans="2:14" x14ac:dyDescent="0.25">
      <c r="B32" s="5" t="s">
        <v>90</v>
      </c>
      <c r="C32" s="36">
        <f>(Model!F38-Model!F58)/Main!C7</f>
        <v>-3.3318034058487935</v>
      </c>
    </row>
    <row r="33" spans="2:9" x14ac:dyDescent="0.25">
      <c r="B33" s="5" t="s">
        <v>91</v>
      </c>
      <c r="C33" s="36">
        <f>Model!F5/Model!F46</f>
        <v>0.5036302034429776</v>
      </c>
    </row>
    <row r="34" spans="2:9" x14ac:dyDescent="0.25">
      <c r="B34" s="5" t="s">
        <v>92</v>
      </c>
      <c r="C34" s="39">
        <f>Model!F15/Model!F46</f>
        <v>-5.6890621603829003E-2</v>
      </c>
    </row>
    <row r="35" spans="2:9" x14ac:dyDescent="0.25">
      <c r="B35" s="5" t="s">
        <v>93</v>
      </c>
      <c r="C35" s="39">
        <f>Model!F15/Model!F59</f>
        <v>0.21995437394955947</v>
      </c>
    </row>
    <row r="36" spans="2:9" x14ac:dyDescent="0.25">
      <c r="B36" s="22" t="s">
        <v>94</v>
      </c>
      <c r="C36" s="23"/>
    </row>
    <row r="41" spans="2:9" x14ac:dyDescent="0.25">
      <c r="E41" s="60"/>
      <c r="F41" s="60"/>
      <c r="G41" s="61"/>
      <c r="H41" s="61"/>
      <c r="I41" s="61"/>
    </row>
    <row r="42" spans="2:9" x14ac:dyDescent="0.25">
      <c r="E42" s="60"/>
      <c r="F42" s="60"/>
      <c r="G42" s="61"/>
      <c r="H42" s="61"/>
      <c r="I42" s="61"/>
    </row>
    <row r="43" spans="2:9" x14ac:dyDescent="0.25">
      <c r="E43" s="60"/>
      <c r="F43" s="60"/>
      <c r="G43" s="61"/>
      <c r="H43" s="61"/>
      <c r="I43" s="61"/>
    </row>
    <row r="44" spans="2:9" x14ac:dyDescent="0.25">
      <c r="E44" s="60"/>
      <c r="F44" s="60"/>
      <c r="G44" s="61"/>
      <c r="H44" s="61"/>
      <c r="I44" s="61"/>
    </row>
    <row r="45" spans="2:9" x14ac:dyDescent="0.25">
      <c r="E45" s="126" t="s">
        <v>159</v>
      </c>
      <c r="F45" s="127" t="s">
        <v>1</v>
      </c>
      <c r="G45" s="127" t="s">
        <v>160</v>
      </c>
      <c r="H45" s="127" t="s">
        <v>51</v>
      </c>
      <c r="I45" s="127" t="s">
        <v>161</v>
      </c>
    </row>
    <row r="46" spans="2:9" x14ac:dyDescent="0.25">
      <c r="E46" s="128" t="s">
        <v>162</v>
      </c>
      <c r="F46" s="129" t="s">
        <v>163</v>
      </c>
      <c r="G46" s="129" t="s">
        <v>164</v>
      </c>
      <c r="H46" s="129" t="s">
        <v>165</v>
      </c>
      <c r="I46" s="129">
        <v>264.22500000000002</v>
      </c>
    </row>
    <row r="47" spans="2:9" x14ac:dyDescent="0.25">
      <c r="E47" s="128" t="s">
        <v>166</v>
      </c>
      <c r="F47" s="129" t="s">
        <v>167</v>
      </c>
      <c r="G47" s="129" t="s">
        <v>164</v>
      </c>
      <c r="H47" s="129" t="s">
        <v>165</v>
      </c>
      <c r="I47" s="129">
        <v>530.45699999999999</v>
      </c>
    </row>
    <row r="48" spans="2:9" x14ac:dyDescent="0.25">
      <c r="E48" s="128" t="s">
        <v>168</v>
      </c>
      <c r="F48" s="129" t="s">
        <v>169</v>
      </c>
      <c r="G48" s="129" t="s">
        <v>164</v>
      </c>
      <c r="H48" s="129" t="s">
        <v>165</v>
      </c>
      <c r="I48" s="129">
        <v>468.87900000000002</v>
      </c>
    </row>
    <row r="49" spans="5:9" x14ac:dyDescent="0.25">
      <c r="E49" s="128" t="s">
        <v>170</v>
      </c>
      <c r="F49" s="129" t="s">
        <v>171</v>
      </c>
      <c r="G49" s="129" t="s">
        <v>164</v>
      </c>
      <c r="H49" s="129" t="s">
        <v>165</v>
      </c>
      <c r="I49" s="129" t="s">
        <v>172</v>
      </c>
    </row>
    <row r="50" spans="5:9" x14ac:dyDescent="0.25">
      <c r="E50" s="128" t="s">
        <v>173</v>
      </c>
      <c r="F50" s="129" t="s">
        <v>174</v>
      </c>
      <c r="G50" s="129" t="s">
        <v>164</v>
      </c>
      <c r="H50" s="129" t="s">
        <v>165</v>
      </c>
      <c r="I50" s="129">
        <v>246.77799999999999</v>
      </c>
    </row>
    <row r="51" spans="5:9" x14ac:dyDescent="0.25">
      <c r="E51" s="128" t="s">
        <v>175</v>
      </c>
      <c r="F51" s="129" t="s">
        <v>176</v>
      </c>
      <c r="G51" s="129" t="s">
        <v>164</v>
      </c>
      <c r="H51" s="129" t="s">
        <v>165</v>
      </c>
      <c r="I51" s="129">
        <v>933</v>
      </c>
    </row>
    <row r="52" spans="5:9" x14ac:dyDescent="0.25">
      <c r="E52" s="128" t="s">
        <v>177</v>
      </c>
      <c r="F52" s="129" t="s">
        <v>178</v>
      </c>
      <c r="G52" s="129" t="s">
        <v>164</v>
      </c>
      <c r="H52" s="129" t="s">
        <v>165</v>
      </c>
      <c r="I52" s="129" t="s">
        <v>179</v>
      </c>
    </row>
    <row r="53" spans="5:9" x14ac:dyDescent="0.25">
      <c r="E53" s="128" t="s">
        <v>180</v>
      </c>
      <c r="F53" s="129" t="s">
        <v>181</v>
      </c>
      <c r="G53" s="129" t="s">
        <v>164</v>
      </c>
      <c r="H53" s="129" t="s">
        <v>165</v>
      </c>
      <c r="I53" s="129" t="s">
        <v>182</v>
      </c>
    </row>
    <row r="54" spans="5:9" x14ac:dyDescent="0.25">
      <c r="E54" s="128" t="s">
        <v>183</v>
      </c>
      <c r="F54" s="129" t="s">
        <v>184</v>
      </c>
      <c r="G54" s="129" t="s">
        <v>164</v>
      </c>
      <c r="H54" s="129" t="s">
        <v>165</v>
      </c>
      <c r="I54" s="129" t="s">
        <v>185</v>
      </c>
    </row>
    <row r="55" spans="5:9" x14ac:dyDescent="0.25">
      <c r="E55" s="128" t="s">
        <v>186</v>
      </c>
      <c r="F55" s="129" t="s">
        <v>187</v>
      </c>
      <c r="G55" s="129" t="s">
        <v>164</v>
      </c>
      <c r="H55" s="129" t="s">
        <v>165</v>
      </c>
      <c r="I55" s="129" t="s">
        <v>188</v>
      </c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0"/>
  <sheetViews>
    <sheetView tabSelected="1" zoomScaleNormal="100" workbookViewId="0">
      <pane xSplit="2" ySplit="2" topLeftCell="R3" activePane="bottomRight" state="frozen"/>
      <selection pane="topRight" activeCell="B1" sqref="B1"/>
      <selection pane="bottomLeft" activeCell="A3" sqref="A3"/>
      <selection pane="bottomRight" activeCell="W20" sqref="W20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2" max="22" width="11.42578125" style="150"/>
    <col min="23" max="23" width="11.42578125" style="13"/>
  </cols>
  <sheetData>
    <row r="1" spans="1:24" x14ac:dyDescent="0.25">
      <c r="A1" s="8" t="s">
        <v>39</v>
      </c>
    </row>
    <row r="2" spans="1:24" x14ac:dyDescent="0.25">
      <c r="C2" t="s">
        <v>18</v>
      </c>
      <c r="D2" t="s">
        <v>14</v>
      </c>
      <c r="E2" t="s">
        <v>15</v>
      </c>
      <c r="F2" s="13" t="s">
        <v>16</v>
      </c>
      <c r="G2" t="s">
        <v>34</v>
      </c>
      <c r="H2" t="s">
        <v>70</v>
      </c>
      <c r="K2" t="s">
        <v>35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37</v>
      </c>
      <c r="U2" t="s">
        <v>41</v>
      </c>
      <c r="V2" s="150" t="s">
        <v>42</v>
      </c>
      <c r="W2" s="13" t="s">
        <v>65</v>
      </c>
      <c r="X2" t="s">
        <v>69</v>
      </c>
    </row>
    <row r="3" spans="1:24" x14ac:dyDescent="0.25">
      <c r="B3" t="s">
        <v>200</v>
      </c>
      <c r="K3" s="10"/>
      <c r="L3" s="10"/>
      <c r="M3" s="10"/>
      <c r="N3" s="10"/>
      <c r="O3" s="10"/>
      <c r="P3" s="10"/>
      <c r="Q3" s="10"/>
      <c r="R3" s="10"/>
      <c r="S3" s="10">
        <v>130.6</v>
      </c>
      <c r="T3" s="10"/>
      <c r="U3" s="10"/>
      <c r="V3" s="151"/>
      <c r="W3" s="15">
        <v>199.8</v>
      </c>
    </row>
    <row r="4" spans="1:24" x14ac:dyDescent="0.25">
      <c r="B4" t="s">
        <v>201</v>
      </c>
      <c r="K4" s="10"/>
      <c r="L4" s="10"/>
      <c r="M4" s="10"/>
      <c r="N4" s="10"/>
      <c r="O4" s="10"/>
      <c r="P4" s="10"/>
      <c r="Q4" s="10"/>
      <c r="R4" s="10"/>
      <c r="S4" s="10">
        <v>33.1</v>
      </c>
      <c r="T4" s="10"/>
      <c r="U4" s="10"/>
      <c r="V4" s="151"/>
      <c r="W4" s="15">
        <v>43.2</v>
      </c>
    </row>
    <row r="5" spans="1:24" s="1" customFormat="1" x14ac:dyDescent="0.25">
      <c r="B5" s="1" t="s">
        <v>17</v>
      </c>
      <c r="C5" s="11">
        <v>228.90799999999999</v>
      </c>
      <c r="D5" s="11">
        <v>484.916</v>
      </c>
      <c r="E5" s="11">
        <v>666.70100000000002</v>
      </c>
      <c r="F5" s="14">
        <v>804.029</v>
      </c>
      <c r="G5" s="160">
        <v>985.98</v>
      </c>
      <c r="H5" s="160">
        <v>1210</v>
      </c>
      <c r="K5" s="11"/>
      <c r="L5" s="11"/>
      <c r="M5" s="11"/>
      <c r="N5" s="11"/>
      <c r="O5" s="152">
        <f t="shared" ref="O5:V5" si="0">SUM(O3:O4)</f>
        <v>0</v>
      </c>
      <c r="P5" s="152">
        <f t="shared" si="0"/>
        <v>0</v>
      </c>
      <c r="Q5" s="152">
        <f t="shared" si="0"/>
        <v>0</v>
      </c>
      <c r="R5" s="152">
        <f t="shared" si="0"/>
        <v>0</v>
      </c>
      <c r="S5" s="152">
        <f t="shared" si="0"/>
        <v>163.69999999999999</v>
      </c>
      <c r="T5" s="152">
        <f t="shared" si="0"/>
        <v>0</v>
      </c>
      <c r="U5" s="152">
        <f t="shared" si="0"/>
        <v>0</v>
      </c>
      <c r="V5" s="152">
        <f t="shared" si="0"/>
        <v>0</v>
      </c>
      <c r="W5" s="14">
        <f>SUM(W3:W4)</f>
        <v>243</v>
      </c>
    </row>
    <row r="6" spans="1:24" x14ac:dyDescent="0.25">
      <c r="B6" s="9" t="s">
        <v>67</v>
      </c>
      <c r="C6" s="10"/>
      <c r="D6" s="10"/>
      <c r="E6" s="10"/>
      <c r="F6" s="15"/>
      <c r="G6" s="43">
        <v>985.98</v>
      </c>
      <c r="H6" s="43">
        <v>1210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1"/>
      <c r="W6" s="157">
        <v>212.83</v>
      </c>
      <c r="X6" s="43">
        <v>223.3</v>
      </c>
    </row>
    <row r="7" spans="1:24" x14ac:dyDescent="0.25">
      <c r="B7" t="s">
        <v>61</v>
      </c>
      <c r="C7" s="10">
        <v>55.026000000000003</v>
      </c>
      <c r="D7" s="10">
        <v>72.564999999999998</v>
      </c>
      <c r="E7" s="10">
        <v>104.79900000000001</v>
      </c>
      <c r="F7" s="15">
        <v>111.011</v>
      </c>
      <c r="G7" s="10"/>
      <c r="H7" s="10"/>
      <c r="K7" s="10"/>
      <c r="L7" s="10"/>
      <c r="M7" s="10"/>
      <c r="N7" s="10"/>
      <c r="O7" s="10"/>
      <c r="P7" s="10"/>
      <c r="Q7" s="10"/>
      <c r="R7" s="10"/>
      <c r="S7" s="10">
        <v>26.863</v>
      </c>
      <c r="T7" s="10"/>
      <c r="U7" s="10"/>
      <c r="V7" s="151"/>
      <c r="W7" s="15">
        <v>27.616</v>
      </c>
      <c r="X7" s="10"/>
    </row>
    <row r="8" spans="1:24" x14ac:dyDescent="0.25">
      <c r="B8" t="s">
        <v>62</v>
      </c>
      <c r="C8" s="10">
        <v>75.396000000000001</v>
      </c>
      <c r="D8" s="10">
        <v>137.86699999999999</v>
      </c>
      <c r="E8" s="10">
        <v>225.078</v>
      </c>
      <c r="F8" s="15">
        <v>230.17500000000001</v>
      </c>
      <c r="G8" s="41"/>
      <c r="H8" s="41"/>
      <c r="K8" s="10"/>
      <c r="L8" s="10"/>
      <c r="M8" s="10"/>
      <c r="N8" s="10"/>
      <c r="O8" s="10"/>
      <c r="P8" s="10"/>
      <c r="Q8" s="10"/>
      <c r="R8" s="10"/>
      <c r="S8" s="10">
        <v>108.767</v>
      </c>
      <c r="T8" s="10"/>
      <c r="U8" s="10"/>
      <c r="V8" s="151"/>
      <c r="W8" s="15">
        <v>437.03</v>
      </c>
    </row>
    <row r="9" spans="1:24" x14ac:dyDescent="0.25">
      <c r="B9" t="s">
        <v>137</v>
      </c>
      <c r="C9" s="10">
        <v>43.517000000000003</v>
      </c>
      <c r="D9" s="10">
        <v>144.72200000000001</v>
      </c>
      <c r="E9" s="10">
        <v>143.822</v>
      </c>
      <c r="F9" s="15">
        <v>164.65799999999999</v>
      </c>
      <c r="G9" s="41"/>
      <c r="H9" s="41"/>
      <c r="K9" s="10"/>
      <c r="L9" s="10"/>
      <c r="M9" s="10"/>
      <c r="N9" s="10"/>
      <c r="O9" s="10"/>
      <c r="P9" s="10"/>
      <c r="Q9" s="10"/>
      <c r="R9" s="10"/>
      <c r="S9" s="10">
        <v>57.911000000000001</v>
      </c>
      <c r="T9" s="10"/>
      <c r="U9" s="10"/>
      <c r="V9" s="151"/>
      <c r="W9" s="15">
        <v>124.095</v>
      </c>
    </row>
    <row r="10" spans="1:24" x14ac:dyDescent="0.25">
      <c r="B10" t="s">
        <v>75</v>
      </c>
      <c r="C10" s="10">
        <v>117.526</v>
      </c>
      <c r="D10" s="10">
        <v>256.97500000000002</v>
      </c>
      <c r="E10" s="10">
        <v>365.16399999999999</v>
      </c>
      <c r="F10" s="15">
        <v>438.346</v>
      </c>
      <c r="G10" s="10"/>
      <c r="H10" s="10"/>
      <c r="K10" s="10"/>
      <c r="L10" s="10"/>
      <c r="M10" s="10"/>
      <c r="N10" s="10"/>
      <c r="O10" s="10"/>
      <c r="P10" s="10"/>
      <c r="Q10" s="10"/>
      <c r="R10" s="10"/>
      <c r="S10" s="10">
        <v>40.801000000000002</v>
      </c>
      <c r="T10" s="10"/>
      <c r="U10" s="10"/>
      <c r="V10" s="151"/>
      <c r="W10" s="15">
        <v>243.477</v>
      </c>
    </row>
    <row r="11" spans="1:24" s="1" customFormat="1" x14ac:dyDescent="0.25">
      <c r="B11" s="1" t="s">
        <v>23</v>
      </c>
      <c r="C11" s="11">
        <f t="shared" ref="C11:H11" si="1">C5-SUM(C7:C10)</f>
        <v>-62.556999999999988</v>
      </c>
      <c r="D11" s="11">
        <f t="shared" si="1"/>
        <v>-127.21300000000002</v>
      </c>
      <c r="E11" s="11">
        <f t="shared" si="1"/>
        <v>-172.16200000000003</v>
      </c>
      <c r="F11" s="14">
        <f t="shared" si="1"/>
        <v>-140.16100000000006</v>
      </c>
      <c r="G11" s="11">
        <f t="shared" si="1"/>
        <v>985.98</v>
      </c>
      <c r="H11" s="11">
        <f t="shared" si="1"/>
        <v>1210</v>
      </c>
      <c r="I11" s="11"/>
      <c r="J11" s="11"/>
      <c r="K11" s="11">
        <f t="shared" ref="K11:X11" si="2">K5-SUM(K7:K10)</f>
        <v>0</v>
      </c>
      <c r="L11" s="11">
        <f t="shared" si="2"/>
        <v>0</v>
      </c>
      <c r="M11" s="11">
        <f t="shared" si="2"/>
        <v>0</v>
      </c>
      <c r="N11" s="11"/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-70.641999999999996</v>
      </c>
      <c r="T11" s="11">
        <f t="shared" si="2"/>
        <v>0</v>
      </c>
      <c r="U11" s="11">
        <f t="shared" si="2"/>
        <v>0</v>
      </c>
      <c r="V11" s="152">
        <f t="shared" si="2"/>
        <v>0</v>
      </c>
      <c r="W11" s="14">
        <f t="shared" si="2"/>
        <v>-589.21799999999996</v>
      </c>
      <c r="X11" s="11">
        <f t="shared" si="2"/>
        <v>0</v>
      </c>
    </row>
    <row r="12" spans="1:24" x14ac:dyDescent="0.25">
      <c r="B12" t="s">
        <v>26</v>
      </c>
      <c r="C12" s="10">
        <v>3.4860000000000002</v>
      </c>
      <c r="D12" s="10">
        <v>-0.34300000000000003</v>
      </c>
      <c r="E12" s="10">
        <v>14.234</v>
      </c>
      <c r="F12" s="15">
        <v>53.137999999999998</v>
      </c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>
        <v>10.724</v>
      </c>
      <c r="T12" s="10"/>
      <c r="U12" s="10"/>
      <c r="V12" s="151"/>
      <c r="W12" s="15">
        <v>14.554</v>
      </c>
    </row>
    <row r="13" spans="1:24" s="1" customFormat="1" x14ac:dyDescent="0.25">
      <c r="B13" s="1" t="s">
        <v>19</v>
      </c>
      <c r="C13" s="11">
        <f t="shared" ref="C13:H13" si="3">C11+SUM(C12:C12)</f>
        <v>-59.070999999999991</v>
      </c>
      <c r="D13" s="11">
        <f t="shared" si="3"/>
        <v>-127.55600000000003</v>
      </c>
      <c r="E13" s="11">
        <f t="shared" si="3"/>
        <v>-157.92800000000003</v>
      </c>
      <c r="F13" s="14">
        <f t="shared" si="3"/>
        <v>-87.023000000000053</v>
      </c>
      <c r="G13" s="11">
        <f t="shared" si="3"/>
        <v>985.98</v>
      </c>
      <c r="H13" s="11">
        <f t="shared" si="3"/>
        <v>1210</v>
      </c>
      <c r="K13" s="11">
        <f t="shared" ref="K13:X13" si="4">K11+SUM(K12:K12)</f>
        <v>0</v>
      </c>
      <c r="L13" s="11">
        <f t="shared" si="4"/>
        <v>0</v>
      </c>
      <c r="M13" s="11">
        <f t="shared" si="4"/>
        <v>0</v>
      </c>
      <c r="N13" s="11"/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-59.917999999999992</v>
      </c>
      <c r="T13" s="11">
        <f t="shared" si="4"/>
        <v>0</v>
      </c>
      <c r="U13" s="11">
        <f t="shared" si="4"/>
        <v>0</v>
      </c>
      <c r="V13" s="152">
        <f t="shared" si="4"/>
        <v>0</v>
      </c>
      <c r="W13" s="14">
        <f t="shared" si="4"/>
        <v>-574.66399999999999</v>
      </c>
      <c r="X13" s="11">
        <f t="shared" si="4"/>
        <v>0</v>
      </c>
    </row>
    <row r="14" spans="1:24" x14ac:dyDescent="0.25">
      <c r="B14" t="s">
        <v>20</v>
      </c>
      <c r="C14" s="10">
        <v>0.10199999999999999</v>
      </c>
      <c r="D14" s="10">
        <v>0.34</v>
      </c>
      <c r="E14" s="10">
        <v>0.622</v>
      </c>
      <c r="F14" s="15">
        <v>3.8010000000000002</v>
      </c>
      <c r="G14" s="41"/>
      <c r="H14" s="41"/>
      <c r="K14" s="10"/>
      <c r="L14" s="10"/>
      <c r="M14" s="10"/>
      <c r="N14" s="10"/>
      <c r="O14" s="10"/>
      <c r="P14" s="10"/>
      <c r="Q14" s="10"/>
      <c r="R14" s="10"/>
      <c r="S14" s="10">
        <v>0.98799999999999999</v>
      </c>
      <c r="T14" s="10"/>
      <c r="U14" s="10"/>
      <c r="V14" s="151"/>
      <c r="W14" s="15">
        <v>0.36499999999999999</v>
      </c>
    </row>
    <row r="15" spans="1:24" s="1" customFormat="1" x14ac:dyDescent="0.25">
      <c r="B15" s="1" t="s">
        <v>21</v>
      </c>
      <c r="C15" s="11">
        <f>C13-SUM(C14:C14)</f>
        <v>-59.172999999999988</v>
      </c>
      <c r="D15" s="11">
        <f>D13-SUM(D14:D14)</f>
        <v>-127.89600000000003</v>
      </c>
      <c r="E15" s="11">
        <f>E13-SUM(E14:E14)</f>
        <v>-158.55000000000004</v>
      </c>
      <c r="F15" s="14">
        <f>F13-SUM(F14:F14)</f>
        <v>-90.824000000000055</v>
      </c>
      <c r="G15" s="59"/>
      <c r="H15" s="59"/>
      <c r="K15" s="11">
        <f t="shared" ref="K15:X15" si="5">K13-SUM(K14:K14)</f>
        <v>0</v>
      </c>
      <c r="L15" s="11">
        <f t="shared" si="5"/>
        <v>0</v>
      </c>
      <c r="M15" s="11">
        <f t="shared" si="5"/>
        <v>0</v>
      </c>
      <c r="N15" s="11"/>
      <c r="O15" s="11">
        <f t="shared" si="5"/>
        <v>0</v>
      </c>
      <c r="P15" s="11">
        <f t="shared" si="5"/>
        <v>0</v>
      </c>
      <c r="Q15" s="11">
        <f t="shared" si="5"/>
        <v>0</v>
      </c>
      <c r="R15" s="11">
        <f t="shared" si="5"/>
        <v>0</v>
      </c>
      <c r="S15" s="11">
        <f t="shared" si="5"/>
        <v>-60.905999999999992</v>
      </c>
      <c r="T15" s="11">
        <f t="shared" si="5"/>
        <v>0</v>
      </c>
      <c r="U15" s="11">
        <f t="shared" si="5"/>
        <v>0</v>
      </c>
      <c r="V15" s="152">
        <f t="shared" si="5"/>
        <v>0</v>
      </c>
      <c r="W15" s="14">
        <f t="shared" si="5"/>
        <v>-575.029</v>
      </c>
      <c r="X15" s="11">
        <f t="shared" si="5"/>
        <v>0</v>
      </c>
    </row>
    <row r="16" spans="1:24" x14ac:dyDescent="0.25">
      <c r="B16" t="s">
        <v>1</v>
      </c>
      <c r="C16" s="10">
        <v>158.98356999999999</v>
      </c>
      <c r="D16" s="10">
        <v>158.98356999999999</v>
      </c>
      <c r="E16" s="10">
        <v>158.98356999999999</v>
      </c>
      <c r="F16" s="15">
        <v>158.98356999999999</v>
      </c>
      <c r="G16" s="41"/>
      <c r="H16" s="41"/>
      <c r="K16" s="10"/>
      <c r="L16" s="10"/>
      <c r="M16" s="10"/>
      <c r="N16" s="10"/>
      <c r="O16" s="10"/>
      <c r="P16" s="10"/>
      <c r="Q16" s="10"/>
      <c r="R16" s="10"/>
      <c r="S16" s="151">
        <v>58.115000000000002</v>
      </c>
      <c r="T16" s="10"/>
      <c r="U16" s="10"/>
      <c r="V16" s="151"/>
      <c r="W16" s="15">
        <v>70.239999999999995</v>
      </c>
      <c r="X16" s="10"/>
    </row>
    <row r="17" spans="2:25" s="1" customFormat="1" x14ac:dyDescent="0.25">
      <c r="B17" s="1" t="s">
        <v>22</v>
      </c>
      <c r="C17" s="2">
        <f>C15/C16</f>
        <v>-0.37219569292600485</v>
      </c>
      <c r="D17" s="2">
        <f>D15/D16</f>
        <v>-0.80446048607412723</v>
      </c>
      <c r="E17" s="2">
        <f>E15/E16</f>
        <v>-0.99727286284991623</v>
      </c>
      <c r="F17" s="55">
        <f>F15/F16</f>
        <v>-0.57127915796582041</v>
      </c>
      <c r="G17" s="56"/>
      <c r="H17" s="57"/>
      <c r="K17" s="2"/>
      <c r="L17" s="2"/>
      <c r="M17" s="2"/>
      <c r="N17" s="2"/>
      <c r="O17" s="153" t="e">
        <f t="shared" ref="O17:V17" si="6">O15/O16</f>
        <v>#DIV/0!</v>
      </c>
      <c r="P17" s="153" t="e">
        <f t="shared" si="6"/>
        <v>#DIV/0!</v>
      </c>
      <c r="Q17" s="153" t="e">
        <f t="shared" si="6"/>
        <v>#DIV/0!</v>
      </c>
      <c r="R17" s="153" t="e">
        <f t="shared" si="6"/>
        <v>#DIV/0!</v>
      </c>
      <c r="S17" s="153">
        <f t="shared" si="6"/>
        <v>-1.0480254667469671</v>
      </c>
      <c r="T17" s="153" t="e">
        <f t="shared" si="6"/>
        <v>#DIV/0!</v>
      </c>
      <c r="U17" s="153" t="e">
        <f t="shared" si="6"/>
        <v>#DIV/0!</v>
      </c>
      <c r="V17" s="153" t="e">
        <f t="shared" si="6"/>
        <v>#DIV/0!</v>
      </c>
      <c r="W17" s="49">
        <f>W15/W16</f>
        <v>-8.1866315489749439</v>
      </c>
      <c r="X17" s="50"/>
    </row>
    <row r="18" spans="2:25" s="1" customFormat="1" x14ac:dyDescent="0.25">
      <c r="B18" s="9" t="s">
        <v>66</v>
      </c>
      <c r="C18" s="2"/>
      <c r="D18" s="2"/>
      <c r="E18" s="2"/>
      <c r="F18" s="35"/>
      <c r="G18" s="44">
        <v>-6.57</v>
      </c>
      <c r="H18" s="45">
        <v>-1.18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153"/>
      <c r="W18" s="158">
        <v>-8.7100000000000009</v>
      </c>
      <c r="X18" s="130">
        <v>-0.51</v>
      </c>
    </row>
    <row r="19" spans="2:25" s="1" customFormat="1" x14ac:dyDescent="0.25">
      <c r="B19" t="s">
        <v>31</v>
      </c>
      <c r="C19" s="3">
        <f>1-C7/C5</f>
        <v>0.7596152165935659</v>
      </c>
      <c r="D19" s="3">
        <f>1-D7/D5</f>
        <v>0.85035552549307503</v>
      </c>
      <c r="E19" s="3">
        <f>1-E7/E5</f>
        <v>0.84280959530584176</v>
      </c>
      <c r="F19" s="6">
        <f>1-F7/F5</f>
        <v>0.86193159699463573</v>
      </c>
      <c r="G19" s="46"/>
      <c r="H19" s="46"/>
      <c r="K19" s="3" t="e">
        <f t="shared" ref="K19:W19" si="7">1-K7/K5</f>
        <v>#DIV/0!</v>
      </c>
      <c r="L19" s="3" t="e">
        <f t="shared" si="7"/>
        <v>#DIV/0!</v>
      </c>
      <c r="M19" s="3" t="e">
        <f t="shared" si="7"/>
        <v>#DIV/0!</v>
      </c>
      <c r="N19" s="3" t="e">
        <f t="shared" si="7"/>
        <v>#DIV/0!</v>
      </c>
      <c r="O19" s="3" t="e">
        <f t="shared" si="7"/>
        <v>#DIV/0!</v>
      </c>
      <c r="P19" s="3" t="e">
        <f t="shared" si="7"/>
        <v>#DIV/0!</v>
      </c>
      <c r="Q19" s="3" t="e">
        <f t="shared" si="7"/>
        <v>#DIV/0!</v>
      </c>
      <c r="R19" s="3" t="e">
        <f t="shared" si="7"/>
        <v>#DIV/0!</v>
      </c>
      <c r="S19" s="3">
        <f t="shared" si="7"/>
        <v>0.83590103848503361</v>
      </c>
      <c r="T19" s="3" t="e">
        <f t="shared" si="7"/>
        <v>#DIV/0!</v>
      </c>
      <c r="U19" s="3" t="e">
        <f t="shared" si="7"/>
        <v>#DIV/0!</v>
      </c>
      <c r="V19" s="40" t="e">
        <f t="shared" si="7"/>
        <v>#DIV/0!</v>
      </c>
      <c r="W19" s="6">
        <f t="shared" si="7"/>
        <v>0.88635390946502057</v>
      </c>
    </row>
    <row r="20" spans="2:25" x14ac:dyDescent="0.25">
      <c r="B20" t="s">
        <v>32</v>
      </c>
      <c r="C20" s="4">
        <f>C15/C5</f>
        <v>-0.25850123193597424</v>
      </c>
      <c r="D20" s="4">
        <f>D15/D5</f>
        <v>-0.26374877298336213</v>
      </c>
      <c r="E20" s="4">
        <f>E15/E5</f>
        <v>-0.23781275264323892</v>
      </c>
      <c r="F20" s="7">
        <f>F15/F5</f>
        <v>-0.11296109966182818</v>
      </c>
      <c r="G20" s="47">
        <f>G15/G6</f>
        <v>0</v>
      </c>
      <c r="H20" s="47">
        <f>H15/H6</f>
        <v>0</v>
      </c>
      <c r="K20" s="4" t="e">
        <f t="shared" ref="K20:W20" si="8">K15/K5</f>
        <v>#DIV/0!</v>
      </c>
      <c r="L20" s="4" t="e">
        <f t="shared" si="8"/>
        <v>#DIV/0!</v>
      </c>
      <c r="M20" s="4" t="e">
        <f t="shared" si="8"/>
        <v>#DIV/0!</v>
      </c>
      <c r="N20" s="4" t="e">
        <f t="shared" si="8"/>
        <v>#DIV/0!</v>
      </c>
      <c r="O20" s="4" t="e">
        <f t="shared" si="8"/>
        <v>#DIV/0!</v>
      </c>
      <c r="P20" s="4" t="e">
        <f t="shared" si="8"/>
        <v>#DIV/0!</v>
      </c>
      <c r="Q20" s="4" t="e">
        <f t="shared" si="8"/>
        <v>#DIV/0!</v>
      </c>
      <c r="R20" s="4" t="e">
        <f t="shared" si="8"/>
        <v>#DIV/0!</v>
      </c>
      <c r="S20" s="4">
        <f t="shared" si="8"/>
        <v>-0.37205864386072079</v>
      </c>
      <c r="T20" s="4" t="e">
        <f t="shared" si="8"/>
        <v>#DIV/0!</v>
      </c>
      <c r="U20" s="4" t="e">
        <f t="shared" si="8"/>
        <v>#DIV/0!</v>
      </c>
      <c r="V20" s="154" t="e">
        <f t="shared" si="8"/>
        <v>#DIV/0!</v>
      </c>
      <c r="W20" s="7">
        <f t="shared" si="8"/>
        <v>-2.3663744855967077</v>
      </c>
    </row>
    <row r="21" spans="2:25" x14ac:dyDescent="0.25">
      <c r="B21" t="s">
        <v>33</v>
      </c>
      <c r="C21" s="3"/>
      <c r="D21" s="3">
        <f>D5/C5-1</f>
        <v>1.118388173414647</v>
      </c>
      <c r="E21" s="40">
        <f>E5/D5-1</f>
        <v>0.37487936054904369</v>
      </c>
      <c r="F21" s="6">
        <f>F5/E5-1</f>
        <v>0.205981391958314</v>
      </c>
      <c r="G21" s="48">
        <f>G6/F5-1</f>
        <v>0.22629905140237483</v>
      </c>
      <c r="H21" s="48">
        <f>H6/G6-1</f>
        <v>0.22720541998823496</v>
      </c>
      <c r="K21" s="4"/>
      <c r="L21" s="4"/>
      <c r="M21" s="4"/>
      <c r="N21" s="4"/>
      <c r="O21" s="4" t="e">
        <f t="shared" ref="O21:V21" si="9">O5/K5-1</f>
        <v>#DIV/0!</v>
      </c>
      <c r="P21" s="4" t="e">
        <f t="shared" si="9"/>
        <v>#DIV/0!</v>
      </c>
      <c r="Q21" s="4" t="e">
        <f t="shared" si="9"/>
        <v>#DIV/0!</v>
      </c>
      <c r="R21" s="4" t="e">
        <f t="shared" si="9"/>
        <v>#DIV/0!</v>
      </c>
      <c r="S21" s="4" t="e">
        <f t="shared" si="9"/>
        <v>#DIV/0!</v>
      </c>
      <c r="T21" s="4" t="e">
        <f t="shared" si="9"/>
        <v>#DIV/0!</v>
      </c>
      <c r="U21" s="4" t="e">
        <f t="shared" si="9"/>
        <v>#DIV/0!</v>
      </c>
      <c r="V21" s="154" t="e">
        <f t="shared" si="9"/>
        <v>#DIV/0!</v>
      </c>
      <c r="W21" s="159">
        <f>W5/S5-1</f>
        <v>0.48442272449602952</v>
      </c>
      <c r="X21" s="37" t="e">
        <f>X6/T5-1</f>
        <v>#DIV/0!</v>
      </c>
      <c r="Y21" s="37" t="e">
        <f>Y6/U5-1</f>
        <v>#DIV/0!</v>
      </c>
    </row>
    <row r="22" spans="2:25" x14ac:dyDescent="0.25">
      <c r="B22" t="s">
        <v>68</v>
      </c>
      <c r="C22" s="4">
        <f t="shared" ref="C22:E22" si="10">C8/C$5</f>
        <v>0.32937249899522952</v>
      </c>
      <c r="D22" s="4">
        <f t="shared" si="10"/>
        <v>0.2843110971797177</v>
      </c>
      <c r="E22" s="4">
        <f t="shared" si="10"/>
        <v>0.33759961361989854</v>
      </c>
      <c r="F22" s="7">
        <f>F8/F$5</f>
        <v>0.28627698752159436</v>
      </c>
      <c r="G22" s="123"/>
      <c r="H22" s="123"/>
      <c r="K22" s="4" t="e">
        <f t="shared" ref="K22:Y22" si="11">K8/K$5</f>
        <v>#DIV/0!</v>
      </c>
      <c r="L22" s="4" t="e">
        <f t="shared" si="11"/>
        <v>#DIV/0!</v>
      </c>
      <c r="M22" s="4" t="e">
        <f t="shared" si="11"/>
        <v>#DIV/0!</v>
      </c>
      <c r="N22" s="4" t="e">
        <f t="shared" si="11"/>
        <v>#DIV/0!</v>
      </c>
      <c r="O22" s="4" t="e">
        <f t="shared" si="11"/>
        <v>#DIV/0!</v>
      </c>
      <c r="P22" s="4" t="e">
        <f t="shared" si="11"/>
        <v>#DIV/0!</v>
      </c>
      <c r="Q22" s="4" t="e">
        <f t="shared" si="11"/>
        <v>#DIV/0!</v>
      </c>
      <c r="R22" s="4" t="e">
        <f t="shared" si="11"/>
        <v>#DIV/0!</v>
      </c>
      <c r="S22" s="4">
        <f t="shared" si="11"/>
        <v>0.66442883323152113</v>
      </c>
      <c r="T22" s="4" t="e">
        <f t="shared" si="11"/>
        <v>#DIV/0!</v>
      </c>
      <c r="U22" s="4" t="e">
        <f t="shared" si="11"/>
        <v>#DIV/0!</v>
      </c>
      <c r="V22" s="4" t="e">
        <f t="shared" si="11"/>
        <v>#DIV/0!</v>
      </c>
      <c r="W22" s="7">
        <f t="shared" si="11"/>
        <v>1.7984773662551439</v>
      </c>
      <c r="X22" s="4" t="e">
        <f t="shared" si="11"/>
        <v>#DIV/0!</v>
      </c>
      <c r="Y22" s="4" t="e">
        <f t="shared" si="11"/>
        <v>#DIV/0!</v>
      </c>
    </row>
    <row r="23" spans="2:25" x14ac:dyDescent="0.25">
      <c r="B23" t="s">
        <v>136</v>
      </c>
      <c r="C23" s="4">
        <f>C9/C$5</f>
        <v>0.19010694252712881</v>
      </c>
      <c r="D23" s="4">
        <f t="shared" ref="D23:E23" si="12">D9/D$5</f>
        <v>0.29844756617640994</v>
      </c>
      <c r="E23" s="4">
        <f t="shared" si="12"/>
        <v>0.21572189032264838</v>
      </c>
      <c r="F23" s="7">
        <f>F9/F$5</f>
        <v>0.20479112071828254</v>
      </c>
      <c r="G23" s="123"/>
      <c r="H23" s="123"/>
      <c r="K23" s="4" t="e">
        <f t="shared" ref="K23:Y23" si="13">K9/K$5</f>
        <v>#DIV/0!</v>
      </c>
      <c r="L23" s="4" t="e">
        <f t="shared" si="13"/>
        <v>#DIV/0!</v>
      </c>
      <c r="M23" s="4" t="e">
        <f t="shared" si="13"/>
        <v>#DIV/0!</v>
      </c>
      <c r="N23" s="4" t="e">
        <f t="shared" si="13"/>
        <v>#DIV/0!</v>
      </c>
      <c r="O23" s="4" t="e">
        <f t="shared" si="13"/>
        <v>#DIV/0!</v>
      </c>
      <c r="P23" s="4" t="e">
        <f t="shared" si="13"/>
        <v>#DIV/0!</v>
      </c>
      <c r="Q23" s="4" t="e">
        <f t="shared" si="13"/>
        <v>#DIV/0!</v>
      </c>
      <c r="R23" s="4" t="e">
        <f t="shared" si="13"/>
        <v>#DIV/0!</v>
      </c>
      <c r="S23" s="4">
        <f t="shared" si="13"/>
        <v>0.35376298106292003</v>
      </c>
      <c r="T23" s="4" t="e">
        <f t="shared" si="13"/>
        <v>#DIV/0!</v>
      </c>
      <c r="U23" s="4" t="e">
        <f t="shared" si="13"/>
        <v>#DIV/0!</v>
      </c>
      <c r="V23" s="4" t="e">
        <f t="shared" si="13"/>
        <v>#DIV/0!</v>
      </c>
      <c r="W23" s="7">
        <f t="shared" si="13"/>
        <v>0.51067901234567903</v>
      </c>
      <c r="X23" s="4" t="e">
        <f t="shared" si="13"/>
        <v>#DIV/0!</v>
      </c>
      <c r="Y23" s="4" t="e">
        <f t="shared" si="13"/>
        <v>#DIV/0!</v>
      </c>
    </row>
    <row r="24" spans="2:25" x14ac:dyDescent="0.25">
      <c r="B24" t="s">
        <v>135</v>
      </c>
      <c r="C24" s="4">
        <f>C10/C$5</f>
        <v>0.5134202386985165</v>
      </c>
      <c r="D24" s="4">
        <f>D10/D$5</f>
        <v>0.52993714375273249</v>
      </c>
      <c r="E24" s="4">
        <f>E10/E$5</f>
        <v>0.54771779253368447</v>
      </c>
      <c r="F24" s="7">
        <f>F10/F$5</f>
        <v>0.54518680296357469</v>
      </c>
      <c r="G24" s="123"/>
      <c r="H24" s="123"/>
      <c r="K24" s="4" t="e">
        <f t="shared" ref="K24:Y24" si="14">K10/K$5</f>
        <v>#DIV/0!</v>
      </c>
      <c r="L24" s="4" t="e">
        <f t="shared" si="14"/>
        <v>#DIV/0!</v>
      </c>
      <c r="M24" s="4" t="e">
        <f t="shared" si="14"/>
        <v>#DIV/0!</v>
      </c>
      <c r="N24" s="4" t="e">
        <f t="shared" si="14"/>
        <v>#DIV/0!</v>
      </c>
      <c r="O24" s="4" t="e">
        <f t="shared" si="14"/>
        <v>#DIV/0!</v>
      </c>
      <c r="P24" s="4" t="e">
        <f t="shared" si="14"/>
        <v>#DIV/0!</v>
      </c>
      <c r="Q24" s="4" t="e">
        <f t="shared" si="14"/>
        <v>#DIV/0!</v>
      </c>
      <c r="R24" s="4" t="e">
        <f t="shared" si="14"/>
        <v>#DIV/0!</v>
      </c>
      <c r="S24" s="4">
        <f t="shared" si="14"/>
        <v>0.24924251679902262</v>
      </c>
      <c r="T24" s="4" t="e">
        <f t="shared" si="14"/>
        <v>#DIV/0!</v>
      </c>
      <c r="U24" s="4" t="e">
        <f t="shared" si="14"/>
        <v>#DIV/0!</v>
      </c>
      <c r="V24" s="4" t="e">
        <f t="shared" si="14"/>
        <v>#DIV/0!</v>
      </c>
      <c r="W24" s="7">
        <f t="shared" si="14"/>
        <v>1.0019629629629629</v>
      </c>
      <c r="X24" s="4" t="e">
        <f t="shared" si="14"/>
        <v>#DIV/0!</v>
      </c>
      <c r="Y24" s="4" t="e">
        <f t="shared" si="14"/>
        <v>#DIV/0!</v>
      </c>
    </row>
    <row r="25" spans="2:25" x14ac:dyDescent="0.25">
      <c r="B25" t="s">
        <v>202</v>
      </c>
      <c r="C25" s="4"/>
      <c r="D25" s="4"/>
      <c r="E25" s="4"/>
      <c r="F25" s="7"/>
      <c r="G25" s="123"/>
      <c r="H25" s="1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4"/>
      <c r="W25" s="7">
        <f>W3/S3-1</f>
        <v>0.52986217457886697</v>
      </c>
    </row>
    <row r="26" spans="2:25" x14ac:dyDescent="0.25">
      <c r="B26" t="s">
        <v>203</v>
      </c>
      <c r="C26" s="4"/>
      <c r="D26" s="4"/>
      <c r="E26" s="4"/>
      <c r="F26" s="7"/>
      <c r="G26" s="123"/>
      <c r="H26" s="12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54"/>
      <c r="W26" s="7">
        <f>W4/S4-1</f>
        <v>0.30513595166163143</v>
      </c>
    </row>
    <row r="27" spans="2:25" x14ac:dyDescent="0.25">
      <c r="B27" t="s">
        <v>36</v>
      </c>
      <c r="C27" s="3"/>
      <c r="D27" s="3">
        <f>-(D15/C15-1)</f>
        <v>-1.1613911750291526</v>
      </c>
      <c r="E27" s="40">
        <f>E15/D15-1</f>
        <v>0.23967911428035271</v>
      </c>
      <c r="F27" s="6">
        <f>F15/E15-1</f>
        <v>-0.42715862503941959</v>
      </c>
      <c r="G27" s="58">
        <f>G17/F17-1</f>
        <v>-1</v>
      </c>
      <c r="H27" s="58" t="e">
        <f>H17/G17-1</f>
        <v>#DIV/0!</v>
      </c>
      <c r="K27" s="4"/>
      <c r="L27" s="4"/>
      <c r="M27" s="4"/>
      <c r="N27" s="4"/>
      <c r="O27" s="4" t="e">
        <f t="shared" ref="O27:W27" si="15">O15/K15-1</f>
        <v>#DIV/0!</v>
      </c>
      <c r="P27" s="4" t="e">
        <f t="shared" si="15"/>
        <v>#DIV/0!</v>
      </c>
      <c r="Q27" s="4" t="e">
        <f t="shared" si="15"/>
        <v>#DIV/0!</v>
      </c>
      <c r="R27" s="4" t="e">
        <f t="shared" si="15"/>
        <v>#DIV/0!</v>
      </c>
      <c r="S27" s="4" t="e">
        <f t="shared" si="15"/>
        <v>#DIV/0!</v>
      </c>
      <c r="T27" s="4" t="e">
        <f>T15/P15-1</f>
        <v>#DIV/0!</v>
      </c>
      <c r="U27" s="4" t="e">
        <f t="shared" si="15"/>
        <v>#DIV/0!</v>
      </c>
      <c r="V27" s="154" t="e">
        <f t="shared" si="15"/>
        <v>#DIV/0!</v>
      </c>
      <c r="W27" s="7">
        <f t="shared" si="15"/>
        <v>8.4412537352641781</v>
      </c>
    </row>
    <row r="30" spans="2:25" s="1" customFormat="1" x14ac:dyDescent="0.25">
      <c r="B30" s="1" t="s">
        <v>40</v>
      </c>
      <c r="C30" s="11">
        <f>C31+C32-C50-C54-C56</f>
        <v>0</v>
      </c>
      <c r="D30" s="11">
        <f>D31+D32-D50-D54-D56</f>
        <v>-453.81999999999994</v>
      </c>
      <c r="E30" s="11">
        <f>E31+E32-E50-E54-E56</f>
        <v>-606.43999999999983</v>
      </c>
      <c r="F30" s="14">
        <f>F31+F32-F50-F54-F56</f>
        <v>-666.11699999999996</v>
      </c>
      <c r="K30" s="11">
        <f t="shared" ref="K30:X30" si="16">K31+K32-K50-K54-K56</f>
        <v>0</v>
      </c>
      <c r="L30" s="11">
        <f t="shared" si="16"/>
        <v>0</v>
      </c>
      <c r="M30" s="11">
        <f t="shared" si="16"/>
        <v>0</v>
      </c>
      <c r="N30" s="11">
        <f t="shared" si="16"/>
        <v>0</v>
      </c>
      <c r="O30" s="11">
        <f t="shared" si="16"/>
        <v>0</v>
      </c>
      <c r="P30" s="11">
        <f t="shared" si="16"/>
        <v>0</v>
      </c>
      <c r="Q30" s="11">
        <f t="shared" si="16"/>
        <v>0</v>
      </c>
      <c r="R30" s="11">
        <f t="shared" si="16"/>
        <v>-606.43999999999983</v>
      </c>
      <c r="S30" s="11">
        <f t="shared" si="16"/>
        <v>1191.0820000000001</v>
      </c>
      <c r="T30" s="11">
        <f t="shared" si="16"/>
        <v>0</v>
      </c>
      <c r="U30" s="11">
        <f t="shared" si="16"/>
        <v>0</v>
      </c>
      <c r="V30" s="11">
        <f t="shared" si="16"/>
        <v>-666.11699999999996</v>
      </c>
      <c r="W30" s="14">
        <f t="shared" si="16"/>
        <v>1649.5149999999999</v>
      </c>
      <c r="X30" s="11">
        <f t="shared" si="16"/>
        <v>0</v>
      </c>
    </row>
    <row r="31" spans="2:25" x14ac:dyDescent="0.25">
      <c r="B31" t="s">
        <v>24</v>
      </c>
      <c r="C31" s="10"/>
      <c r="D31" s="10">
        <v>1337.798</v>
      </c>
      <c r="E31" s="10">
        <v>435.81</v>
      </c>
      <c r="F31" s="15">
        <v>401.17599999999999</v>
      </c>
      <c r="K31" s="10"/>
      <c r="L31" s="10"/>
      <c r="M31" s="10"/>
      <c r="N31" s="10"/>
      <c r="O31" s="10"/>
      <c r="P31" s="10"/>
      <c r="Q31" s="10"/>
      <c r="R31" s="10">
        <f>E31</f>
        <v>435.81</v>
      </c>
      <c r="S31" s="10">
        <v>401.17599999999999</v>
      </c>
      <c r="T31" s="10"/>
      <c r="U31" s="10"/>
      <c r="V31" s="151">
        <f>F31</f>
        <v>401.17599999999999</v>
      </c>
      <c r="W31" s="15">
        <v>968.51499999999999</v>
      </c>
      <c r="X31" s="151"/>
    </row>
    <row r="32" spans="2:25" x14ac:dyDescent="0.25">
      <c r="B32" t="s">
        <v>189</v>
      </c>
      <c r="C32" s="10"/>
      <c r="D32" s="10">
        <v>75.334000000000003</v>
      </c>
      <c r="E32" s="10">
        <v>830.73400000000004</v>
      </c>
      <c r="F32" s="15">
        <v>811.94600000000003</v>
      </c>
      <c r="K32" s="10"/>
      <c r="L32" s="10"/>
      <c r="M32" s="10"/>
      <c r="N32" s="10"/>
      <c r="O32" s="10"/>
      <c r="P32" s="10"/>
      <c r="Q32" s="10"/>
      <c r="R32" s="10">
        <f t="shared" ref="R32:R37" si="17">E32</f>
        <v>830.73400000000004</v>
      </c>
      <c r="S32" s="10">
        <v>811.94600000000003</v>
      </c>
      <c r="T32" s="10"/>
      <c r="U32" s="10"/>
      <c r="V32" s="151">
        <f t="shared" ref="V32:V37" si="18">F32</f>
        <v>811.94600000000003</v>
      </c>
      <c r="W32" s="15">
        <v>701.83500000000004</v>
      </c>
      <c r="X32" s="151"/>
    </row>
    <row r="33" spans="2:24" x14ac:dyDescent="0.25">
      <c r="B33" t="s">
        <v>25</v>
      </c>
      <c r="C33" s="10"/>
      <c r="D33" s="10">
        <v>161.67500000000001</v>
      </c>
      <c r="E33" s="10">
        <v>191.98699999999999</v>
      </c>
      <c r="F33" s="15">
        <v>245.279</v>
      </c>
      <c r="K33" s="10"/>
      <c r="L33" s="10"/>
      <c r="M33" s="10"/>
      <c r="N33" s="10"/>
      <c r="O33" s="10"/>
      <c r="P33" s="10"/>
      <c r="Q33" s="10"/>
      <c r="R33" s="10">
        <f t="shared" si="17"/>
        <v>191.98699999999999</v>
      </c>
      <c r="S33" s="10">
        <v>245.279</v>
      </c>
      <c r="T33" s="10"/>
      <c r="U33" s="10"/>
      <c r="V33" s="151">
        <f t="shared" si="18"/>
        <v>245.279</v>
      </c>
      <c r="W33" s="15">
        <v>215.30699999999999</v>
      </c>
      <c r="X33" s="151"/>
    </row>
    <row r="34" spans="2:24" x14ac:dyDescent="0.25">
      <c r="B34" t="s">
        <v>190</v>
      </c>
      <c r="C34" s="10"/>
      <c r="D34" s="10">
        <v>0.308</v>
      </c>
      <c r="E34" s="10">
        <v>2.819</v>
      </c>
      <c r="F34" s="15">
        <v>3.0710000000000002</v>
      </c>
      <c r="K34" s="10"/>
      <c r="L34" s="10"/>
      <c r="M34" s="10"/>
      <c r="N34" s="10"/>
      <c r="O34" s="10"/>
      <c r="P34" s="10"/>
      <c r="Q34" s="10"/>
      <c r="R34" s="10">
        <f t="shared" si="17"/>
        <v>2.819</v>
      </c>
      <c r="S34" s="10"/>
      <c r="T34" s="10"/>
      <c r="U34" s="10"/>
      <c r="V34" s="151">
        <f t="shared" si="18"/>
        <v>3.0710000000000002</v>
      </c>
      <c r="W34" s="15"/>
      <c r="X34" s="151"/>
    </row>
    <row r="35" spans="2:24" x14ac:dyDescent="0.25">
      <c r="B35" t="s">
        <v>191</v>
      </c>
      <c r="C35" s="10"/>
      <c r="D35" s="10">
        <v>0.46400000000000002</v>
      </c>
      <c r="E35" s="10">
        <v>4.2750000000000004</v>
      </c>
      <c r="F35" s="15">
        <v>4.6950000000000003</v>
      </c>
      <c r="K35" s="10"/>
      <c r="L35" s="10"/>
      <c r="M35" s="10"/>
      <c r="N35" s="10"/>
      <c r="O35" s="10"/>
      <c r="P35" s="10"/>
      <c r="Q35" s="10"/>
      <c r="R35" s="10">
        <f t="shared" si="17"/>
        <v>4.2750000000000004</v>
      </c>
      <c r="S35" s="10"/>
      <c r="T35" s="10"/>
      <c r="U35" s="10"/>
      <c r="V35" s="151">
        <f t="shared" si="18"/>
        <v>4.6950000000000003</v>
      </c>
      <c r="W35" s="15"/>
      <c r="X35" s="151"/>
    </row>
    <row r="36" spans="2:24" x14ac:dyDescent="0.25">
      <c r="B36" t="s">
        <v>77</v>
      </c>
      <c r="C36" s="10"/>
      <c r="D36" s="10">
        <v>24.658000000000001</v>
      </c>
      <c r="E36" s="10">
        <v>17.053000000000001</v>
      </c>
      <c r="F36" s="15">
        <v>11.93</v>
      </c>
      <c r="K36" s="10"/>
      <c r="L36" s="10"/>
      <c r="M36" s="10"/>
      <c r="N36" s="10"/>
      <c r="O36" s="10"/>
      <c r="P36" s="10"/>
      <c r="Q36" s="10"/>
      <c r="R36" s="10">
        <f t="shared" si="17"/>
        <v>17.053000000000001</v>
      </c>
      <c r="S36" s="10">
        <v>21.286000000000001</v>
      </c>
      <c r="T36" s="10"/>
      <c r="U36" s="10"/>
      <c r="V36" s="151">
        <f t="shared" si="18"/>
        <v>11.93</v>
      </c>
      <c r="W36" s="15">
        <v>34.368000000000002</v>
      </c>
      <c r="X36" s="151"/>
    </row>
    <row r="37" spans="2:24" x14ac:dyDescent="0.25">
      <c r="B37" t="s">
        <v>26</v>
      </c>
      <c r="C37" s="10"/>
      <c r="D37" s="10">
        <v>0.63500000000000001</v>
      </c>
      <c r="E37" s="10">
        <v>1.2490000000000001</v>
      </c>
      <c r="F37" s="15">
        <v>1.59</v>
      </c>
      <c r="K37" s="10"/>
      <c r="L37" s="10"/>
      <c r="M37" s="10"/>
      <c r="N37" s="10"/>
      <c r="O37" s="10"/>
      <c r="P37" s="10"/>
      <c r="Q37" s="10"/>
      <c r="R37" s="10">
        <f t="shared" si="17"/>
        <v>1.2490000000000001</v>
      </c>
      <c r="S37" s="10"/>
      <c r="T37" s="10"/>
      <c r="U37" s="10"/>
      <c r="V37" s="151">
        <f t="shared" si="18"/>
        <v>1.59</v>
      </c>
      <c r="W37" s="15"/>
      <c r="X37" s="151"/>
    </row>
    <row r="38" spans="2:24" s="1" customFormat="1" x14ac:dyDescent="0.25">
      <c r="B38" s="1" t="s">
        <v>63</v>
      </c>
      <c r="C38" s="11">
        <f>SUM(C31:C37)</f>
        <v>0</v>
      </c>
      <c r="D38" s="11">
        <f>SUM(D31:D37)</f>
        <v>1600.8719999999998</v>
      </c>
      <c r="E38" s="11">
        <f t="shared" ref="E38:F38" si="19">SUM(E31:E37)</f>
        <v>1483.9270000000004</v>
      </c>
      <c r="F38" s="14">
        <f t="shared" si="19"/>
        <v>1479.6869999999999</v>
      </c>
      <c r="K38" s="11">
        <f t="shared" ref="K38:V38" si="20">SUM(K31:K37)</f>
        <v>0</v>
      </c>
      <c r="L38" s="11">
        <f t="shared" si="20"/>
        <v>0</v>
      </c>
      <c r="M38" s="11">
        <f t="shared" si="20"/>
        <v>0</v>
      </c>
      <c r="N38" s="11">
        <f t="shared" si="20"/>
        <v>0</v>
      </c>
      <c r="O38" s="11">
        <f t="shared" si="20"/>
        <v>0</v>
      </c>
      <c r="P38" s="11">
        <f t="shared" si="20"/>
        <v>0</v>
      </c>
      <c r="Q38" s="11">
        <f t="shared" si="20"/>
        <v>0</v>
      </c>
      <c r="R38" s="11">
        <f t="shared" si="20"/>
        <v>1483.9270000000004</v>
      </c>
      <c r="S38" s="11">
        <f t="shared" si="20"/>
        <v>1479.6870000000001</v>
      </c>
      <c r="T38" s="11">
        <f t="shared" si="20"/>
        <v>0</v>
      </c>
      <c r="U38" s="11">
        <f t="shared" si="20"/>
        <v>0</v>
      </c>
      <c r="V38" s="152">
        <f t="shared" si="20"/>
        <v>1479.6869999999999</v>
      </c>
      <c r="W38" s="14">
        <f t="shared" ref="W38:X38" si="21">SUM(W31:W37)</f>
        <v>1920.0249999999999</v>
      </c>
      <c r="X38" s="152">
        <f t="shared" si="21"/>
        <v>0</v>
      </c>
    </row>
    <row r="39" spans="2:24" x14ac:dyDescent="0.25">
      <c r="B39" t="s">
        <v>78</v>
      </c>
      <c r="C39" s="10"/>
      <c r="D39" s="10">
        <v>22.832000000000001</v>
      </c>
      <c r="E39" s="10">
        <v>30.544</v>
      </c>
      <c r="F39" s="15">
        <v>38.954000000000001</v>
      </c>
      <c r="K39" s="10"/>
      <c r="L39" s="10"/>
      <c r="M39" s="10"/>
      <c r="N39" s="10"/>
      <c r="O39" s="10"/>
      <c r="P39" s="10"/>
      <c r="Q39" s="10"/>
      <c r="R39" s="10">
        <f t="shared" ref="R39:R45" si="22">E39</f>
        <v>30.544</v>
      </c>
      <c r="S39" s="10">
        <v>14.946</v>
      </c>
      <c r="T39" s="10"/>
      <c r="U39" s="10"/>
      <c r="V39" s="151">
        <f t="shared" ref="V39:V45" si="23">F39</f>
        <v>38.954000000000001</v>
      </c>
      <c r="W39" s="15">
        <v>14.385</v>
      </c>
      <c r="X39" s="151"/>
    </row>
    <row r="40" spans="2:24" x14ac:dyDescent="0.25">
      <c r="B40" t="s">
        <v>27</v>
      </c>
      <c r="C40" s="10"/>
      <c r="D40" s="10">
        <v>6.4710000000000001</v>
      </c>
      <c r="E40" s="10">
        <v>26.298999999999999</v>
      </c>
      <c r="F40" s="15">
        <v>26.298999999999999</v>
      </c>
      <c r="K40" s="10"/>
      <c r="L40" s="10"/>
      <c r="M40" s="10"/>
      <c r="N40" s="10"/>
      <c r="O40" s="10"/>
      <c r="P40" s="10"/>
      <c r="Q40" s="10"/>
      <c r="R40" s="10">
        <f t="shared" si="22"/>
        <v>26.298999999999999</v>
      </c>
      <c r="S40" s="10">
        <v>26.298999999999999</v>
      </c>
      <c r="T40" s="10"/>
      <c r="U40" s="10"/>
      <c r="V40" s="151">
        <f t="shared" si="23"/>
        <v>26.298999999999999</v>
      </c>
      <c r="W40" s="15">
        <v>26.298999999999999</v>
      </c>
      <c r="X40" s="151"/>
    </row>
    <row r="41" spans="2:24" x14ac:dyDescent="0.25">
      <c r="B41" t="s">
        <v>79</v>
      </c>
      <c r="C41" s="10"/>
      <c r="D41" s="10">
        <v>5.6619999999999999</v>
      </c>
      <c r="E41" s="10">
        <v>41.237000000000002</v>
      </c>
      <c r="F41" s="15">
        <v>32.146999999999998</v>
      </c>
      <c r="K41" s="10"/>
      <c r="L41" s="10"/>
      <c r="M41" s="10"/>
      <c r="N41" s="10"/>
      <c r="O41" s="10"/>
      <c r="P41" s="10"/>
      <c r="Q41" s="10"/>
      <c r="R41" s="10">
        <f t="shared" si="22"/>
        <v>41.237000000000002</v>
      </c>
      <c r="S41" s="10">
        <v>32.146999999999998</v>
      </c>
      <c r="T41" s="10"/>
      <c r="U41" s="10"/>
      <c r="V41" s="151">
        <f t="shared" si="23"/>
        <v>32.146999999999998</v>
      </c>
      <c r="W41" s="15">
        <v>29.928000000000001</v>
      </c>
      <c r="X41" s="151"/>
    </row>
    <row r="42" spans="2:24" x14ac:dyDescent="0.25">
      <c r="B42" t="s">
        <v>192</v>
      </c>
      <c r="C42" s="10"/>
      <c r="D42" s="10"/>
      <c r="E42" s="10">
        <v>0</v>
      </c>
      <c r="F42" s="15"/>
      <c r="K42" s="10"/>
      <c r="L42" s="10"/>
      <c r="M42" s="10"/>
      <c r="N42" s="10"/>
      <c r="O42" s="10"/>
      <c r="P42" s="10"/>
      <c r="Q42" s="10"/>
      <c r="R42" s="10">
        <f t="shared" si="22"/>
        <v>0</v>
      </c>
      <c r="S42" s="10"/>
      <c r="T42" s="10"/>
      <c r="U42" s="10"/>
      <c r="V42" s="151">
        <f t="shared" si="23"/>
        <v>0</v>
      </c>
      <c r="W42" s="15"/>
      <c r="X42" s="151"/>
    </row>
    <row r="43" spans="2:24" s="1" customFormat="1" x14ac:dyDescent="0.25">
      <c r="B43" t="s">
        <v>193</v>
      </c>
      <c r="C43" s="10"/>
      <c r="D43" s="10">
        <v>6.2519999999999998</v>
      </c>
      <c r="E43" s="10">
        <v>16.847999999999999</v>
      </c>
      <c r="F43" s="15">
        <v>16.484000000000002</v>
      </c>
      <c r="K43" s="10"/>
      <c r="L43" s="10"/>
      <c r="M43" s="10"/>
      <c r="N43" s="10"/>
      <c r="O43" s="10"/>
      <c r="P43" s="10"/>
      <c r="Q43" s="10"/>
      <c r="R43" s="10">
        <f t="shared" si="22"/>
        <v>16.847999999999999</v>
      </c>
      <c r="S43" s="10">
        <v>24.007999999999999</v>
      </c>
      <c r="T43" s="10"/>
      <c r="U43" s="10"/>
      <c r="V43" s="151">
        <f t="shared" si="23"/>
        <v>16.484000000000002</v>
      </c>
      <c r="W43" s="15">
        <v>22.754000000000001</v>
      </c>
      <c r="X43" s="151"/>
    </row>
    <row r="44" spans="2:24" s="1" customFormat="1" x14ac:dyDescent="0.25">
      <c r="B44" t="s">
        <v>77</v>
      </c>
      <c r="C44" s="10"/>
      <c r="D44" s="10">
        <v>0.65900000000000003</v>
      </c>
      <c r="E44" s="10">
        <v>0.96199999999999997</v>
      </c>
      <c r="F44" s="15">
        <v>0.96199999999999997</v>
      </c>
      <c r="K44" s="10"/>
      <c r="L44" s="10"/>
      <c r="M44" s="10"/>
      <c r="N44" s="10"/>
      <c r="O44" s="10"/>
      <c r="P44" s="10"/>
      <c r="Q44" s="10"/>
      <c r="R44" s="10">
        <f t="shared" si="22"/>
        <v>0.96199999999999997</v>
      </c>
      <c r="S44" s="10"/>
      <c r="T44" s="10"/>
      <c r="U44" s="10"/>
      <c r="V44" s="151">
        <f t="shared" si="23"/>
        <v>0.96199999999999997</v>
      </c>
      <c r="W44" s="15"/>
      <c r="X44" s="151"/>
    </row>
    <row r="45" spans="2:24" s="1" customFormat="1" x14ac:dyDescent="0.25">
      <c r="B45" t="s">
        <v>26</v>
      </c>
      <c r="C45" s="10"/>
      <c r="D45" s="10">
        <v>2.3610000000000002</v>
      </c>
      <c r="E45" s="10">
        <v>1.9339999999999999</v>
      </c>
      <c r="F45" s="15">
        <v>1.9339999999999999</v>
      </c>
      <c r="K45" s="10"/>
      <c r="L45" s="10"/>
      <c r="M45" s="10"/>
      <c r="N45" s="10"/>
      <c r="O45" s="10"/>
      <c r="P45" s="10"/>
      <c r="Q45" s="10"/>
      <c r="R45" s="10">
        <f t="shared" si="22"/>
        <v>1.9339999999999999</v>
      </c>
      <c r="S45" s="10">
        <v>19.38</v>
      </c>
      <c r="T45" s="10"/>
      <c r="U45" s="10"/>
      <c r="V45" s="151">
        <f t="shared" si="23"/>
        <v>1.9339999999999999</v>
      </c>
      <c r="W45" s="15">
        <v>2.5049999999999999</v>
      </c>
      <c r="X45" s="151"/>
    </row>
    <row r="46" spans="2:24" x14ac:dyDescent="0.25">
      <c r="B46" s="1" t="s">
        <v>28</v>
      </c>
      <c r="C46" s="11">
        <f>SUM(C38:C45)</f>
        <v>0</v>
      </c>
      <c r="D46" s="11">
        <f>SUM(D38:D45)</f>
        <v>1645.1090000000002</v>
      </c>
      <c r="E46" s="11">
        <f>SUM(E38:E45)</f>
        <v>1601.7510000000004</v>
      </c>
      <c r="F46" s="14">
        <f>SUM(F38:F45)</f>
        <v>1596.4669999999996</v>
      </c>
      <c r="K46" s="11">
        <f t="shared" ref="K46:V46" si="24">SUM(K38:K45)</f>
        <v>0</v>
      </c>
      <c r="L46" s="11">
        <f t="shared" si="24"/>
        <v>0</v>
      </c>
      <c r="M46" s="11">
        <f t="shared" si="24"/>
        <v>0</v>
      </c>
      <c r="N46" s="11">
        <f t="shared" si="24"/>
        <v>0</v>
      </c>
      <c r="O46" s="11">
        <f t="shared" si="24"/>
        <v>0</v>
      </c>
      <c r="P46" s="11">
        <f t="shared" si="24"/>
        <v>0</v>
      </c>
      <c r="Q46" s="11">
        <f t="shared" si="24"/>
        <v>0</v>
      </c>
      <c r="R46" s="11">
        <f t="shared" si="24"/>
        <v>1601.7510000000004</v>
      </c>
      <c r="S46" s="11">
        <f t="shared" si="24"/>
        <v>1596.4670000000001</v>
      </c>
      <c r="T46" s="11">
        <f t="shared" si="24"/>
        <v>0</v>
      </c>
      <c r="U46" s="11">
        <f t="shared" si="24"/>
        <v>0</v>
      </c>
      <c r="V46" s="152">
        <f t="shared" si="24"/>
        <v>1596.4669999999996</v>
      </c>
      <c r="W46" s="14">
        <f t="shared" ref="W46:X46" si="25">SUM(W38:W45)</f>
        <v>2015.896</v>
      </c>
      <c r="X46" s="152">
        <f t="shared" si="25"/>
        <v>0</v>
      </c>
    </row>
    <row r="47" spans="2:24" x14ac:dyDescent="0.25">
      <c r="B47" t="s">
        <v>30</v>
      </c>
      <c r="C47" s="10"/>
      <c r="D47" s="10">
        <v>22.891999999999999</v>
      </c>
      <c r="E47" s="10">
        <v>32.944000000000003</v>
      </c>
      <c r="F47" s="15">
        <v>46.514000000000003</v>
      </c>
      <c r="K47" s="10"/>
      <c r="L47" s="10"/>
      <c r="M47" s="10"/>
      <c r="N47" s="10"/>
      <c r="O47" s="10"/>
      <c r="P47" s="10"/>
      <c r="Q47" s="10"/>
      <c r="R47" s="10">
        <f t="shared" ref="R47:R52" si="26">E47</f>
        <v>32.944000000000003</v>
      </c>
      <c r="S47" s="10">
        <v>46.514000000000003</v>
      </c>
      <c r="T47" s="10"/>
      <c r="U47" s="10"/>
      <c r="V47" s="151">
        <f t="shared" ref="V47:V52" si="27">F47</f>
        <v>46.514000000000003</v>
      </c>
      <c r="W47" s="15">
        <v>45.378</v>
      </c>
      <c r="X47" s="151"/>
    </row>
    <row r="48" spans="2:24" x14ac:dyDescent="0.25">
      <c r="B48" t="s">
        <v>194</v>
      </c>
      <c r="C48" s="10"/>
      <c r="D48" s="10">
        <v>8.01</v>
      </c>
      <c r="E48" s="10">
        <v>21.013000000000002</v>
      </c>
      <c r="F48" s="15">
        <v>26.74</v>
      </c>
      <c r="K48" s="10"/>
      <c r="L48" s="10"/>
      <c r="M48" s="10"/>
      <c r="N48" s="10"/>
      <c r="O48" s="10"/>
      <c r="P48" s="10"/>
      <c r="Q48" s="10"/>
      <c r="R48" s="10">
        <f t="shared" si="26"/>
        <v>21.013000000000002</v>
      </c>
      <c r="S48" s="10">
        <v>83.349000000000004</v>
      </c>
      <c r="T48" s="10"/>
      <c r="U48" s="10"/>
      <c r="V48" s="151">
        <f t="shared" si="27"/>
        <v>26.74</v>
      </c>
      <c r="W48" s="15">
        <v>106.724</v>
      </c>
      <c r="X48" s="151"/>
    </row>
    <row r="49" spans="2:24" x14ac:dyDescent="0.25">
      <c r="B49" t="s">
        <v>199</v>
      </c>
      <c r="C49" s="10"/>
      <c r="D49" s="10">
        <v>21.161000000000001</v>
      </c>
      <c r="E49" s="10">
        <v>31.417999999999999</v>
      </c>
      <c r="F49" s="10">
        <v>37.963999999999999</v>
      </c>
      <c r="K49" s="10"/>
      <c r="L49" s="10"/>
      <c r="M49" s="10"/>
      <c r="N49" s="10"/>
      <c r="O49" s="10"/>
      <c r="P49" s="10"/>
      <c r="Q49" s="10"/>
      <c r="R49" s="10">
        <f t="shared" si="26"/>
        <v>31.417999999999999</v>
      </c>
      <c r="S49" s="10"/>
      <c r="T49" s="10"/>
      <c r="U49" s="10"/>
      <c r="V49" s="151">
        <f t="shared" si="27"/>
        <v>37.963999999999999</v>
      </c>
      <c r="W49" s="15"/>
      <c r="X49" s="151"/>
    </row>
    <row r="50" spans="2:24" x14ac:dyDescent="0.25">
      <c r="B50" t="s">
        <v>195</v>
      </c>
      <c r="C50" s="10"/>
      <c r="D50" s="10">
        <v>6.8540000000000001</v>
      </c>
      <c r="E50" s="10">
        <v>7.8019999999999996</v>
      </c>
      <c r="F50" s="15">
        <v>3.7069999999999999</v>
      </c>
      <c r="K50" s="10"/>
      <c r="L50" s="10"/>
      <c r="M50" s="10"/>
      <c r="N50" s="10"/>
      <c r="O50" s="10"/>
      <c r="P50" s="10"/>
      <c r="Q50" s="10"/>
      <c r="R50" s="10">
        <f t="shared" si="26"/>
        <v>7.8019999999999996</v>
      </c>
      <c r="S50" s="10"/>
      <c r="T50" s="10"/>
      <c r="U50" s="10"/>
      <c r="V50" s="151">
        <f t="shared" si="27"/>
        <v>3.7069999999999999</v>
      </c>
      <c r="W50" s="15"/>
      <c r="X50" s="151"/>
    </row>
    <row r="51" spans="2:24" x14ac:dyDescent="0.25">
      <c r="B51" t="s">
        <v>196</v>
      </c>
      <c r="C51" s="10"/>
      <c r="D51" s="10">
        <v>7.5330000000000004</v>
      </c>
      <c r="E51" s="10">
        <v>8.02</v>
      </c>
      <c r="F51" s="15">
        <v>7.25</v>
      </c>
      <c r="K51" s="10"/>
      <c r="L51" s="10"/>
      <c r="M51" s="10"/>
      <c r="N51" s="10"/>
      <c r="O51" s="10"/>
      <c r="P51" s="10"/>
      <c r="Q51" s="10"/>
      <c r="R51" s="10">
        <f t="shared" si="26"/>
        <v>8.02</v>
      </c>
      <c r="S51" s="10"/>
      <c r="T51" s="10"/>
      <c r="U51" s="10"/>
      <c r="V51" s="151">
        <f t="shared" si="27"/>
        <v>7.25</v>
      </c>
      <c r="W51" s="15"/>
      <c r="X51" s="151"/>
    </row>
    <row r="52" spans="2:24" x14ac:dyDescent="0.25">
      <c r="B52" t="s">
        <v>26</v>
      </c>
      <c r="C52" s="10"/>
      <c r="D52" s="10">
        <v>4.0060000000000002</v>
      </c>
      <c r="E52" s="10">
        <v>5.26</v>
      </c>
      <c r="F52" s="15">
        <v>11.395</v>
      </c>
      <c r="K52" s="10"/>
      <c r="L52" s="10"/>
      <c r="M52" s="10"/>
      <c r="N52" s="10"/>
      <c r="O52" s="10"/>
      <c r="P52" s="10"/>
      <c r="Q52" s="10"/>
      <c r="R52" s="10">
        <f t="shared" si="26"/>
        <v>5.26</v>
      </c>
      <c r="S52" s="10">
        <v>3.7069999999999999</v>
      </c>
      <c r="T52" s="10"/>
      <c r="U52" s="10"/>
      <c r="V52" s="151">
        <f t="shared" si="27"/>
        <v>11.395</v>
      </c>
      <c r="W52" s="15">
        <v>4.383</v>
      </c>
      <c r="X52" s="151"/>
    </row>
    <row r="53" spans="2:24" s="1" customFormat="1" x14ac:dyDescent="0.25">
      <c r="B53" s="1" t="s">
        <v>64</v>
      </c>
      <c r="C53" s="11">
        <f>SUM(C47:C52)</f>
        <v>0</v>
      </c>
      <c r="D53" s="11">
        <f>SUM(D47:D52)</f>
        <v>70.456000000000003</v>
      </c>
      <c r="E53" s="11">
        <f>SUM(E47:E52)</f>
        <v>106.45699999999999</v>
      </c>
      <c r="F53" s="14">
        <f>SUM(F47:F52)</f>
        <v>133.57</v>
      </c>
      <c r="K53" s="11">
        <f t="shared" ref="K53:V53" si="28">SUM(K47:K52)</f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106.45699999999999</v>
      </c>
      <c r="S53" s="11">
        <f t="shared" si="28"/>
        <v>133.57</v>
      </c>
      <c r="T53" s="11">
        <f t="shared" si="28"/>
        <v>0</v>
      </c>
      <c r="U53" s="11">
        <f t="shared" si="28"/>
        <v>0</v>
      </c>
      <c r="V53" s="152">
        <f t="shared" si="28"/>
        <v>133.57</v>
      </c>
      <c r="W53" s="14">
        <f t="shared" ref="W53:X53" si="29">SUM(W47:W52)</f>
        <v>156.48500000000001</v>
      </c>
      <c r="X53" s="152">
        <f t="shared" si="29"/>
        <v>0</v>
      </c>
    </row>
    <row r="54" spans="2:24" x14ac:dyDescent="0.25">
      <c r="B54" t="s">
        <v>80</v>
      </c>
      <c r="C54" s="10"/>
      <c r="D54" s="10">
        <v>6.6059999999999999</v>
      </c>
      <c r="E54" s="10">
        <v>11.69</v>
      </c>
      <c r="F54" s="15">
        <v>22.04</v>
      </c>
      <c r="K54" s="10"/>
      <c r="L54" s="10"/>
      <c r="M54" s="10"/>
      <c r="N54" s="10"/>
      <c r="O54" s="10"/>
      <c r="P54" s="10"/>
      <c r="Q54" s="10"/>
      <c r="R54" s="10">
        <f t="shared" ref="R54:R57" si="30">E54</f>
        <v>11.69</v>
      </c>
      <c r="S54" s="10">
        <v>22.04</v>
      </c>
      <c r="T54" s="10"/>
      <c r="U54" s="10"/>
      <c r="V54" s="151">
        <f t="shared" ref="V54:V57" si="31">F54</f>
        <v>22.04</v>
      </c>
      <c r="W54" s="15">
        <v>20.835000000000001</v>
      </c>
      <c r="X54" s="151"/>
    </row>
    <row r="55" spans="2:24" x14ac:dyDescent="0.25">
      <c r="B55" t="s">
        <v>197</v>
      </c>
      <c r="C55" s="10"/>
      <c r="D55" s="10"/>
      <c r="E55" s="10">
        <v>0</v>
      </c>
      <c r="F55" s="15"/>
      <c r="K55" s="10"/>
      <c r="L55" s="10"/>
      <c r="M55" s="10"/>
      <c r="N55" s="10"/>
      <c r="O55" s="10"/>
      <c r="P55" s="10"/>
      <c r="Q55" s="10"/>
      <c r="R55" s="10">
        <f t="shared" si="30"/>
        <v>0</v>
      </c>
      <c r="S55" s="10"/>
      <c r="T55" s="10"/>
      <c r="U55" s="10"/>
      <c r="V55" s="151">
        <f t="shared" si="31"/>
        <v>0</v>
      </c>
      <c r="W55" s="15"/>
      <c r="X55" s="151"/>
    </row>
    <row r="56" spans="2:24" x14ac:dyDescent="0.25">
      <c r="B56" t="s">
        <v>198</v>
      </c>
      <c r="C56" s="10"/>
      <c r="D56" s="10">
        <v>1853.492</v>
      </c>
      <c r="E56" s="10">
        <v>1853.492</v>
      </c>
      <c r="F56" s="15">
        <v>1853.492</v>
      </c>
      <c r="K56" s="10"/>
      <c r="L56" s="10"/>
      <c r="M56" s="10"/>
      <c r="N56" s="10"/>
      <c r="O56" s="10"/>
      <c r="P56" s="10"/>
      <c r="Q56" s="10"/>
      <c r="R56" s="10">
        <f t="shared" si="30"/>
        <v>1853.492</v>
      </c>
      <c r="S56" s="10"/>
      <c r="T56" s="10"/>
      <c r="U56" s="10"/>
      <c r="V56" s="151">
        <f t="shared" si="31"/>
        <v>1853.492</v>
      </c>
      <c r="W56" s="15"/>
      <c r="X56" s="151"/>
    </row>
    <row r="57" spans="2:24" x14ac:dyDescent="0.25">
      <c r="B57" t="s">
        <v>26</v>
      </c>
      <c r="C57" s="10"/>
      <c r="D57" s="10">
        <v>0.56799999999999995</v>
      </c>
      <c r="E57" s="10">
        <v>7.1360000000000001</v>
      </c>
      <c r="F57" s="15">
        <v>0.28699999999999998</v>
      </c>
      <c r="K57" s="10"/>
      <c r="L57" s="10"/>
      <c r="M57" s="10"/>
      <c r="N57" s="10"/>
      <c r="O57" s="10"/>
      <c r="P57" s="10"/>
      <c r="Q57" s="10"/>
      <c r="R57" s="10">
        <f t="shared" si="30"/>
        <v>7.1360000000000001</v>
      </c>
      <c r="S57" s="10">
        <v>0.28699999999999998</v>
      </c>
      <c r="T57" s="10"/>
      <c r="U57" s="10"/>
      <c r="V57" s="151">
        <f t="shared" si="31"/>
        <v>0.28699999999999998</v>
      </c>
      <c r="W57" s="15">
        <v>0.27600000000000002</v>
      </c>
      <c r="X57" s="151"/>
    </row>
    <row r="58" spans="2:24" x14ac:dyDescent="0.25">
      <c r="B58" s="1" t="s">
        <v>29</v>
      </c>
      <c r="C58" s="11">
        <f>SUM(C53:C57)</f>
        <v>0</v>
      </c>
      <c r="D58" s="11">
        <f>SUM(D53:D57)</f>
        <v>1931.1219999999998</v>
      </c>
      <c r="E58" s="11">
        <f>SUM(E53:E57)</f>
        <v>1978.7749999999999</v>
      </c>
      <c r="F58" s="14">
        <f>SUM(F53:F57)</f>
        <v>2009.3889999999999</v>
      </c>
      <c r="K58" s="11">
        <f t="shared" ref="K58:V58" si="32">SUM(K53:K57)</f>
        <v>0</v>
      </c>
      <c r="L58" s="11">
        <f t="shared" si="32"/>
        <v>0</v>
      </c>
      <c r="M58" s="11">
        <f t="shared" si="32"/>
        <v>0</v>
      </c>
      <c r="N58" s="11">
        <f t="shared" si="32"/>
        <v>0</v>
      </c>
      <c r="O58" s="11">
        <f t="shared" si="32"/>
        <v>0</v>
      </c>
      <c r="P58" s="11">
        <f t="shared" si="32"/>
        <v>0</v>
      </c>
      <c r="Q58" s="11">
        <f t="shared" si="32"/>
        <v>0</v>
      </c>
      <c r="R58" s="11">
        <f t="shared" si="32"/>
        <v>1978.7749999999999</v>
      </c>
      <c r="S58" s="11">
        <f t="shared" si="32"/>
        <v>155.89699999999999</v>
      </c>
      <c r="T58" s="11">
        <f t="shared" si="32"/>
        <v>0</v>
      </c>
      <c r="U58" s="11">
        <f t="shared" si="32"/>
        <v>0</v>
      </c>
      <c r="V58" s="152">
        <f t="shared" si="32"/>
        <v>2009.3889999999999</v>
      </c>
      <c r="W58" s="14">
        <f t="shared" ref="W58:X58" si="33">SUM(W53:W57)</f>
        <v>177.59600000000003</v>
      </c>
      <c r="X58" s="152">
        <f t="shared" si="33"/>
        <v>0</v>
      </c>
    </row>
    <row r="59" spans="2:24" x14ac:dyDescent="0.25">
      <c r="B59" t="s">
        <v>81</v>
      </c>
      <c r="C59" s="10">
        <f t="shared" ref="C59:D59" si="34">C46-C58</f>
        <v>0</v>
      </c>
      <c r="D59" s="10">
        <f t="shared" si="34"/>
        <v>-286.01299999999969</v>
      </c>
      <c r="E59" s="10">
        <f>E46-E58</f>
        <v>-377.02399999999943</v>
      </c>
      <c r="F59" s="15">
        <f>F46-F58</f>
        <v>-412.92200000000025</v>
      </c>
      <c r="K59" s="10">
        <f t="shared" ref="K59:V59" si="35">K46-K58</f>
        <v>0</v>
      </c>
      <c r="L59" s="10">
        <f t="shared" si="35"/>
        <v>0</v>
      </c>
      <c r="M59" s="10">
        <f t="shared" si="35"/>
        <v>0</v>
      </c>
      <c r="N59" s="10">
        <f t="shared" si="35"/>
        <v>0</v>
      </c>
      <c r="O59" s="10">
        <f t="shared" si="35"/>
        <v>0</v>
      </c>
      <c r="P59" s="10">
        <f t="shared" si="35"/>
        <v>0</v>
      </c>
      <c r="Q59" s="10">
        <f t="shared" si="35"/>
        <v>0</v>
      </c>
      <c r="R59" s="10">
        <f t="shared" si="35"/>
        <v>-377.02399999999943</v>
      </c>
      <c r="S59" s="10">
        <f t="shared" si="35"/>
        <v>1440.5700000000002</v>
      </c>
      <c r="T59" s="10">
        <f t="shared" si="35"/>
        <v>0</v>
      </c>
      <c r="U59" s="10">
        <f t="shared" si="35"/>
        <v>0</v>
      </c>
      <c r="V59" s="151">
        <f t="shared" si="35"/>
        <v>-412.92200000000025</v>
      </c>
      <c r="W59" s="15">
        <f t="shared" ref="W59:X59" si="36">W46-W58</f>
        <v>1838.3</v>
      </c>
      <c r="X59" s="151">
        <f t="shared" si="36"/>
        <v>0</v>
      </c>
    </row>
    <row r="61" spans="2:24" s="1" customFormat="1" x14ac:dyDescent="0.25">
      <c r="B61" s="1" t="s">
        <v>82</v>
      </c>
      <c r="C61" s="53"/>
      <c r="D61" s="53"/>
      <c r="E61" s="53"/>
      <c r="F61" s="54"/>
      <c r="V61" s="155"/>
      <c r="W61" s="16"/>
    </row>
    <row r="79" spans="6:23" s="9" customFormat="1" x14ac:dyDescent="0.25">
      <c r="F79" s="42"/>
      <c r="V79" s="156"/>
      <c r="W79" s="42"/>
    </row>
    <row r="80" spans="6:23" s="1" customFormat="1" x14ac:dyDescent="0.25">
      <c r="F80" s="16"/>
      <c r="V80" s="155"/>
      <c r="W8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95</v>
      </c>
      <c r="H1" s="140" t="s">
        <v>96</v>
      </c>
      <c r="I1" s="141"/>
      <c r="J1" s="141"/>
      <c r="K1" s="141"/>
      <c r="L1" s="141"/>
      <c r="M1" s="142"/>
    </row>
    <row r="2" spans="1:13" ht="15.75" thickBot="1" x14ac:dyDescent="0.3">
      <c r="D2" t="e">
        <f>C2/C3-1</f>
        <v>#DIV/0!</v>
      </c>
      <c r="H2" s="63"/>
      <c r="I2" s="64"/>
      <c r="J2" s="64"/>
      <c r="K2" s="64"/>
      <c r="L2" s="64"/>
      <c r="M2" s="65"/>
    </row>
    <row r="3" spans="1:13" ht="15.75" thickBot="1" x14ac:dyDescent="0.3">
      <c r="D3" t="e">
        <f t="shared" ref="D3:D66" si="0">C3/C4-1</f>
        <v>#DIV/0!</v>
      </c>
      <c r="H3" s="66" t="s">
        <v>97</v>
      </c>
      <c r="I3" s="67" t="s">
        <v>98</v>
      </c>
      <c r="J3" s="68" t="s">
        <v>99</v>
      </c>
      <c r="K3" s="69" t="s">
        <v>100</v>
      </c>
      <c r="L3" s="69" t="s">
        <v>101</v>
      </c>
      <c r="M3" s="70" t="s">
        <v>102</v>
      </c>
    </row>
    <row r="4" spans="1:13" x14ac:dyDescent="0.25">
      <c r="D4" t="e">
        <f t="shared" si="0"/>
        <v>#DIV/0!</v>
      </c>
      <c r="H4" s="71" t="e">
        <f>$I$19-3*$I$23</f>
        <v>#DIV/0!</v>
      </c>
      <c r="I4" s="72" t="e">
        <f>H4</f>
        <v>#DIV/0!</v>
      </c>
      <c r="J4" s="73">
        <f>COUNTIF(D:D,"&lt;="&amp;H4)</f>
        <v>67</v>
      </c>
      <c r="K4" s="73" t="e">
        <f>"Less than "&amp;TEXT(H4,"0,00%")</f>
        <v>#DIV/0!</v>
      </c>
      <c r="L4" s="74" t="e">
        <f>J4/$I$31</f>
        <v>#DIV/0!</v>
      </c>
      <c r="M4" s="75" t="e">
        <f>L4</f>
        <v>#DIV/0!</v>
      </c>
    </row>
    <row r="5" spans="1:13" x14ac:dyDescent="0.25">
      <c r="D5" t="e">
        <f t="shared" si="0"/>
        <v>#DIV/0!</v>
      </c>
      <c r="H5" s="76" t="e">
        <f>$I$19-2.4*$I$23</f>
        <v>#DIV/0!</v>
      </c>
      <c r="I5" s="77" t="e">
        <f>H5</f>
        <v>#DIV/0!</v>
      </c>
      <c r="J5" s="78">
        <f>COUNTIFS(D:D,"&lt;="&amp;H5,D:D,"&gt;"&amp;H4)</f>
        <v>67</v>
      </c>
      <c r="K5" s="79" t="e">
        <f t="shared" ref="K5:K14" si="1">TEXT(H4,"0,00%")&amp;" to "&amp;TEXT(H5,"0,00%")</f>
        <v>#DIV/0!</v>
      </c>
      <c r="L5" s="80" t="e">
        <f>J5/$I$31</f>
        <v>#DIV/0!</v>
      </c>
      <c r="M5" s="81" t="e">
        <f>M4+L5</f>
        <v>#DIV/0!</v>
      </c>
    </row>
    <row r="6" spans="1:13" x14ac:dyDescent="0.25">
      <c r="D6" t="e">
        <f t="shared" si="0"/>
        <v>#DIV/0!</v>
      </c>
      <c r="H6" s="76" t="e">
        <f>$I$19-1.8*$I$23</f>
        <v>#DIV/0!</v>
      </c>
      <c r="I6" s="77" t="e">
        <f t="shared" ref="I6:I14" si="2">H6</f>
        <v>#DIV/0!</v>
      </c>
      <c r="J6" s="78">
        <f t="shared" ref="J6:J14" si="3">COUNTIFS(D:D,"&lt;="&amp;H6,D:D,"&gt;"&amp;H5)</f>
        <v>67</v>
      </c>
      <c r="K6" s="79" t="e">
        <f t="shared" si="1"/>
        <v>#DIV/0!</v>
      </c>
      <c r="L6" s="80" t="e">
        <f t="shared" ref="L6:L15" si="4">J6/$I$31</f>
        <v>#DIV/0!</v>
      </c>
      <c r="M6" s="81" t="e">
        <f t="shared" ref="M6:M15" si="5">M5+L6</f>
        <v>#DIV/0!</v>
      </c>
    </row>
    <row r="7" spans="1:13" x14ac:dyDescent="0.25">
      <c r="D7" t="e">
        <f t="shared" si="0"/>
        <v>#DIV/0!</v>
      </c>
      <c r="H7" s="76" t="e">
        <f>$I$19-1.2*$I$23</f>
        <v>#DIV/0!</v>
      </c>
      <c r="I7" s="77" t="e">
        <f t="shared" si="2"/>
        <v>#DIV/0!</v>
      </c>
      <c r="J7" s="78">
        <f t="shared" si="3"/>
        <v>67</v>
      </c>
      <c r="K7" s="79" t="e">
        <f t="shared" si="1"/>
        <v>#DIV/0!</v>
      </c>
      <c r="L7" s="80" t="e">
        <f t="shared" si="4"/>
        <v>#DIV/0!</v>
      </c>
      <c r="M7" s="81" t="e">
        <f t="shared" si="5"/>
        <v>#DIV/0!</v>
      </c>
    </row>
    <row r="8" spans="1:13" x14ac:dyDescent="0.25">
      <c r="D8" t="e">
        <f t="shared" si="0"/>
        <v>#DIV/0!</v>
      </c>
      <c r="H8" s="76" t="e">
        <f>$I$19-0.6*$I$23</f>
        <v>#DIV/0!</v>
      </c>
      <c r="I8" s="77" t="e">
        <f t="shared" si="2"/>
        <v>#DIV/0!</v>
      </c>
      <c r="J8" s="78">
        <f t="shared" si="3"/>
        <v>67</v>
      </c>
      <c r="K8" s="79" t="e">
        <f t="shared" si="1"/>
        <v>#DIV/0!</v>
      </c>
      <c r="L8" s="80" t="e">
        <f t="shared" si="4"/>
        <v>#DIV/0!</v>
      </c>
      <c r="M8" s="81" t="e">
        <f t="shared" si="5"/>
        <v>#DIV/0!</v>
      </c>
    </row>
    <row r="9" spans="1:13" x14ac:dyDescent="0.25">
      <c r="D9" t="e">
        <f t="shared" si="0"/>
        <v>#DIV/0!</v>
      </c>
      <c r="H9" s="76" t="e">
        <f>$I$19</f>
        <v>#DIV/0!</v>
      </c>
      <c r="I9" s="77" t="e">
        <f t="shared" si="2"/>
        <v>#DIV/0!</v>
      </c>
      <c r="J9" s="78">
        <f t="shared" si="3"/>
        <v>67</v>
      </c>
      <c r="K9" s="79" t="e">
        <f t="shared" si="1"/>
        <v>#DIV/0!</v>
      </c>
      <c r="L9" s="80" t="e">
        <f t="shared" si="4"/>
        <v>#DIV/0!</v>
      </c>
      <c r="M9" s="81" t="e">
        <f t="shared" si="5"/>
        <v>#DIV/0!</v>
      </c>
    </row>
    <row r="10" spans="1:13" x14ac:dyDescent="0.25">
      <c r="D10" t="e">
        <f t="shared" si="0"/>
        <v>#DIV/0!</v>
      </c>
      <c r="H10" s="76" t="e">
        <f>$I$19+0.6*$I$23</f>
        <v>#DIV/0!</v>
      </c>
      <c r="I10" s="77" t="e">
        <f t="shared" si="2"/>
        <v>#DIV/0!</v>
      </c>
      <c r="J10" s="78">
        <f t="shared" si="3"/>
        <v>67</v>
      </c>
      <c r="K10" s="79" t="e">
        <f t="shared" si="1"/>
        <v>#DIV/0!</v>
      </c>
      <c r="L10" s="80" t="e">
        <f t="shared" si="4"/>
        <v>#DIV/0!</v>
      </c>
      <c r="M10" s="81" t="e">
        <f t="shared" si="5"/>
        <v>#DIV/0!</v>
      </c>
    </row>
    <row r="11" spans="1:13" x14ac:dyDescent="0.25">
      <c r="D11" t="e">
        <f t="shared" si="0"/>
        <v>#DIV/0!</v>
      </c>
      <c r="H11" s="76" t="e">
        <f>$I$19+1.2*$I$23</f>
        <v>#DIV/0!</v>
      </c>
      <c r="I11" s="77" t="e">
        <f t="shared" si="2"/>
        <v>#DIV/0!</v>
      </c>
      <c r="J11" s="78">
        <f t="shared" si="3"/>
        <v>67</v>
      </c>
      <c r="K11" s="79" t="e">
        <f t="shared" si="1"/>
        <v>#DIV/0!</v>
      </c>
      <c r="L11" s="80" t="e">
        <f t="shared" si="4"/>
        <v>#DIV/0!</v>
      </c>
      <c r="M11" s="81" t="e">
        <f t="shared" si="5"/>
        <v>#DIV/0!</v>
      </c>
    </row>
    <row r="12" spans="1:13" x14ac:dyDescent="0.25">
      <c r="D12" t="e">
        <f t="shared" si="0"/>
        <v>#DIV/0!</v>
      </c>
      <c r="H12" s="76" t="e">
        <f>$I$19+1.8*$I$23</f>
        <v>#DIV/0!</v>
      </c>
      <c r="I12" s="77" t="e">
        <f t="shared" si="2"/>
        <v>#DIV/0!</v>
      </c>
      <c r="J12" s="78">
        <f t="shared" si="3"/>
        <v>67</v>
      </c>
      <c r="K12" s="79" t="e">
        <f t="shared" si="1"/>
        <v>#DIV/0!</v>
      </c>
      <c r="L12" s="80" t="e">
        <f t="shared" si="4"/>
        <v>#DIV/0!</v>
      </c>
      <c r="M12" s="81" t="e">
        <f t="shared" si="5"/>
        <v>#DIV/0!</v>
      </c>
    </row>
    <row r="13" spans="1:13" x14ac:dyDescent="0.25">
      <c r="D13" t="e">
        <f t="shared" si="0"/>
        <v>#DIV/0!</v>
      </c>
      <c r="H13" s="76" t="e">
        <f>$I$19+2.4*$I$23</f>
        <v>#DIV/0!</v>
      </c>
      <c r="I13" s="77" t="e">
        <f t="shared" si="2"/>
        <v>#DIV/0!</v>
      </c>
      <c r="J13" s="78">
        <f t="shared" si="3"/>
        <v>67</v>
      </c>
      <c r="K13" s="79" t="e">
        <f t="shared" si="1"/>
        <v>#DIV/0!</v>
      </c>
      <c r="L13" s="80" t="e">
        <f t="shared" si="4"/>
        <v>#DIV/0!</v>
      </c>
      <c r="M13" s="81" t="e">
        <f t="shared" si="5"/>
        <v>#DIV/0!</v>
      </c>
    </row>
    <row r="14" spans="1:13" x14ac:dyDescent="0.25">
      <c r="D14" t="e">
        <f t="shared" si="0"/>
        <v>#DIV/0!</v>
      </c>
      <c r="H14" s="76" t="e">
        <f>$I$19+3*$I$23</f>
        <v>#DIV/0!</v>
      </c>
      <c r="I14" s="77" t="e">
        <f t="shared" si="2"/>
        <v>#DIV/0!</v>
      </c>
      <c r="J14" s="78">
        <f t="shared" si="3"/>
        <v>67</v>
      </c>
      <c r="K14" s="79" t="e">
        <f t="shared" si="1"/>
        <v>#DIV/0!</v>
      </c>
      <c r="L14" s="80" t="e">
        <f t="shared" si="4"/>
        <v>#DIV/0!</v>
      </c>
      <c r="M14" s="81" t="e">
        <f t="shared" si="5"/>
        <v>#DIV/0!</v>
      </c>
    </row>
    <row r="15" spans="1:13" ht="15.75" thickBot="1" x14ac:dyDescent="0.3">
      <c r="D15" t="e">
        <f t="shared" si="0"/>
        <v>#DIV/0!</v>
      </c>
      <c r="H15" s="82"/>
      <c r="I15" s="83" t="s">
        <v>103</v>
      </c>
      <c r="J15" s="83">
        <f>COUNTIF(D:D,"&gt;"&amp;H14)</f>
        <v>67</v>
      </c>
      <c r="K15" s="83" t="e">
        <f>"Greater than "&amp;TEXT(H14,"0,00%")</f>
        <v>#DIV/0!</v>
      </c>
      <c r="L15" s="84" t="e">
        <f t="shared" si="4"/>
        <v>#DIV/0!</v>
      </c>
      <c r="M15" s="84" t="e">
        <f t="shared" si="5"/>
        <v>#DIV/0!</v>
      </c>
    </row>
    <row r="16" spans="1:13" ht="15.75" thickBot="1" x14ac:dyDescent="0.3">
      <c r="D16" t="e">
        <f t="shared" si="0"/>
        <v>#DIV/0!</v>
      </c>
      <c r="H16" s="85"/>
      <c r="M16" s="86"/>
    </row>
    <row r="17" spans="4:13" x14ac:dyDescent="0.25">
      <c r="D17" t="e">
        <f t="shared" si="0"/>
        <v>#DIV/0!</v>
      </c>
      <c r="H17" s="143" t="s">
        <v>134</v>
      </c>
      <c r="I17" s="144"/>
      <c r="M17" s="86"/>
    </row>
    <row r="18" spans="4:13" x14ac:dyDescent="0.25">
      <c r="D18" t="e">
        <f t="shared" si="0"/>
        <v>#DIV/0!</v>
      </c>
      <c r="H18" s="145"/>
      <c r="I18" s="146"/>
      <c r="M18" s="86"/>
    </row>
    <row r="19" spans="4:13" x14ac:dyDescent="0.25">
      <c r="D19" t="e">
        <f t="shared" si="0"/>
        <v>#DIV/0!</v>
      </c>
      <c r="H19" s="87" t="s">
        <v>104</v>
      </c>
      <c r="I19" s="124" t="e">
        <f>AVERAGE(D:D)</f>
        <v>#DIV/0!</v>
      </c>
      <c r="M19" s="86"/>
    </row>
    <row r="20" spans="4:13" x14ac:dyDescent="0.25">
      <c r="D20" t="e">
        <f t="shared" si="0"/>
        <v>#DIV/0!</v>
      </c>
      <c r="H20" s="87" t="s">
        <v>105</v>
      </c>
      <c r="I20" s="124" t="e">
        <f>_xlfn.STDEV.S(D:D)/SQRT(COUNT(D:D))</f>
        <v>#DIV/0!</v>
      </c>
      <c r="M20" s="86"/>
    </row>
    <row r="21" spans="4:13" x14ac:dyDescent="0.25">
      <c r="D21" t="e">
        <f t="shared" si="0"/>
        <v>#DIV/0!</v>
      </c>
      <c r="H21" s="87" t="s">
        <v>106</v>
      </c>
      <c r="I21" s="124" t="e">
        <f>MEDIAN(D:D)</f>
        <v>#DIV/0!</v>
      </c>
      <c r="M21" s="86"/>
    </row>
    <row r="22" spans="4:13" x14ac:dyDescent="0.25">
      <c r="D22" t="e">
        <f t="shared" si="0"/>
        <v>#DIV/0!</v>
      </c>
      <c r="H22" s="87" t="s">
        <v>107</v>
      </c>
      <c r="I22" s="124" t="e">
        <f>MODE(D:D)</f>
        <v>#DIV/0!</v>
      </c>
      <c r="M22" s="86"/>
    </row>
    <row r="23" spans="4:13" x14ac:dyDescent="0.25">
      <c r="D23" t="e">
        <f t="shared" si="0"/>
        <v>#DIV/0!</v>
      </c>
      <c r="H23" s="87" t="s">
        <v>108</v>
      </c>
      <c r="I23" s="124" t="e">
        <f>_xlfn.STDEV.S(D:D)</f>
        <v>#DIV/0!</v>
      </c>
      <c r="M23" s="86"/>
    </row>
    <row r="24" spans="4:13" x14ac:dyDescent="0.25">
      <c r="D24" t="e">
        <f t="shared" si="0"/>
        <v>#DIV/0!</v>
      </c>
      <c r="H24" s="87" t="s">
        <v>109</v>
      </c>
      <c r="I24" s="124" t="e">
        <f>_xlfn.VAR.S(D:D)</f>
        <v>#DIV/0!</v>
      </c>
      <c r="M24" s="86"/>
    </row>
    <row r="25" spans="4:13" x14ac:dyDescent="0.25">
      <c r="D25" t="e">
        <f t="shared" si="0"/>
        <v>#DIV/0!</v>
      </c>
      <c r="H25" s="87" t="s">
        <v>110</v>
      </c>
      <c r="I25" s="125" t="e">
        <f>KURT(D:D)</f>
        <v>#DIV/0!</v>
      </c>
      <c r="M25" s="86"/>
    </row>
    <row r="26" spans="4:13" x14ac:dyDescent="0.25">
      <c r="D26" t="e">
        <f t="shared" si="0"/>
        <v>#DIV/0!</v>
      </c>
      <c r="H26" s="87" t="s">
        <v>111</v>
      </c>
      <c r="I26" s="125" t="e">
        <f>SKEW(D:D)</f>
        <v>#DIV/0!</v>
      </c>
      <c r="M26" s="86"/>
    </row>
    <row r="27" spans="4:13" x14ac:dyDescent="0.25">
      <c r="D27" t="e">
        <f t="shared" si="0"/>
        <v>#DIV/0!</v>
      </c>
      <c r="H27" s="87" t="s">
        <v>100</v>
      </c>
      <c r="I27" s="124" t="e">
        <f>I29-I28</f>
        <v>#DIV/0!</v>
      </c>
      <c r="M27" s="86"/>
    </row>
    <row r="28" spans="4:13" x14ac:dyDescent="0.25">
      <c r="D28" t="e">
        <f t="shared" si="0"/>
        <v>#DIV/0!</v>
      </c>
      <c r="H28" s="87" t="s">
        <v>112</v>
      </c>
      <c r="I28" s="124" t="e">
        <f>MIN(D:D)</f>
        <v>#DIV/0!</v>
      </c>
      <c r="M28" s="86"/>
    </row>
    <row r="29" spans="4:13" x14ac:dyDescent="0.25">
      <c r="D29" t="e">
        <f t="shared" si="0"/>
        <v>#DIV/0!</v>
      </c>
      <c r="H29" s="87" t="s">
        <v>113</v>
      </c>
      <c r="I29" s="124" t="e">
        <f>MAX(D:D)</f>
        <v>#DIV/0!</v>
      </c>
      <c r="M29" s="86"/>
    </row>
    <row r="30" spans="4:13" x14ac:dyDescent="0.25">
      <c r="D30" t="e">
        <f t="shared" si="0"/>
        <v>#DIV/0!</v>
      </c>
      <c r="H30" s="87" t="s">
        <v>114</v>
      </c>
      <c r="I30" s="125" t="e">
        <f>SUM(D:D)</f>
        <v>#DIV/0!</v>
      </c>
      <c r="M30" s="86"/>
    </row>
    <row r="31" spans="4:13" ht="15.75" thickBot="1" x14ac:dyDescent="0.3">
      <c r="D31" t="e">
        <f t="shared" si="0"/>
        <v>#DIV/0!</v>
      </c>
      <c r="H31" s="88" t="s">
        <v>115</v>
      </c>
      <c r="I31" s="65">
        <f>COUNT(D:D)</f>
        <v>0</v>
      </c>
      <c r="M31" s="86"/>
    </row>
    <row r="32" spans="4:13" ht="15.75" thickBot="1" x14ac:dyDescent="0.3">
      <c r="D32" t="e">
        <f t="shared" si="0"/>
        <v>#DIV/0!</v>
      </c>
      <c r="H32" s="90"/>
      <c r="M32" s="86"/>
    </row>
    <row r="33" spans="4:13" x14ac:dyDescent="0.25">
      <c r="D33" t="e">
        <f t="shared" si="0"/>
        <v>#DIV/0!</v>
      </c>
      <c r="H33" s="91"/>
      <c r="I33" s="92" t="s">
        <v>116</v>
      </c>
      <c r="J33" s="92" t="s">
        <v>115</v>
      </c>
      <c r="K33" s="92" t="s">
        <v>117</v>
      </c>
      <c r="L33" s="93" t="s">
        <v>118</v>
      </c>
      <c r="M33" s="86"/>
    </row>
    <row r="34" spans="4:13" x14ac:dyDescent="0.25">
      <c r="D34" t="e">
        <f t="shared" si="0"/>
        <v>#DIV/0!</v>
      </c>
      <c r="H34" s="94" t="s">
        <v>119</v>
      </c>
      <c r="I34" s="80" t="e">
        <f>AVERAGEIF(D:D,"&gt;0")</f>
        <v>#DIV/0!</v>
      </c>
      <c r="J34" s="78">
        <f>COUNTIF(D:D,"&gt;0")</f>
        <v>0</v>
      </c>
      <c r="K34" s="80" t="e">
        <f>J34/$I$31</f>
        <v>#DIV/0!</v>
      </c>
      <c r="L34" s="81" t="e">
        <f>K34*I34</f>
        <v>#DIV/0!</v>
      </c>
      <c r="M34" s="86"/>
    </row>
    <row r="35" spans="4:13" x14ac:dyDescent="0.25">
      <c r="D35" t="e">
        <f t="shared" si="0"/>
        <v>#DIV/0!</v>
      </c>
      <c r="H35" s="94" t="s">
        <v>120</v>
      </c>
      <c r="I35" s="80" t="e">
        <f>AVERAGEIF(D:D,"&lt;0")</f>
        <v>#DIV/0!</v>
      </c>
      <c r="J35" s="78">
        <f>COUNTIF(D:D,"&lt;0")</f>
        <v>0</v>
      </c>
      <c r="K35" s="80" t="e">
        <f>J35/$I$31</f>
        <v>#DIV/0!</v>
      </c>
      <c r="L35" s="81" t="e">
        <f t="shared" ref="L35:L36" si="6">K35*I35</f>
        <v>#DIV/0!</v>
      </c>
      <c r="M35" s="86"/>
    </row>
    <row r="36" spans="4:13" ht="15.75" thickBot="1" x14ac:dyDescent="0.3">
      <c r="D36" t="e">
        <f t="shared" si="0"/>
        <v>#DIV/0!</v>
      </c>
      <c r="H36" s="95" t="s">
        <v>121</v>
      </c>
      <c r="I36" s="83">
        <v>0</v>
      </c>
      <c r="J36" s="83">
        <f>COUNTIF(D:D,"0")</f>
        <v>0</v>
      </c>
      <c r="K36" s="96" t="e">
        <f>J36/$I$31</f>
        <v>#DIV/0!</v>
      </c>
      <c r="L36" s="84" t="e">
        <f t="shared" si="6"/>
        <v>#DIV/0!</v>
      </c>
      <c r="M36" s="86"/>
    </row>
    <row r="37" spans="4:13" ht="15.75" thickBot="1" x14ac:dyDescent="0.3">
      <c r="D37" t="e">
        <f t="shared" si="0"/>
        <v>#DIV/0!</v>
      </c>
      <c r="H37" s="90"/>
      <c r="I37" s="97"/>
      <c r="J37" s="97"/>
      <c r="K37" s="97"/>
      <c r="L37" s="97"/>
      <c r="M37" s="86"/>
    </row>
    <row r="38" spans="4:13" x14ac:dyDescent="0.25">
      <c r="D38" t="e">
        <f t="shared" si="0"/>
        <v>#DIV/0!</v>
      </c>
      <c r="H38" s="71" t="s">
        <v>122</v>
      </c>
      <c r="I38" s="92" t="s">
        <v>123</v>
      </c>
      <c r="J38" s="92" t="s">
        <v>124</v>
      </c>
      <c r="K38" s="92" t="s">
        <v>125</v>
      </c>
      <c r="L38" s="92" t="s">
        <v>126</v>
      </c>
      <c r="M38" s="93" t="s">
        <v>127</v>
      </c>
    </row>
    <row r="39" spans="4:13" x14ac:dyDescent="0.25">
      <c r="D39" t="e">
        <f t="shared" si="0"/>
        <v>#DIV/0!</v>
      </c>
      <c r="H39" s="98">
        <v>1</v>
      </c>
      <c r="I39" s="80" t="e">
        <f>$I$19+($H39*$I$23)</f>
        <v>#DIV/0!</v>
      </c>
      <c r="J39" s="80" t="e">
        <f>$I$19-($H39*$I$23)</f>
        <v>#DIV/0!</v>
      </c>
      <c r="K39" s="78">
        <f>COUNTIFS(D:D,"&lt;"&amp;I39,D:D,"&gt;"&amp;J39)</f>
        <v>67</v>
      </c>
      <c r="L39" s="80" t="e">
        <f>K39/$I$31</f>
        <v>#DIV/0!</v>
      </c>
      <c r="M39" s="81">
        <v>0.68269999999999997</v>
      </c>
    </row>
    <row r="40" spans="4:13" x14ac:dyDescent="0.25">
      <c r="D40" t="e">
        <f t="shared" si="0"/>
        <v>#DIV/0!</v>
      </c>
      <c r="H40" s="98">
        <v>2</v>
      </c>
      <c r="I40" s="80" t="e">
        <f>$I$19+($H40*$I$23)</f>
        <v>#DIV/0!</v>
      </c>
      <c r="J40" s="80" t="e">
        <f>$I$19-($H40*$I$23)</f>
        <v>#DIV/0!</v>
      </c>
      <c r="K40" s="78">
        <f>COUNTIFS(D:D,"&lt;"&amp;I40,D:D,"&gt;"&amp;J40)</f>
        <v>67</v>
      </c>
      <c r="L40" s="80" t="e">
        <f>K40/$I$31</f>
        <v>#DIV/0!</v>
      </c>
      <c r="M40" s="81">
        <v>0.95450000000000002</v>
      </c>
    </row>
    <row r="41" spans="4:13" x14ac:dyDescent="0.25">
      <c r="D41" t="e">
        <f t="shared" si="0"/>
        <v>#DIV/0!</v>
      </c>
      <c r="H41" s="98">
        <v>3</v>
      </c>
      <c r="I41" s="80" t="e">
        <f>$I$19+($H41*$I$23)</f>
        <v>#DIV/0!</v>
      </c>
      <c r="J41" s="80" t="e">
        <f>$I$19-($H41*$I$23)</f>
        <v>#DIV/0!</v>
      </c>
      <c r="K41" s="78">
        <f>COUNTIFS(D:D,"&lt;"&amp;I41,D:D,"&gt;"&amp;J41)</f>
        <v>67</v>
      </c>
      <c r="L41" s="80" t="e">
        <f>K41/$I$31</f>
        <v>#DIV/0!</v>
      </c>
      <c r="M41" s="99">
        <v>0.99729999999999996</v>
      </c>
    </row>
    <row r="42" spans="4:13" ht="15.75" thickBot="1" x14ac:dyDescent="0.3">
      <c r="D42" t="e">
        <f t="shared" si="0"/>
        <v>#DIV/0!</v>
      </c>
      <c r="H42" s="76"/>
      <c r="M42" s="99"/>
    </row>
    <row r="43" spans="4:13" ht="15.75" thickBot="1" x14ac:dyDescent="0.3">
      <c r="D43" t="e">
        <f t="shared" si="0"/>
        <v>#DIV/0!</v>
      </c>
      <c r="H43" s="147" t="s">
        <v>128</v>
      </c>
      <c r="I43" s="148"/>
      <c r="J43" s="148"/>
      <c r="K43" s="148"/>
      <c r="L43" s="148"/>
      <c r="M43" s="149"/>
    </row>
    <row r="44" spans="4:13" x14ac:dyDescent="0.25">
      <c r="D44" t="e">
        <f t="shared" si="0"/>
        <v>#DIV/0!</v>
      </c>
      <c r="H44" s="100">
        <v>0.01</v>
      </c>
      <c r="I44" s="101" t="e">
        <f t="shared" ref="I44:I58" si="7">_xlfn.PERCENTILE.INC(D:D,H44)</f>
        <v>#DIV/0!</v>
      </c>
      <c r="J44" s="102">
        <v>0.2</v>
      </c>
      <c r="K44" s="101" t="e">
        <f t="shared" ref="K44:K56" si="8">_xlfn.PERCENTILE.INC(D:D,J44)</f>
        <v>#DIV/0!</v>
      </c>
      <c r="L44" s="102">
        <v>0.85</v>
      </c>
      <c r="M44" s="103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4">
        <v>0.02</v>
      </c>
      <c r="I45" s="105" t="e">
        <f t="shared" si="7"/>
        <v>#DIV/0!</v>
      </c>
      <c r="J45" s="106">
        <v>0.25</v>
      </c>
      <c r="K45" s="105" t="e">
        <f t="shared" si="8"/>
        <v>#DIV/0!</v>
      </c>
      <c r="L45" s="106">
        <v>0.86</v>
      </c>
      <c r="M45" s="107" t="e">
        <f t="shared" si="9"/>
        <v>#DIV/0!</v>
      </c>
    </row>
    <row r="46" spans="4:13" x14ac:dyDescent="0.25">
      <c r="D46" t="e">
        <f t="shared" si="0"/>
        <v>#DIV/0!</v>
      </c>
      <c r="H46" s="104">
        <v>0.03</v>
      </c>
      <c r="I46" s="105" t="e">
        <f t="shared" si="7"/>
        <v>#DIV/0!</v>
      </c>
      <c r="J46" s="106">
        <v>0.3</v>
      </c>
      <c r="K46" s="105" t="e">
        <f t="shared" si="8"/>
        <v>#DIV/0!</v>
      </c>
      <c r="L46" s="106">
        <v>0.87</v>
      </c>
      <c r="M46" s="107" t="e">
        <f t="shared" si="9"/>
        <v>#DIV/0!</v>
      </c>
    </row>
    <row r="47" spans="4:13" x14ac:dyDescent="0.25">
      <c r="D47" t="e">
        <f t="shared" si="0"/>
        <v>#DIV/0!</v>
      </c>
      <c r="H47" s="104">
        <v>0.04</v>
      </c>
      <c r="I47" s="105" t="e">
        <f t="shared" si="7"/>
        <v>#DIV/0!</v>
      </c>
      <c r="J47" s="106">
        <v>0.35</v>
      </c>
      <c r="K47" s="105" t="e">
        <f t="shared" si="8"/>
        <v>#DIV/0!</v>
      </c>
      <c r="L47" s="106">
        <v>0.88</v>
      </c>
      <c r="M47" s="107" t="e">
        <f t="shared" si="9"/>
        <v>#DIV/0!</v>
      </c>
    </row>
    <row r="48" spans="4:13" x14ac:dyDescent="0.25">
      <c r="D48" t="e">
        <f t="shared" si="0"/>
        <v>#DIV/0!</v>
      </c>
      <c r="H48" s="104">
        <v>0.05</v>
      </c>
      <c r="I48" s="105" t="e">
        <f t="shared" si="7"/>
        <v>#DIV/0!</v>
      </c>
      <c r="J48" s="106">
        <v>0.4</v>
      </c>
      <c r="K48" s="105" t="e">
        <f t="shared" si="8"/>
        <v>#DIV/0!</v>
      </c>
      <c r="L48" s="106">
        <v>0.89</v>
      </c>
      <c r="M48" s="107" t="e">
        <f t="shared" si="9"/>
        <v>#DIV/0!</v>
      </c>
    </row>
    <row r="49" spans="4:13" x14ac:dyDescent="0.25">
      <c r="D49" t="e">
        <f t="shared" si="0"/>
        <v>#DIV/0!</v>
      </c>
      <c r="H49" s="104">
        <v>0.06</v>
      </c>
      <c r="I49" s="105" t="e">
        <f t="shared" si="7"/>
        <v>#DIV/0!</v>
      </c>
      <c r="J49" s="106">
        <v>0.45</v>
      </c>
      <c r="K49" s="105" t="e">
        <f t="shared" si="8"/>
        <v>#DIV/0!</v>
      </c>
      <c r="L49" s="106">
        <v>0.9</v>
      </c>
      <c r="M49" s="107" t="e">
        <f t="shared" si="9"/>
        <v>#DIV/0!</v>
      </c>
    </row>
    <row r="50" spans="4:13" x14ac:dyDescent="0.25">
      <c r="D50" t="e">
        <f t="shared" si="0"/>
        <v>#DIV/0!</v>
      </c>
      <c r="H50" s="104">
        <v>7.0000000000000007E-2</v>
      </c>
      <c r="I50" s="105" t="e">
        <f t="shared" si="7"/>
        <v>#DIV/0!</v>
      </c>
      <c r="J50" s="106">
        <v>0.5</v>
      </c>
      <c r="K50" s="105" t="e">
        <f t="shared" si="8"/>
        <v>#DIV/0!</v>
      </c>
      <c r="L50" s="106">
        <v>0.91</v>
      </c>
      <c r="M50" s="107" t="e">
        <f t="shared" si="9"/>
        <v>#DIV/0!</v>
      </c>
    </row>
    <row r="51" spans="4:13" x14ac:dyDescent="0.25">
      <c r="D51" t="e">
        <f t="shared" si="0"/>
        <v>#DIV/0!</v>
      </c>
      <c r="H51" s="104">
        <v>0.08</v>
      </c>
      <c r="I51" s="105" t="e">
        <f t="shared" si="7"/>
        <v>#DIV/0!</v>
      </c>
      <c r="J51" s="106">
        <v>0.55000000000000004</v>
      </c>
      <c r="K51" s="105" t="e">
        <f t="shared" si="8"/>
        <v>#DIV/0!</v>
      </c>
      <c r="L51" s="106">
        <v>0.92</v>
      </c>
      <c r="M51" s="107" t="e">
        <f t="shared" si="9"/>
        <v>#DIV/0!</v>
      </c>
    </row>
    <row r="52" spans="4:13" x14ac:dyDescent="0.25">
      <c r="D52" t="e">
        <f t="shared" si="0"/>
        <v>#DIV/0!</v>
      </c>
      <c r="H52" s="104">
        <v>0.09</v>
      </c>
      <c r="I52" s="105" t="e">
        <f t="shared" si="7"/>
        <v>#DIV/0!</v>
      </c>
      <c r="J52" s="106">
        <v>0.6</v>
      </c>
      <c r="K52" s="105" t="e">
        <f t="shared" si="8"/>
        <v>#DIV/0!</v>
      </c>
      <c r="L52" s="106">
        <v>0.93</v>
      </c>
      <c r="M52" s="107" t="e">
        <f t="shared" si="9"/>
        <v>#DIV/0!</v>
      </c>
    </row>
    <row r="53" spans="4:13" x14ac:dyDescent="0.25">
      <c r="D53" t="e">
        <f t="shared" si="0"/>
        <v>#DIV/0!</v>
      </c>
      <c r="H53" s="104">
        <v>0.1</v>
      </c>
      <c r="I53" s="105" t="e">
        <f t="shared" si="7"/>
        <v>#DIV/0!</v>
      </c>
      <c r="J53" s="106">
        <v>0.65</v>
      </c>
      <c r="K53" s="105" t="e">
        <f t="shared" si="8"/>
        <v>#DIV/0!</v>
      </c>
      <c r="L53" s="106">
        <v>0.94</v>
      </c>
      <c r="M53" s="107" t="e">
        <f t="shared" si="9"/>
        <v>#DIV/0!</v>
      </c>
    </row>
    <row r="54" spans="4:13" x14ac:dyDescent="0.25">
      <c r="D54" t="e">
        <f t="shared" si="0"/>
        <v>#DIV/0!</v>
      </c>
      <c r="H54" s="104">
        <v>0.11</v>
      </c>
      <c r="I54" s="105" t="e">
        <f t="shared" si="7"/>
        <v>#DIV/0!</v>
      </c>
      <c r="J54" s="106">
        <v>0.7</v>
      </c>
      <c r="K54" s="105" t="e">
        <f t="shared" si="8"/>
        <v>#DIV/0!</v>
      </c>
      <c r="L54" s="106">
        <v>0.95</v>
      </c>
      <c r="M54" s="107" t="e">
        <f t="shared" si="9"/>
        <v>#DIV/0!</v>
      </c>
    </row>
    <row r="55" spans="4:13" x14ac:dyDescent="0.25">
      <c r="D55" t="e">
        <f t="shared" si="0"/>
        <v>#DIV/0!</v>
      </c>
      <c r="H55" s="104">
        <v>0.12</v>
      </c>
      <c r="I55" s="105" t="e">
        <f t="shared" si="7"/>
        <v>#DIV/0!</v>
      </c>
      <c r="J55" s="106">
        <v>0.75</v>
      </c>
      <c r="K55" s="105" t="e">
        <f t="shared" si="8"/>
        <v>#DIV/0!</v>
      </c>
      <c r="L55" s="106">
        <v>0.96</v>
      </c>
      <c r="M55" s="107" t="e">
        <f t="shared" si="9"/>
        <v>#DIV/0!</v>
      </c>
    </row>
    <row r="56" spans="4:13" x14ac:dyDescent="0.25">
      <c r="D56" t="e">
        <f t="shared" si="0"/>
        <v>#DIV/0!</v>
      </c>
      <c r="H56" s="104">
        <v>0.13</v>
      </c>
      <c r="I56" s="105" t="e">
        <f t="shared" si="7"/>
        <v>#DIV/0!</v>
      </c>
      <c r="J56" s="106">
        <v>0.8</v>
      </c>
      <c r="K56" s="105" t="e">
        <f t="shared" si="8"/>
        <v>#DIV/0!</v>
      </c>
      <c r="L56" s="106">
        <v>0.97</v>
      </c>
      <c r="M56" s="107" t="e">
        <f t="shared" si="9"/>
        <v>#DIV/0!</v>
      </c>
    </row>
    <row r="57" spans="4:13" x14ac:dyDescent="0.25">
      <c r="D57" t="e">
        <f t="shared" si="0"/>
        <v>#DIV/0!</v>
      </c>
      <c r="H57" s="104">
        <v>0.14000000000000001</v>
      </c>
      <c r="I57" s="105" t="e">
        <f t="shared" si="7"/>
        <v>#DIV/0!</v>
      </c>
      <c r="J57" s="106"/>
      <c r="K57" s="105"/>
      <c r="L57" s="106">
        <v>0.98</v>
      </c>
      <c r="M57" s="107" t="e">
        <f t="shared" si="9"/>
        <v>#DIV/0!</v>
      </c>
    </row>
    <row r="58" spans="4:13" ht="15.75" thickBot="1" x14ac:dyDescent="0.3">
      <c r="D58" t="e">
        <f t="shared" si="0"/>
        <v>#DIV/0!</v>
      </c>
      <c r="H58" s="108">
        <v>0.15</v>
      </c>
      <c r="I58" s="109" t="e">
        <f t="shared" si="7"/>
        <v>#DIV/0!</v>
      </c>
      <c r="J58" s="110"/>
      <c r="K58" s="89"/>
      <c r="L58" s="111">
        <v>0.99</v>
      </c>
      <c r="M58" s="112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3" t="s">
        <v>129</v>
      </c>
      <c r="I60" s="114"/>
    </row>
    <row r="61" spans="4:13" ht="15.75" thickBot="1" x14ac:dyDescent="0.3">
      <c r="D61" t="e">
        <f t="shared" si="0"/>
        <v>#DIV/0!</v>
      </c>
      <c r="H61" s="115" t="s">
        <v>130</v>
      </c>
      <c r="I61" s="116"/>
    </row>
    <row r="62" spans="4:13" ht="15.75" thickBot="1" x14ac:dyDescent="0.3">
      <c r="D62" t="e">
        <f t="shared" si="0"/>
        <v>#DIV/0!</v>
      </c>
      <c r="H62" s="117"/>
    </row>
    <row r="63" spans="4:13" x14ac:dyDescent="0.25">
      <c r="D63" t="e">
        <f t="shared" si="0"/>
        <v>#DIV/0!</v>
      </c>
      <c r="H63" s="113" t="s">
        <v>131</v>
      </c>
      <c r="I63" s="118"/>
    </row>
    <row r="64" spans="4:13" x14ac:dyDescent="0.25">
      <c r="D64" t="e">
        <f t="shared" si="0"/>
        <v>#DIV/0!</v>
      </c>
      <c r="H64" s="119" t="s">
        <v>132</v>
      </c>
      <c r="I64" s="120">
        <f>I63*(1-I60)</f>
        <v>0</v>
      </c>
    </row>
    <row r="65" spans="4:9" ht="15.75" thickBot="1" x14ac:dyDescent="0.3">
      <c r="D65" t="e">
        <f t="shared" si="0"/>
        <v>#DIV/0!</v>
      </c>
      <c r="H65" s="115" t="s">
        <v>133</v>
      </c>
      <c r="I65" s="121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2024-05-07T20:24:17Z</dcterms:modified>
</cp:coreProperties>
</file>