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930B1D0A-D786-46B2-A43D-DDF0824F90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Model!$B$16</definedName>
    <definedName name="_xlchart.v1.1" hidden="1">Model!$B$17</definedName>
    <definedName name="_xlchart.v1.2" hidden="1">Model!$J$16:$V$16</definedName>
    <definedName name="_xlchart.v1.3" hidden="1">Model!$J$17:$V$17</definedName>
    <definedName name="_xlchart.v1.4" hidden="1">Model!$J$2:$V$2</definedName>
    <definedName name="_xlchart.v1.5" hidden="1">Model!$B$3</definedName>
    <definedName name="_xlchart.v1.6" hidden="1">Model!$B$4</definedName>
    <definedName name="_xlchart.v1.7" hidden="1">Model!$J$2:$V$2</definedName>
    <definedName name="_xlchart.v1.8" hidden="1">Model!$J$3:$V$3</definedName>
    <definedName name="_xlchart.v1.9" hidden="1">Model!$J$4:$V$4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5" i="1"/>
  <c r="C30" i="1"/>
  <c r="C29" i="1"/>
  <c r="C25" i="1"/>
  <c r="C24" i="1"/>
  <c r="C23" i="1"/>
  <c r="C22" i="1"/>
  <c r="C21" i="1"/>
  <c r="C20" i="1"/>
  <c r="C17" i="1" l="1"/>
  <c r="C15" i="1"/>
  <c r="C19" i="1" s="1"/>
  <c r="C14" i="1"/>
  <c r="C18" i="1" s="1"/>
  <c r="C13" i="1"/>
  <c r="C9" i="1"/>
  <c r="V24" i="2" l="1"/>
  <c r="V20" i="2"/>
  <c r="P16" i="2"/>
  <c r="Q16" i="2"/>
  <c r="T16" i="2"/>
  <c r="U47" i="2"/>
  <c r="U46" i="2"/>
  <c r="U44" i="2"/>
  <c r="U43" i="2"/>
  <c r="U42" i="2"/>
  <c r="U41" i="2"/>
  <c r="U39" i="2"/>
  <c r="U38" i="2"/>
  <c r="U37" i="2"/>
  <c r="U36" i="2"/>
  <c r="U35" i="2"/>
  <c r="U34" i="2"/>
  <c r="U32" i="2"/>
  <c r="U31" i="2"/>
  <c r="U30" i="2"/>
  <c r="U29" i="2"/>
  <c r="U27" i="2" s="1"/>
  <c r="N49" i="2"/>
  <c r="O49" i="2"/>
  <c r="P49" i="2"/>
  <c r="R49" i="2"/>
  <c r="S49" i="2"/>
  <c r="Q49" i="2"/>
  <c r="Q47" i="2"/>
  <c r="Q46" i="2"/>
  <c r="Q44" i="2"/>
  <c r="Q43" i="2"/>
  <c r="Q42" i="2"/>
  <c r="Q41" i="2"/>
  <c r="Q39" i="2"/>
  <c r="Q38" i="2"/>
  <c r="Q37" i="2"/>
  <c r="Q36" i="2"/>
  <c r="Q35" i="2"/>
  <c r="Q34" i="2"/>
  <c r="Q32" i="2"/>
  <c r="Q31" i="2"/>
  <c r="Q30" i="2"/>
  <c r="Q29" i="2"/>
  <c r="Q28" i="2"/>
  <c r="Q27" i="2" s="1"/>
  <c r="U28" i="2"/>
  <c r="E49" i="2"/>
  <c r="U23" i="2"/>
  <c r="K23" i="2"/>
  <c r="L23" i="2"/>
  <c r="M23" i="2"/>
  <c r="N23" i="2"/>
  <c r="O23" i="2"/>
  <c r="P23" i="2"/>
  <c r="Q23" i="2"/>
  <c r="R23" i="2"/>
  <c r="S23" i="2"/>
  <c r="T23" i="2"/>
  <c r="J23" i="2"/>
  <c r="K27" i="2"/>
  <c r="L27" i="2"/>
  <c r="M27" i="2"/>
  <c r="N27" i="2"/>
  <c r="O27" i="2"/>
  <c r="P27" i="2"/>
  <c r="R27" i="2"/>
  <c r="S27" i="2"/>
  <c r="T27" i="2"/>
  <c r="J27" i="2"/>
  <c r="G24" i="2"/>
  <c r="V9" i="2"/>
  <c r="V12" i="2" s="1"/>
  <c r="V14" i="2" s="1"/>
  <c r="W9" i="2"/>
  <c r="W12" i="2" s="1"/>
  <c r="W14" i="2" s="1"/>
  <c r="U9" i="2"/>
  <c r="U12" i="2" s="1"/>
  <c r="U14" i="2" s="1"/>
  <c r="U16" i="2" s="1"/>
  <c r="Q9" i="2"/>
  <c r="Q12" i="2" s="1"/>
  <c r="Q14" i="2" s="1"/>
  <c r="E27" i="2"/>
  <c r="C27" i="2"/>
  <c r="D27" i="2"/>
  <c r="C23" i="2"/>
  <c r="D23" i="2"/>
  <c r="E23" i="2"/>
  <c r="C7" i="1"/>
  <c r="C33" i="2"/>
  <c r="C40" i="2" s="1"/>
  <c r="D33" i="2"/>
  <c r="D40" i="2" s="1"/>
  <c r="C45" i="2"/>
  <c r="C48" i="2" s="1"/>
  <c r="D45" i="2"/>
  <c r="D48" i="2" s="1"/>
  <c r="D49" i="2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2" i="5"/>
  <c r="K9" i="2"/>
  <c r="K12" i="2" s="1"/>
  <c r="K14" i="2" s="1"/>
  <c r="L9" i="2"/>
  <c r="L12" i="2" s="1"/>
  <c r="L14" i="2" s="1"/>
  <c r="M9" i="2"/>
  <c r="M12" i="2" s="1"/>
  <c r="M14" i="2" s="1"/>
  <c r="N9" i="2"/>
  <c r="N12" i="2" s="1"/>
  <c r="N14" i="2" s="1"/>
  <c r="O9" i="2"/>
  <c r="O12" i="2" s="1"/>
  <c r="O14" i="2" s="1"/>
  <c r="P9" i="2"/>
  <c r="P12" i="2" s="1"/>
  <c r="P14" i="2" s="1"/>
  <c r="R9" i="2"/>
  <c r="R12" i="2" s="1"/>
  <c r="R14" i="2" s="1"/>
  <c r="S9" i="2"/>
  <c r="S12" i="2" s="1"/>
  <c r="S14" i="2" s="1"/>
  <c r="T9" i="2"/>
  <c r="T12" i="2" s="1"/>
  <c r="T14" i="2" s="1"/>
  <c r="J9" i="2"/>
  <c r="J12" i="2" s="1"/>
  <c r="J14" i="2" s="1"/>
  <c r="F9" i="2"/>
  <c r="F12" i="2" s="1"/>
  <c r="G9" i="2"/>
  <c r="G12" i="2" s="1"/>
  <c r="U22" i="2"/>
  <c r="T22" i="2"/>
  <c r="S22" i="2"/>
  <c r="R22" i="2"/>
  <c r="Q22" i="2"/>
  <c r="P22" i="2"/>
  <c r="O22" i="2"/>
  <c r="N22" i="2"/>
  <c r="M22" i="2"/>
  <c r="L22" i="2"/>
  <c r="K22" i="2"/>
  <c r="J22" i="2"/>
  <c r="C8" i="1" l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9" i="2"/>
  <c r="C12" i="2" s="1"/>
  <c r="C14" i="2" s="1"/>
  <c r="D9" i="2"/>
  <c r="D12" i="2" s="1"/>
  <c r="D14" i="2" s="1"/>
  <c r="E9" i="2"/>
  <c r="E12" i="2" s="1"/>
  <c r="E14" i="2" s="1"/>
  <c r="K19" i="2"/>
  <c r="L19" i="2"/>
  <c r="M19" i="2"/>
  <c r="J18" i="2"/>
  <c r="K18" i="2"/>
  <c r="L18" i="2"/>
  <c r="M18" i="2"/>
  <c r="N18" i="2"/>
  <c r="O18" i="2"/>
  <c r="P18" i="2"/>
  <c r="Q18" i="2"/>
  <c r="R18" i="2"/>
  <c r="S18" i="2"/>
  <c r="T18" i="2"/>
  <c r="U18" i="2"/>
  <c r="N20" i="2"/>
  <c r="O20" i="2"/>
  <c r="P20" i="2"/>
  <c r="Q20" i="2"/>
  <c r="R20" i="2"/>
  <c r="S20" i="2"/>
  <c r="T20" i="2"/>
  <c r="U20" i="2"/>
  <c r="W20" i="2"/>
  <c r="J21" i="2"/>
  <c r="K21" i="2"/>
  <c r="L21" i="2"/>
  <c r="M21" i="2"/>
  <c r="N21" i="2"/>
  <c r="O21" i="2"/>
  <c r="P21" i="2"/>
  <c r="Q21" i="2"/>
  <c r="R21" i="2"/>
  <c r="S21" i="2"/>
  <c r="T21" i="2"/>
  <c r="U21" i="2"/>
  <c r="J33" i="2"/>
  <c r="J40" i="2" s="1"/>
  <c r="K33" i="2"/>
  <c r="K40" i="2" s="1"/>
  <c r="L33" i="2"/>
  <c r="L40" i="2" s="1"/>
  <c r="M33" i="2"/>
  <c r="M40" i="2" s="1"/>
  <c r="N33" i="2"/>
  <c r="N40" i="2" s="1"/>
  <c r="O33" i="2"/>
  <c r="O40" i="2" s="1"/>
  <c r="P33" i="2"/>
  <c r="P40" i="2" s="1"/>
  <c r="Q33" i="2"/>
  <c r="Q40" i="2" s="1"/>
  <c r="R33" i="2"/>
  <c r="R40" i="2" s="1"/>
  <c r="S33" i="2"/>
  <c r="S40" i="2" s="1"/>
  <c r="T33" i="2"/>
  <c r="T40" i="2" s="1"/>
  <c r="U33" i="2"/>
  <c r="U40" i="2" s="1"/>
  <c r="J45" i="2"/>
  <c r="J48" i="2" s="1"/>
  <c r="K45" i="2"/>
  <c r="K48" i="2" s="1"/>
  <c r="L45" i="2"/>
  <c r="L48" i="2" s="1"/>
  <c r="M45" i="2"/>
  <c r="M48" i="2" s="1"/>
  <c r="N45" i="2"/>
  <c r="N48" i="2" s="1"/>
  <c r="O45" i="2"/>
  <c r="O48" i="2" s="1"/>
  <c r="P45" i="2"/>
  <c r="P48" i="2" s="1"/>
  <c r="Q45" i="2"/>
  <c r="Q48" i="2" s="1"/>
  <c r="R45" i="2"/>
  <c r="R48" i="2" s="1"/>
  <c r="S45" i="2"/>
  <c r="S48" i="2" s="1"/>
  <c r="T45" i="2"/>
  <c r="T48" i="2" s="1"/>
  <c r="U45" i="2"/>
  <c r="U48" i="2" s="1"/>
  <c r="G19" i="2"/>
  <c r="F19" i="2"/>
  <c r="G20" i="2"/>
  <c r="T49" i="2" l="1"/>
  <c r="U49" i="2"/>
  <c r="E24" i="2"/>
  <c r="K11" i="5"/>
  <c r="J19" i="2"/>
  <c r="E21" i="2"/>
  <c r="E22" i="2"/>
  <c r="D22" i="2"/>
  <c r="C21" i="2"/>
  <c r="C22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R19" i="2"/>
  <c r="R24" i="2"/>
  <c r="N19" i="2"/>
  <c r="Q19" i="2"/>
  <c r="Q24" i="2"/>
  <c r="U24" i="2"/>
  <c r="U19" i="2"/>
  <c r="T24" i="2"/>
  <c r="T19" i="2"/>
  <c r="S19" i="2"/>
  <c r="S24" i="2"/>
  <c r="P24" i="2"/>
  <c r="P19" i="2"/>
  <c r="O24" i="2"/>
  <c r="O19" i="2"/>
  <c r="F20" i="2"/>
  <c r="D18" i="2"/>
  <c r="D21" i="2"/>
  <c r="C18" i="2"/>
  <c r="E18" i="2"/>
  <c r="E20" i="2"/>
  <c r="E45" i="2"/>
  <c r="E48" i="2" s="1"/>
  <c r="E33" i="2"/>
  <c r="E40" i="2" s="1"/>
  <c r="D20" i="2"/>
  <c r="N24" i="2" l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C16" i="2" l="1"/>
  <c r="E16" i="2"/>
  <c r="F24" i="2" s="1"/>
  <c r="E19" i="2"/>
  <c r="C19" i="2" l="1"/>
  <c r="D24" i="2"/>
  <c r="D16" i="2"/>
  <c r="D19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<sst xmlns="http://schemas.openxmlformats.org/spreadsheetml/2006/main" count="213" uniqueCount="196">
  <si>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</si>
  <si>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</si>
  <si>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</si>
  <si>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</si>
  <si>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</si>
  <si>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</si>
  <si>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</si>
  <si>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</si>
  <si>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</si>
  <si>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</si>
  <si>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</si>
  <si>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</si>
  <si>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</si>
  <si>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</si>
  <si>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</si>
  <si>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</si>
  <si>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</si>
  <si>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</si>
  <si>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EBITDA</t>
  </si>
  <si>
    <t>Income Tax</t>
  </si>
  <si>
    <t>Net Income</t>
  </si>
  <si>
    <t>EPS</t>
  </si>
  <si>
    <t>Operational Income</t>
  </si>
  <si>
    <t>Cash</t>
  </si>
  <si>
    <t>AR</t>
  </si>
  <si>
    <t>Other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</si>
  <si>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</si>
  <si>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</si>
  <si>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</si>
  <si>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</si>
  <si>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</si>
  <si>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</si>
  <si>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</si>
  <si>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</si>
  <si>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</si>
  <si>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</si>
  <si>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</si>
  <si>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</si>
  <si>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</si>
  <si>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</si>
  <si>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</si>
  <si>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</si>
  <si>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</si>
  <si>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</si>
  <si>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</si>
  <si>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</si>
  <si>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</si>
  <si>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</si>
  <si>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</si>
  <si>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</si>
  <si>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</si>
  <si>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</si>
  <si>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</si>
  <si>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</si>
  <si>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</si>
  <si>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</si>
  <si>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</si>
  <si>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</si>
  <si>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</si>
  <si>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</si>
  <si>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</si>
  <si>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</si>
  <si>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</si>
  <si>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</si>
  <si>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</si>
  <si>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</si>
  <si>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</si>
  <si>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</si>
  <si>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</si>
  <si>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</si>
  <si>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</si>
  <si>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</si>
  <si>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</si>
  <si>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</si>
  <si>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R&amp;D</t>
  </si>
  <si>
    <t>Notes</t>
  </si>
  <si>
    <t>Restricted Cash</t>
  </si>
  <si>
    <t>Prepaid Expense</t>
  </si>
  <si>
    <t>PP&amp;E</t>
  </si>
  <si>
    <t>Equity</t>
  </si>
  <si>
    <t>Rights of use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</si>
  <si>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</si>
  <si>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</si>
  <si>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</si>
  <si>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</si>
  <si>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</si>
  <si>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</si>
  <si>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</si>
  <si>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</si>
  <si>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</si>
  <si>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</si>
  <si>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</si>
  <si>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</si>
  <si>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</si>
  <si>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</si>
  <si>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</si>
  <si>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</si>
  <si>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</si>
  <si>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</si>
  <si>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</si>
  <si>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</si>
  <si>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</si>
  <si>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</si>
  <si>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</si>
  <si>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</si>
  <si>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</si>
  <si>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</si>
  <si>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</si>
  <si>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</si>
  <si>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</si>
  <si>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</si>
  <si>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</si>
  <si>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</si>
  <si>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</si>
  <si>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</si>
  <si>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</si>
  <si>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</si>
  <si>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</si>
  <si>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</si>
  <si>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</si>
  <si>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</si>
  <si>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</si>
  <si>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</si>
  <si>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</si>
  <si>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</si>
  <si>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</si>
  <si>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</si>
  <si>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</si>
  <si>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</si>
  <si>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</si>
  <si>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</si>
  <si>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</si>
  <si>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</si>
  <si>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</si>
  <si>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R&amp;D / REV</t>
  </si>
  <si>
    <t>G&amp;A / REV</t>
  </si>
  <si>
    <t>G&amp;A</t>
  </si>
  <si>
    <t>Summit Partners, L.P.</t>
  </si>
  <si>
    <t>74.21%</t>
  </si>
  <si>
    <t>Blackrock Inc.</t>
  </si>
  <si>
    <t>3.45%</t>
  </si>
  <si>
    <t>ClearBridge Investments, LLC</t>
  </si>
  <si>
    <t>3.38%</t>
  </si>
  <si>
    <t>Vanguard Group Inc</t>
  </si>
  <si>
    <t>3.27%</t>
  </si>
  <si>
    <t>Alliancebernstein L.P.</t>
  </si>
  <si>
    <t>2.94%</t>
  </si>
  <si>
    <t>JP Morgan Chase &amp; Company</t>
  </si>
  <si>
    <t>2.89%</t>
  </si>
  <si>
    <t>Goldman Sachs Group Inc</t>
  </si>
  <si>
    <t>2.29%</t>
  </si>
  <si>
    <t>Franklin Resources, Inc.</t>
  </si>
  <si>
    <t>2.15%</t>
  </si>
  <si>
    <t>Blue Owl Capital Holdings LP</t>
  </si>
  <si>
    <t>1.86%</t>
  </si>
  <si>
    <t>Capital Research Global Investors</t>
  </si>
  <si>
    <t>1.56%</t>
  </si>
  <si>
    <t>ROWLAND STEPHEN ERICPresident</t>
  </si>
  <si>
    <t>WEISMAN TONY G</t>
  </si>
  <si>
    <t>WHALEN, AMANDA</t>
  </si>
  <si>
    <t>CHAVES ALLEN</t>
  </si>
  <si>
    <t>ASTRAL CAPITAL ABEH, LLC</t>
  </si>
  <si>
    <t>ACCOMPLICE FUND I</t>
  </si>
  <si>
    <t>CERAN JENNIFER</t>
  </si>
  <si>
    <t>EDMOND LANDON</t>
  </si>
  <si>
    <t>Deferred contract aquisition</t>
  </si>
  <si>
    <t>Resticted Cash</t>
  </si>
  <si>
    <t>Prepaid Marketing</t>
  </si>
  <si>
    <t>Accrued Expense</t>
  </si>
  <si>
    <t>Lease liab</t>
  </si>
  <si>
    <t>Deferred revenue</t>
  </si>
  <si>
    <t>Customers</t>
  </si>
  <si>
    <t>Customers over 50k ARR</t>
  </si>
  <si>
    <t>Klaviyo AI = Segments AI, Email AI, Forms AI</t>
  </si>
  <si>
    <t>Other expense</t>
  </si>
  <si>
    <t>Interest income</t>
  </si>
  <si>
    <t>Mr. Andrew Bialecki</t>
  </si>
  <si>
    <t>Co-Founder, CEO &amp; Chairperson</t>
  </si>
  <si>
    <t>Mr. Edward Hallen</t>
  </si>
  <si>
    <t>Co-Founder, Chief Product Officer &amp; Director</t>
  </si>
  <si>
    <t>Ms. Amanda Whalen</t>
  </si>
  <si>
    <t>Chief Financial Officer</t>
  </si>
  <si>
    <t>Mr. Landon Edmond</t>
  </si>
  <si>
    <t>Chief Legal Officer, General Counsel &amp; Secretary</t>
  </si>
  <si>
    <t>Mr. Stephen Eric Rowland</t>
  </si>
  <si>
    <t>President</t>
  </si>
  <si>
    <t>Mr. Allen M. Chaves Jr.</t>
  </si>
  <si>
    <t>Chief Technology Officer</t>
  </si>
  <si>
    <t>Ms. Jamie Domenici</t>
  </si>
  <si>
    <t>Chief Marketing Officer</t>
  </si>
  <si>
    <t>Ms. Carmel M. Galvin</t>
  </si>
  <si>
    <t>Chief People Officer</t>
  </si>
  <si>
    <t>Mr. Mike McLaughlin</t>
  </si>
  <si>
    <t>Chief Customer Officer</t>
  </si>
  <si>
    <t>Ms. Kim Peretti</t>
  </si>
  <si>
    <t>Chief Customer Officer and Senior VP of Global Customer Success &amp;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</si>
</sst>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8" borderId="9" applyNumberFormat="0" applyAlignment="0" applyProtection="0"/>
  </cellStyleXfs>
  <cellXfs count="150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0" borderId="13" xfId="0" applyFont="1" applyFill="1" applyBorder="1"/>
    <xf numFmtId="0" fontId="11" fillId="10" borderId="14" xfId="0" applyFont="1" applyFill="1" applyBorder="1"/>
    <xf numFmtId="0" fontId="11" fillId="10" borderId="15" xfId="0" applyFont="1" applyFill="1" applyBorder="1"/>
    <xf numFmtId="0" fontId="11" fillId="10" borderId="16" xfId="0" applyFont="1" applyFill="1" applyBorder="1"/>
    <xf numFmtId="0" fontId="12" fillId="10" borderId="17" xfId="0" applyFont="1" applyFill="1" applyBorder="1" applyAlignment="1">
      <alignment horizontal="center"/>
    </xf>
    <xf numFmtId="0" fontId="12" fillId="10" borderId="18" xfId="0" applyFont="1" applyFill="1" applyBorder="1" applyAlignment="1">
      <alignment horizontal="center"/>
    </xf>
    <xf numFmtId="0" fontId="11" fillId="10" borderId="19" xfId="0" applyFont="1" applyFill="1" applyBorder="1"/>
    <xf numFmtId="0" fontId="11" fillId="10" borderId="20" xfId="0" applyFont="1" applyFill="1" applyBorder="1"/>
    <xf numFmtId="166" fontId="11" fillId="10" borderId="21" xfId="0" applyNumberFormat="1" applyFont="1" applyFill="1" applyBorder="1"/>
    <xf numFmtId="166" fontId="11" fillId="10" borderId="22" xfId="0" applyNumberFormat="1" applyFont="1" applyFill="1" applyBorder="1"/>
    <xf numFmtId="0" fontId="11" fillId="10" borderId="22" xfId="0" applyFont="1" applyFill="1" applyBorder="1"/>
    <xf numFmtId="10" fontId="11" fillId="10" borderId="22" xfId="0" applyNumberFormat="1" applyFont="1" applyFill="1" applyBorder="1"/>
    <xf numFmtId="10" fontId="11" fillId="10" borderId="23" xfId="0" applyNumberFormat="1" applyFont="1" applyFill="1" applyBorder="1"/>
    <xf numFmtId="166" fontId="11" fillId="10" borderId="24" xfId="0" applyNumberFormat="1" applyFont="1" applyFill="1" applyBorder="1"/>
    <xf numFmtId="166" fontId="11" fillId="10" borderId="25" xfId="0" applyNumberFormat="1" applyFont="1" applyFill="1" applyBorder="1"/>
    <xf numFmtId="0" fontId="11" fillId="10" borderId="25" xfId="0" applyFont="1" applyFill="1" applyBorder="1"/>
    <xf numFmtId="0" fontId="11" fillId="10" borderId="25" xfId="0" quotePrefix="1" applyFont="1" applyFill="1" applyBorder="1"/>
    <xf numFmtId="10" fontId="11" fillId="10" borderId="25" xfId="0" applyNumberFormat="1" applyFont="1" applyFill="1" applyBorder="1"/>
    <xf numFmtId="10" fontId="11" fillId="10" borderId="26" xfId="0" applyNumberFormat="1" applyFont="1" applyFill="1" applyBorder="1"/>
    <xf numFmtId="0" fontId="11" fillId="10" borderId="27" xfId="0" applyFont="1" applyFill="1" applyBorder="1"/>
    <xf numFmtId="0" fontId="11" fillId="10" borderId="28" xfId="0" applyFont="1" applyFill="1" applyBorder="1"/>
    <xf numFmtId="10" fontId="11" fillId="10" borderId="29" xfId="0" applyNumberFormat="1" applyFont="1" applyFill="1" applyBorder="1"/>
    <xf numFmtId="166" fontId="11" fillId="10" borderId="30" xfId="0" applyNumberFormat="1" applyFont="1" applyFill="1" applyBorder="1"/>
    <xf numFmtId="0" fontId="11" fillId="10" borderId="31" xfId="0" applyFont="1" applyFill="1" applyBorder="1"/>
    <xf numFmtId="166" fontId="11" fillId="10" borderId="34" xfId="0" applyNumberFormat="1" applyFont="1" applyFill="1" applyBorder="1"/>
    <xf numFmtId="166" fontId="11" fillId="10" borderId="13" xfId="0" applyNumberFormat="1" applyFont="1" applyFill="1" applyBorder="1"/>
    <xf numFmtId="0" fontId="0" fillId="10" borderId="35" xfId="0" applyFill="1" applyBorder="1"/>
    <xf numFmtId="166" fontId="11" fillId="10" borderId="36" xfId="0" applyNumberFormat="1" applyFont="1" applyFill="1" applyBorder="1"/>
    <xf numFmtId="166" fontId="11" fillId="10" borderId="37" xfId="0" applyNumberFormat="1" applyFont="1" applyFill="1" applyBorder="1"/>
    <xf numFmtId="0" fontId="13" fillId="10" borderId="22" xfId="0" applyFont="1" applyFill="1" applyBorder="1"/>
    <xf numFmtId="0" fontId="13" fillId="10" borderId="23" xfId="0" applyFont="1" applyFill="1" applyBorder="1"/>
    <xf numFmtId="166" fontId="13" fillId="10" borderId="24" xfId="0" applyNumberFormat="1" applyFont="1" applyFill="1" applyBorder="1"/>
    <xf numFmtId="166" fontId="13" fillId="10" borderId="30" xfId="0" applyNumberFormat="1" applyFont="1" applyFill="1" applyBorder="1"/>
    <xf numFmtId="10" fontId="11" fillId="10" borderId="28" xfId="0" applyNumberFormat="1" applyFont="1" applyFill="1" applyBorder="1"/>
    <xf numFmtId="0" fontId="11" fillId="10" borderId="0" xfId="0" applyFont="1" applyFill="1"/>
    <xf numFmtId="1" fontId="11" fillId="10" borderId="24" xfId="0" applyNumberFormat="1" applyFont="1" applyFill="1" applyBorder="1"/>
    <xf numFmtId="10" fontId="11" fillId="10" borderId="38" xfId="0" applyNumberFormat="1" applyFont="1" applyFill="1" applyBorder="1"/>
    <xf numFmtId="9" fontId="13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3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3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3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3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1" fillId="10" borderId="43" xfId="0" applyFont="1" applyFill="1" applyBorder="1"/>
    <xf numFmtId="9" fontId="13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8" borderId="23" xfId="3" applyNumberFormat="1" applyBorder="1"/>
    <xf numFmtId="0" fontId="13" fillId="0" borderId="27" xfId="0" applyFont="1" applyBorder="1"/>
    <xf numFmtId="9" fontId="9" fillId="8" borderId="29" xfId="3" applyNumberFormat="1" applyBorder="1"/>
    <xf numFmtId="0" fontId="11" fillId="0" borderId="0" xfId="0" applyFont="1"/>
    <xf numFmtId="2" fontId="9" fillId="8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0" borderId="31" xfId="0" applyNumberFormat="1" applyFont="1" applyFill="1" applyBorder="1"/>
    <xf numFmtId="2" fontId="11" fillId="10" borderId="31" xfId="0" applyNumberFormat="1" applyFont="1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166" fontId="11" fillId="10" borderId="32" xfId="0" applyNumberFormat="1" applyFont="1" applyFill="1" applyBorder="1" applyAlignment="1">
      <alignment horizontal="center"/>
    </xf>
    <xf numFmtId="166" fontId="11" fillId="10" borderId="44" xfId="0" applyNumberFormat="1" applyFont="1" applyFill="1" applyBorder="1" applyAlignment="1">
      <alignment horizontal="center"/>
    </xf>
    <xf numFmtId="166" fontId="11" fillId="10" borderId="33" xfId="0" applyNumberFormat="1" applyFont="1" applyFill="1" applyBorder="1" applyAlignment="1">
      <alignment horizontal="center"/>
    </xf>
    <xf numFmtId="166" fontId="11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0" xfId="0" applyFont="1"/>
    <xf numFmtId="3" fontId="0" fillId="0" borderId="0" xfId="0" applyNumberFormat="1" applyFont="1"/>
    <xf numFmtId="3" fontId="0" fillId="0" borderId="2" xfId="0" applyNumberFormat="1" applyFont="1" applyBorder="1"/>
    <xf numFmtId="3" fontId="0" fillId="0" borderId="0" xfId="0" applyNumberFormat="1" applyFont="1" applyBorder="1"/>
    <xf numFmtId="3" fontId="0" fillId="0" borderId="0" xfId="0" applyNumberFormat="1" applyBorder="1"/>
    <xf numFmtId="3" fontId="2" fillId="0" borderId="0" xfId="0" applyNumberFormat="1" applyFont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Model!$J$2:$V$2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Model!$J$3:$V$3</c:f>
              <c:numCache>
                <c:formatCode>#,##0</c:formatCode>
                <c:ptCount val="13"/>
                <c:pt idx="6">
                  <c:v>119.16800000000001</c:v>
                </c:pt>
                <c:pt idx="7">
                  <c:v>145.23500000000001</c:v>
                </c:pt>
                <c:pt idx="10">
                  <c:v>175.80699999999999</c:v>
                </c:pt>
                <c:pt idx="11">
                  <c:v>201.61799999999999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Model!$B$20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Model!$J$20:$V$20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0.47528698979591821</c:v>
                </c:pt>
                <c:pt idx="11">
                  <c:v>0.38821909319378922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</c:strCache>
            </c:strRef>
          </c:cat>
          <c:val>
            <c:numRef>
              <c:f>Model!$C$3:$F$3</c:f>
              <c:numCache>
                <c:formatCode>#,##0</c:formatCode>
                <c:ptCount val="4"/>
                <c:pt idx="0">
                  <c:v>290.64</c:v>
                </c:pt>
                <c:pt idx="1">
                  <c:v>472.74799999999999</c:v>
                </c:pt>
                <c:pt idx="2">
                  <c:v>698.09900000000005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Model!$B$20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Model!$C$20:$F$20</c:f>
              <c:numCache>
                <c:formatCode>0%</c:formatCode>
                <c:ptCount val="4"/>
                <c:pt idx="1">
                  <c:v>0.6265758326451969</c:v>
                </c:pt>
                <c:pt idx="2">
                  <c:v>0.47668313773934545</c:v>
                </c:pt>
                <c:pt idx="3">
                  <c:v>0.27941738922416426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Model!$J$2:$V$2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Model!$J$14:$V$14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-23.873000000000012</c:v>
                </c:pt>
                <c:pt idx="7">
                  <c:v>-0.7549999999999979</c:v>
                </c:pt>
                <c:pt idx="8">
                  <c:v>0</c:v>
                </c:pt>
                <c:pt idx="9">
                  <c:v>0</c:v>
                </c:pt>
                <c:pt idx="10">
                  <c:v>-296.57400000000013</c:v>
                </c:pt>
                <c:pt idx="11">
                  <c:v>-26.295000000000009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Model!$B$18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Model!$J$18:$V$18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0.72627718850698175</c:v>
                </c:pt>
                <c:pt idx="7">
                  <c:v>0.74296140737425553</c:v>
                </c:pt>
                <c:pt idx="8">
                  <c:v>0</c:v>
                </c:pt>
                <c:pt idx="9">
                  <c:v>0</c:v>
                </c:pt>
                <c:pt idx="10">
                  <c:v>0.66540012627483547</c:v>
                </c:pt>
                <c:pt idx="11">
                  <c:v>0.77674116398337456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</c:strCache>
            </c:strRef>
          </c:cat>
          <c:val>
            <c:numRef>
              <c:f>Model!$C$14:$F$14</c:f>
              <c:numCache>
                <c:formatCode>#,##0</c:formatCode>
                <c:ptCount val="4"/>
                <c:pt idx="0">
                  <c:v>-79.385000000000005</c:v>
                </c:pt>
                <c:pt idx="1">
                  <c:v>-49.193000000000112</c:v>
                </c:pt>
                <c:pt idx="2">
                  <c:v>-308.23299999999995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Model!$B$24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Model!$C$24:$F$24</c:f>
              <c:numCache>
                <c:formatCode>0%</c:formatCode>
                <c:ptCount val="4"/>
                <c:pt idx="1">
                  <c:v>-0.38032373874157455</c:v>
                </c:pt>
                <c:pt idx="2">
                  <c:v>5.2657898481491117</c:v>
                </c:pt>
                <c:pt idx="3">
                  <c:v>-1.3546024351707961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Model!$B$21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Model!$J$2:$T$2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Model!$J$21:$T$21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0.51592709452201935</c:v>
                </c:pt>
                <c:pt idx="7">
                  <c:v>0.41620132888077943</c:v>
                </c:pt>
                <c:pt idx="8">
                  <c:v>0</c:v>
                </c:pt>
                <c:pt idx="9">
                  <c:v>0</c:v>
                </c:pt>
                <c:pt idx="10">
                  <c:v>0.95489371868014372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Model!$B$22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Model!$J$22:$U$22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0.25250067132116005</c:v>
                </c:pt>
                <c:pt idx="7">
                  <c:v>0.19769339346576237</c:v>
                </c:pt>
                <c:pt idx="8">
                  <c:v>0</c:v>
                </c:pt>
                <c:pt idx="9">
                  <c:v>0</c:v>
                </c:pt>
                <c:pt idx="10">
                  <c:v>0.80460391224467753</c:v>
                </c:pt>
                <c:pt idx="11">
                  <c:v>0.26106300032735175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B-4D0E-BB13-0DF10F50CA28}"/>
            </c:ext>
          </c:extLst>
        </c:ser>
        <c:ser>
          <c:idx val="2"/>
          <c:order val="2"/>
          <c:tx>
            <c:strRef>
              <c:f>Model!$B$23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Model!$J$23:$U$23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0.17320085929108486</c:v>
                </c:pt>
                <c:pt idx="7">
                  <c:v>0.15713843081901743</c:v>
                </c:pt>
                <c:pt idx="8">
                  <c:v>0</c:v>
                </c:pt>
                <c:pt idx="9">
                  <c:v>0</c:v>
                </c:pt>
                <c:pt idx="10">
                  <c:v>0.62484997753218019</c:v>
                </c:pt>
                <c:pt idx="11">
                  <c:v>0.18736422343243164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B-4D0E-BB13-0DF10F50CA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45404</c:v>
                </c:pt>
                <c:pt idx="1">
                  <c:v>45397</c:v>
                </c:pt>
                <c:pt idx="2">
                  <c:v>45390</c:v>
                </c:pt>
                <c:pt idx="3">
                  <c:v>45383</c:v>
                </c:pt>
                <c:pt idx="4">
                  <c:v>45376</c:v>
                </c:pt>
                <c:pt idx="5">
                  <c:v>45369</c:v>
                </c:pt>
                <c:pt idx="6">
                  <c:v>45362</c:v>
                </c:pt>
                <c:pt idx="7">
                  <c:v>45355</c:v>
                </c:pt>
                <c:pt idx="8">
                  <c:v>45348</c:v>
                </c:pt>
                <c:pt idx="9">
                  <c:v>45341</c:v>
                </c:pt>
                <c:pt idx="10">
                  <c:v>45334</c:v>
                </c:pt>
                <c:pt idx="11">
                  <c:v>45327</c:v>
                </c:pt>
                <c:pt idx="12">
                  <c:v>45320</c:v>
                </c:pt>
                <c:pt idx="13">
                  <c:v>45313</c:v>
                </c:pt>
                <c:pt idx="14">
                  <c:v>45306</c:v>
                </c:pt>
                <c:pt idx="15">
                  <c:v>45299</c:v>
                </c:pt>
                <c:pt idx="16">
                  <c:v>45292</c:v>
                </c:pt>
                <c:pt idx="17">
                  <c:v>45285</c:v>
                </c:pt>
                <c:pt idx="18">
                  <c:v>45278</c:v>
                </c:pt>
                <c:pt idx="19">
                  <c:v>45271</c:v>
                </c:pt>
                <c:pt idx="20">
                  <c:v>45264</c:v>
                </c:pt>
                <c:pt idx="21">
                  <c:v>45257</c:v>
                </c:pt>
                <c:pt idx="22">
                  <c:v>45250</c:v>
                </c:pt>
                <c:pt idx="23">
                  <c:v>45243</c:v>
                </c:pt>
                <c:pt idx="24">
                  <c:v>45236</c:v>
                </c:pt>
                <c:pt idx="25">
                  <c:v>45229</c:v>
                </c:pt>
                <c:pt idx="26">
                  <c:v>45222</c:v>
                </c:pt>
                <c:pt idx="27">
                  <c:v>45215</c:v>
                </c:pt>
                <c:pt idx="28">
                  <c:v>45208</c:v>
                </c:pt>
                <c:pt idx="29">
                  <c:v>45201</c:v>
                </c:pt>
                <c:pt idx="30">
                  <c:v>45194</c:v>
                </c:pt>
                <c:pt idx="31">
                  <c:v>45187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22.934999000000001</c:v>
                </c:pt>
                <c:pt idx="1">
                  <c:v>22.73</c:v>
                </c:pt>
                <c:pt idx="2">
                  <c:v>23.76</c:v>
                </c:pt>
                <c:pt idx="3">
                  <c:v>24.18</c:v>
                </c:pt>
                <c:pt idx="4">
                  <c:v>25.48</c:v>
                </c:pt>
                <c:pt idx="5">
                  <c:v>26.030000999999999</c:v>
                </c:pt>
                <c:pt idx="6">
                  <c:v>23.73</c:v>
                </c:pt>
                <c:pt idx="7">
                  <c:v>25.219999000000001</c:v>
                </c:pt>
                <c:pt idx="8">
                  <c:v>27.799999</c:v>
                </c:pt>
                <c:pt idx="9">
                  <c:v>28.59</c:v>
                </c:pt>
                <c:pt idx="10">
                  <c:v>29.9</c:v>
                </c:pt>
                <c:pt idx="11">
                  <c:v>30.27</c:v>
                </c:pt>
                <c:pt idx="12">
                  <c:v>27.68</c:v>
                </c:pt>
                <c:pt idx="13">
                  <c:v>24.67</c:v>
                </c:pt>
                <c:pt idx="14">
                  <c:v>25.26</c:v>
                </c:pt>
                <c:pt idx="15">
                  <c:v>26.190000999999999</c:v>
                </c:pt>
                <c:pt idx="16">
                  <c:v>26.32</c:v>
                </c:pt>
                <c:pt idx="17">
                  <c:v>27.780000999999999</c:v>
                </c:pt>
                <c:pt idx="18">
                  <c:v>29.059999000000001</c:v>
                </c:pt>
                <c:pt idx="19">
                  <c:v>28.629999000000002</c:v>
                </c:pt>
                <c:pt idx="20">
                  <c:v>29.879999000000002</c:v>
                </c:pt>
                <c:pt idx="21">
                  <c:v>31.620000999999998</c:v>
                </c:pt>
                <c:pt idx="22">
                  <c:v>28.549999</c:v>
                </c:pt>
                <c:pt idx="23">
                  <c:v>27.530000999999999</c:v>
                </c:pt>
                <c:pt idx="24">
                  <c:v>25.299999</c:v>
                </c:pt>
                <c:pt idx="25">
                  <c:v>31.49</c:v>
                </c:pt>
                <c:pt idx="26">
                  <c:v>26.99</c:v>
                </c:pt>
                <c:pt idx="27">
                  <c:v>29.01</c:v>
                </c:pt>
                <c:pt idx="28">
                  <c:v>31.530000999999999</c:v>
                </c:pt>
                <c:pt idx="29">
                  <c:v>32.619999</c:v>
                </c:pt>
                <c:pt idx="30">
                  <c:v>34.5</c:v>
                </c:pt>
                <c:pt idx="31">
                  <c:v>33.389999000000003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-23,23%</c:v>
                </c:pt>
                <c:pt idx="1">
                  <c:v>-23,23% to -18,77%</c:v>
                </c:pt>
                <c:pt idx="2">
                  <c:v>-18,77% to -14,31%</c:v>
                </c:pt>
                <c:pt idx="3">
                  <c:v>-14,31% to -9,85%</c:v>
                </c:pt>
                <c:pt idx="4">
                  <c:v>-9,85% to -5,40%</c:v>
                </c:pt>
                <c:pt idx="5">
                  <c:v>-5,40% to -0,94%</c:v>
                </c:pt>
                <c:pt idx="6">
                  <c:v>-0,94% to 3,52%</c:v>
                </c:pt>
                <c:pt idx="7">
                  <c:v>3,52% to 7,98%</c:v>
                </c:pt>
                <c:pt idx="8">
                  <c:v>7,98% to 12,44%</c:v>
                </c:pt>
                <c:pt idx="9">
                  <c:v>12,44% to 16,90%</c:v>
                </c:pt>
                <c:pt idx="10">
                  <c:v>16,90% to 21,36%</c:v>
                </c:pt>
                <c:pt idx="11">
                  <c:v>Greater than 21,36%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13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tabSelected="1" workbookViewId="0">
      <selection activeCell="H39" sqref="H39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49</v>
      </c>
      <c r="F2" s="61" t="s">
        <v>50</v>
      </c>
      <c r="G2" s="25"/>
      <c r="H2" s="26" t="s">
        <v>57</v>
      </c>
      <c r="I2" s="26" t="s">
        <v>1</v>
      </c>
      <c r="J2" s="27" t="s">
        <v>50</v>
      </c>
      <c r="L2" s="30" t="s">
        <v>43</v>
      </c>
      <c r="M2" s="31" t="s">
        <v>59</v>
      </c>
      <c r="N2" s="32" t="s">
        <v>58</v>
      </c>
    </row>
    <row r="3" spans="2:14" x14ac:dyDescent="0.25">
      <c r="B3" s="5" t="s">
        <v>42</v>
      </c>
      <c r="C3" s="20">
        <v>45404</v>
      </c>
      <c r="E3" s="5" t="s">
        <v>137</v>
      </c>
      <c r="F3" s="28" t="s">
        <v>138</v>
      </c>
      <c r="H3" t="s">
        <v>162</v>
      </c>
      <c r="I3" s="10"/>
      <c r="J3" s="39"/>
      <c r="L3" s="5" t="s">
        <v>176</v>
      </c>
      <c r="M3" t="s">
        <v>177</v>
      </c>
      <c r="N3" s="38"/>
    </row>
    <row r="4" spans="2:14" x14ac:dyDescent="0.25">
      <c r="B4" s="5"/>
      <c r="C4" s="21">
        <v>0.81874999999999998</v>
      </c>
      <c r="E4" s="5" t="s">
        <v>139</v>
      </c>
      <c r="F4" s="28" t="s">
        <v>140</v>
      </c>
      <c r="H4" t="s">
        <v>161</v>
      </c>
      <c r="I4" s="10"/>
      <c r="J4" s="39"/>
      <c r="L4" s="5" t="s">
        <v>178</v>
      </c>
      <c r="M4" t="s">
        <v>179</v>
      </c>
      <c r="N4" s="13"/>
    </row>
    <row r="5" spans="2:14" x14ac:dyDescent="0.25">
      <c r="B5" s="5"/>
      <c r="C5" s="13"/>
      <c r="E5" s="5" t="s">
        <v>141</v>
      </c>
      <c r="F5" s="28" t="s">
        <v>142</v>
      </c>
      <c r="H5" t="s">
        <v>163</v>
      </c>
      <c r="I5" s="10"/>
      <c r="J5" s="39"/>
      <c r="L5" s="5" t="s">
        <v>180</v>
      </c>
      <c r="M5" t="s">
        <v>181</v>
      </c>
      <c r="N5" s="13"/>
    </row>
    <row r="6" spans="2:14" x14ac:dyDescent="0.25">
      <c r="B6" s="5" t="s">
        <v>0</v>
      </c>
      <c r="C6" s="13">
        <v>22.93</v>
      </c>
      <c r="E6" s="5" t="s">
        <v>143</v>
      </c>
      <c r="F6" s="28" t="s">
        <v>144</v>
      </c>
      <c r="H6" t="s">
        <v>160</v>
      </c>
      <c r="I6" s="10"/>
      <c r="J6" s="39"/>
      <c r="L6" s="5" t="s">
        <v>182</v>
      </c>
      <c r="M6" t="s">
        <v>183</v>
      </c>
      <c r="N6" s="13"/>
    </row>
    <row r="7" spans="2:14" x14ac:dyDescent="0.25">
      <c r="B7" s="5" t="s">
        <v>1</v>
      </c>
      <c r="C7" s="15">
        <f>Model!E15</f>
        <v>242.88927200000001</v>
      </c>
      <c r="E7" s="5" t="s">
        <v>145</v>
      </c>
      <c r="F7" s="28" t="s">
        <v>146</v>
      </c>
      <c r="H7" t="s">
        <v>164</v>
      </c>
      <c r="I7" s="10">
        <v>275083</v>
      </c>
      <c r="J7" s="39"/>
      <c r="L7" s="5" t="s">
        <v>184</v>
      </c>
      <c r="M7" t="s">
        <v>185</v>
      </c>
      <c r="N7" s="13"/>
    </row>
    <row r="8" spans="2:14" x14ac:dyDescent="0.25">
      <c r="B8" s="5" t="s">
        <v>2</v>
      </c>
      <c r="C8" s="15">
        <f>C6*C7</f>
        <v>5569.4510069600001</v>
      </c>
      <c r="E8" s="5" t="s">
        <v>147</v>
      </c>
      <c r="F8" s="28" t="s">
        <v>148</v>
      </c>
      <c r="H8" t="s">
        <v>157</v>
      </c>
      <c r="I8" s="10">
        <v>203918</v>
      </c>
      <c r="J8" s="39"/>
      <c r="L8" s="5" t="s">
        <v>186</v>
      </c>
      <c r="M8" t="s">
        <v>187</v>
      </c>
      <c r="N8" s="13"/>
    </row>
    <row r="9" spans="2:14" x14ac:dyDescent="0.25">
      <c r="B9" s="5" t="s">
        <v>3</v>
      </c>
      <c r="C9" s="15">
        <f>Model!U28</f>
        <v>738.56200000000001</v>
      </c>
      <c r="E9" s="5" t="s">
        <v>149</v>
      </c>
      <c r="F9" s="28" t="s">
        <v>150</v>
      </c>
      <c r="H9" t="s">
        <v>158</v>
      </c>
      <c r="I9" s="10"/>
      <c r="J9" s="39"/>
      <c r="L9" s="5" t="s">
        <v>188</v>
      </c>
      <c r="M9" t="s">
        <v>189</v>
      </c>
      <c r="N9" s="13"/>
    </row>
    <row r="10" spans="2:14" x14ac:dyDescent="0.25">
      <c r="B10" s="5" t="s">
        <v>4</v>
      </c>
      <c r="C10" s="15">
        <v>0</v>
      </c>
      <c r="E10" s="5" t="s">
        <v>151</v>
      </c>
      <c r="F10" s="28" t="s">
        <v>152</v>
      </c>
      <c r="H10" t="s">
        <v>159</v>
      </c>
      <c r="I10" s="10">
        <v>467173</v>
      </c>
      <c r="J10" s="39"/>
      <c r="L10" s="5" t="s">
        <v>190</v>
      </c>
      <c r="M10" t="s">
        <v>191</v>
      </c>
      <c r="N10" s="13"/>
    </row>
    <row r="11" spans="2:14" x14ac:dyDescent="0.25">
      <c r="B11" s="5" t="s">
        <v>37</v>
      </c>
      <c r="C11" s="15">
        <f>C9-C10</f>
        <v>738.56200000000001</v>
      </c>
      <c r="E11" s="5" t="s">
        <v>153</v>
      </c>
      <c r="F11" s="28" t="s">
        <v>154</v>
      </c>
      <c r="J11" s="39"/>
      <c r="L11" s="5" t="s">
        <v>192</v>
      </c>
      <c r="M11" t="s">
        <v>193</v>
      </c>
      <c r="N11" s="13"/>
    </row>
    <row r="12" spans="2:14" x14ac:dyDescent="0.25">
      <c r="B12" s="5" t="s">
        <v>5</v>
      </c>
      <c r="C12" s="15">
        <f>C8-C9+C10</f>
        <v>4830.8890069600002</v>
      </c>
      <c r="E12" s="5" t="s">
        <v>155</v>
      </c>
      <c r="F12" s="28" t="s">
        <v>156</v>
      </c>
      <c r="J12" s="13"/>
      <c r="L12" s="5" t="s">
        <v>194</v>
      </c>
      <c r="M12" t="s">
        <v>195</v>
      </c>
      <c r="N12" s="13"/>
    </row>
    <row r="13" spans="2:14" x14ac:dyDescent="0.25">
      <c r="B13" s="5" t="s">
        <v>48</v>
      </c>
      <c r="C13" s="36">
        <f>C6/Model!E16</f>
        <v>-18.068964085480793</v>
      </c>
      <c r="E13" s="5"/>
      <c r="J13" s="13"/>
      <c r="L13" s="5"/>
      <c r="N13" s="13"/>
    </row>
    <row r="14" spans="2:14" x14ac:dyDescent="0.25">
      <c r="B14" s="5" t="s">
        <v>46</v>
      </c>
      <c r="C14" s="36">
        <f>C6/Model!F17</f>
        <v>50.955555555555556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47</v>
      </c>
      <c r="C15" s="36">
        <f>C6/Model!G17</f>
        <v>40.228070175438603</v>
      </c>
    </row>
    <row r="16" spans="2:14" x14ac:dyDescent="0.25">
      <c r="B16" s="5" t="s">
        <v>44</v>
      </c>
      <c r="C16" s="6">
        <v>1</v>
      </c>
    </row>
    <row r="17" spans="2:14" x14ac:dyDescent="0.25">
      <c r="B17" s="5" t="s">
        <v>45</v>
      </c>
      <c r="C17" s="6">
        <f>Model!G17/Model!F17-1</f>
        <v>0.26666666666666661</v>
      </c>
      <c r="E17" s="33" t="s">
        <v>55</v>
      </c>
      <c r="L17" s="125"/>
      <c r="M17" s="126"/>
      <c r="N17" s="127"/>
    </row>
    <row r="18" spans="2:14" x14ac:dyDescent="0.25">
      <c r="B18" s="5" t="s">
        <v>70</v>
      </c>
      <c r="C18" s="53">
        <f>C14/(C16*100)</f>
        <v>0.50955555555555554</v>
      </c>
      <c r="L18" s="128"/>
      <c r="M18" s="129"/>
      <c r="N18" s="130"/>
    </row>
    <row r="19" spans="2:14" x14ac:dyDescent="0.25">
      <c r="B19" s="5" t="s">
        <v>71</v>
      </c>
      <c r="C19" s="53">
        <f>C15/(C17*100)</f>
        <v>1.5085526315789479</v>
      </c>
      <c r="L19" s="128"/>
      <c r="M19" s="129"/>
      <c r="N19" s="130"/>
    </row>
    <row r="20" spans="2:14" x14ac:dyDescent="0.25">
      <c r="B20" s="5" t="s">
        <v>82</v>
      </c>
      <c r="C20" s="6">
        <f>Model!F4/Model!E3-1</f>
        <v>0.27941738922416426</v>
      </c>
      <c r="L20" s="128"/>
      <c r="M20" s="129"/>
      <c r="N20" s="130"/>
    </row>
    <row r="21" spans="2:14" x14ac:dyDescent="0.25">
      <c r="B21" s="5" t="s">
        <v>83</v>
      </c>
      <c r="C21" s="6">
        <f>Model!G4/Model!F4-1</f>
        <v>0.25397465179811007</v>
      </c>
      <c r="L21" s="128"/>
      <c r="M21" s="129"/>
      <c r="N21" s="130"/>
    </row>
    <row r="22" spans="2:14" x14ac:dyDescent="0.25">
      <c r="B22" s="5" t="s">
        <v>72</v>
      </c>
      <c r="C22" s="15">
        <f>Model!E9+Model!E10</f>
        <v>-331.09199999999998</v>
      </c>
      <c r="L22" s="128"/>
      <c r="M22" s="129"/>
      <c r="N22" s="130"/>
    </row>
    <row r="23" spans="2:14" x14ac:dyDescent="0.25">
      <c r="B23" s="5" t="s">
        <v>18</v>
      </c>
      <c r="C23" s="15">
        <f>Model!E12</f>
        <v>-307.04099999999994</v>
      </c>
      <c r="L23" s="128"/>
      <c r="M23" s="129"/>
      <c r="N23" s="130"/>
    </row>
    <row r="24" spans="2:14" x14ac:dyDescent="0.25">
      <c r="B24" s="5" t="s">
        <v>30</v>
      </c>
      <c r="C24" s="7">
        <f>Model!E18</f>
        <v>0.7451822735743785</v>
      </c>
      <c r="L24" s="128"/>
      <c r="M24" s="129"/>
      <c r="N24" s="130"/>
    </row>
    <row r="25" spans="2:14" x14ac:dyDescent="0.25">
      <c r="B25" s="5" t="s">
        <v>31</v>
      </c>
      <c r="C25" s="7">
        <f>Model!E19</f>
        <v>-0.44153193171742106</v>
      </c>
      <c r="L25" s="128"/>
      <c r="M25" s="129"/>
      <c r="N25" s="130"/>
    </row>
    <row r="26" spans="2:14" x14ac:dyDescent="0.25">
      <c r="B26" s="5" t="s">
        <v>73</v>
      </c>
      <c r="C26" s="36">
        <f>C12/C23</f>
        <v>-15.733693568481087</v>
      </c>
      <c r="L26" s="128"/>
      <c r="M26" s="129"/>
      <c r="N26" s="130"/>
    </row>
    <row r="27" spans="2:14" x14ac:dyDescent="0.25">
      <c r="B27" s="5" t="s">
        <v>84</v>
      </c>
      <c r="C27" s="121">
        <v>0</v>
      </c>
      <c r="E27" t="s">
        <v>75</v>
      </c>
      <c r="L27" s="128"/>
      <c r="M27" s="129"/>
      <c r="N27" s="130"/>
    </row>
    <row r="28" spans="2:14" x14ac:dyDescent="0.25">
      <c r="B28" s="5" t="s">
        <v>85</v>
      </c>
      <c r="C28" s="36">
        <v>0</v>
      </c>
      <c r="E28" t="s">
        <v>173</v>
      </c>
      <c r="L28" s="131"/>
      <c r="M28" s="132"/>
      <c r="N28" s="133"/>
    </row>
    <row r="29" spans="2:14" x14ac:dyDescent="0.25">
      <c r="B29" s="5" t="s">
        <v>86</v>
      </c>
      <c r="C29" s="36">
        <f>Model!E33/Model!E45</f>
        <v>6.1515357995957611</v>
      </c>
    </row>
    <row r="30" spans="2:14" x14ac:dyDescent="0.25">
      <c r="B30" s="5" t="s">
        <v>87</v>
      </c>
      <c r="C30" s="36">
        <f>(Model!E28+Model!E29+Model!E30)/Model!E45</f>
        <v>5.8342546089299931</v>
      </c>
    </row>
    <row r="31" spans="2:14" x14ac:dyDescent="0.25">
      <c r="B31" s="5" t="s">
        <v>88</v>
      </c>
      <c r="C31" s="6"/>
    </row>
    <row r="32" spans="2:14" x14ac:dyDescent="0.25">
      <c r="B32" s="5" t="s">
        <v>89</v>
      </c>
      <c r="C32" s="36">
        <f>(Model!O27-Model!O35)/Main!C7</f>
        <v>0</v>
      </c>
    </row>
    <row r="33" spans="2:3" x14ac:dyDescent="0.25">
      <c r="B33" s="5" t="s">
        <v>90</v>
      </c>
      <c r="C33" s="36"/>
    </row>
    <row r="34" spans="2:3" x14ac:dyDescent="0.25">
      <c r="B34" s="5" t="s">
        <v>91</v>
      </c>
      <c r="C34" s="39">
        <f>Model!E14/Model!E40</f>
        <v>-0.28302924567283411</v>
      </c>
    </row>
    <row r="35" spans="2:3" x14ac:dyDescent="0.25">
      <c r="B35" s="5" t="s">
        <v>92</v>
      </c>
      <c r="C35" s="39">
        <f>Model!E14/Model!E49</f>
        <v>-0.3369487864255441</v>
      </c>
    </row>
    <row r="36" spans="2:3" x14ac:dyDescent="0.25">
      <c r="B36" s="22" t="s">
        <v>93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W70"/>
  <sheetViews>
    <sheetView zoomScaleNormal="100" workbookViewId="0">
      <pane xSplit="2" ySplit="2" topLeftCell="C15" activePane="bottomRight" state="frozen"/>
      <selection pane="topRight" activeCell="B1" sqref="B1"/>
      <selection pane="bottomLeft" activeCell="A3" sqref="A3"/>
      <selection pane="bottomRight" activeCell="V25" sqref="V25"/>
    </sheetView>
  </sheetViews>
  <sheetFormatPr defaultColWidth="11.42578125" defaultRowHeight="15" x14ac:dyDescent="0.25"/>
  <cols>
    <col min="1" max="1" width="4.7109375" customWidth="1"/>
    <col min="2" max="2" width="27.28515625" customWidth="1"/>
    <col min="5" max="5" width="11.42578125" style="13"/>
    <col min="21" max="21" width="11.42578125" style="13"/>
  </cols>
  <sheetData>
    <row r="1" spans="1:23" x14ac:dyDescent="0.25">
      <c r="A1" s="8" t="s">
        <v>38</v>
      </c>
    </row>
    <row r="2" spans="1:23" x14ac:dyDescent="0.25">
      <c r="C2" t="s">
        <v>14</v>
      </c>
      <c r="D2" t="s">
        <v>15</v>
      </c>
      <c r="E2" s="13" t="s">
        <v>16</v>
      </c>
      <c r="F2" t="s">
        <v>33</v>
      </c>
      <c r="G2" t="s">
        <v>69</v>
      </c>
      <c r="J2" t="s">
        <v>34</v>
      </c>
      <c r="K2" t="s">
        <v>10</v>
      </c>
      <c r="L2" t="s">
        <v>11</v>
      </c>
      <c r="M2" t="s">
        <v>12</v>
      </c>
      <c r="N2" t="s">
        <v>13</v>
      </c>
      <c r="O2" t="s">
        <v>6</v>
      </c>
      <c r="P2" t="s">
        <v>7</v>
      </c>
      <c r="Q2" t="s">
        <v>8</v>
      </c>
      <c r="R2" t="s">
        <v>9</v>
      </c>
      <c r="S2" t="s">
        <v>36</v>
      </c>
      <c r="T2" t="s">
        <v>40</v>
      </c>
      <c r="U2" s="13" t="s">
        <v>41</v>
      </c>
      <c r="V2" t="s">
        <v>64</v>
      </c>
      <c r="W2" t="s">
        <v>68</v>
      </c>
    </row>
    <row r="3" spans="1:23" s="1" customFormat="1" x14ac:dyDescent="0.25">
      <c r="B3" s="144" t="s">
        <v>17</v>
      </c>
      <c r="C3" s="145">
        <v>290.64</v>
      </c>
      <c r="D3" s="147">
        <v>472.74799999999999</v>
      </c>
      <c r="E3" s="146">
        <v>698.09900000000005</v>
      </c>
      <c r="F3" s="44"/>
      <c r="G3" s="44"/>
      <c r="J3" s="11"/>
      <c r="K3" s="11"/>
      <c r="L3" s="11"/>
      <c r="M3" s="11"/>
      <c r="N3" s="11"/>
      <c r="O3" s="11"/>
      <c r="P3" s="145">
        <v>119.16800000000001</v>
      </c>
      <c r="Q3" s="145">
        <v>145.23500000000001</v>
      </c>
      <c r="R3" s="145"/>
      <c r="S3" s="145"/>
      <c r="T3" s="145">
        <v>175.80699999999999</v>
      </c>
      <c r="U3" s="146">
        <v>201.61799999999999</v>
      </c>
      <c r="V3" s="11"/>
    </row>
    <row r="4" spans="1:23" x14ac:dyDescent="0.25">
      <c r="B4" s="9" t="s">
        <v>66</v>
      </c>
      <c r="C4" s="10"/>
      <c r="D4" s="148"/>
      <c r="E4" s="15"/>
      <c r="F4" s="43">
        <v>893.16</v>
      </c>
      <c r="G4" s="43">
        <v>1120</v>
      </c>
      <c r="J4" s="41"/>
      <c r="K4" s="41"/>
      <c r="L4" s="41"/>
      <c r="M4" s="41"/>
      <c r="N4" s="41"/>
      <c r="O4" s="41"/>
      <c r="P4" s="41"/>
      <c r="Q4" s="10"/>
      <c r="R4" s="41"/>
      <c r="S4" s="41"/>
      <c r="T4" s="41"/>
      <c r="U4" s="15"/>
      <c r="V4" s="10">
        <v>202.21</v>
      </c>
      <c r="W4" s="41">
        <v>209.99</v>
      </c>
    </row>
    <row r="5" spans="1:23" s="1" customFormat="1" x14ac:dyDescent="0.25">
      <c r="B5" s="144" t="s">
        <v>60</v>
      </c>
      <c r="C5" s="145">
        <v>84.695999999999998</v>
      </c>
      <c r="D5" s="147">
        <v>128.02500000000001</v>
      </c>
      <c r="E5" s="146">
        <v>177.88800000000001</v>
      </c>
      <c r="F5" s="145"/>
      <c r="G5" s="145"/>
      <c r="J5" s="11"/>
      <c r="K5" s="11"/>
      <c r="L5" s="11"/>
      <c r="M5" s="11"/>
      <c r="N5" s="11"/>
      <c r="O5" s="11"/>
      <c r="P5" s="145">
        <v>32.619</v>
      </c>
      <c r="Q5" s="145">
        <v>37.331000000000003</v>
      </c>
      <c r="R5" s="145"/>
      <c r="S5" s="145"/>
      <c r="T5" s="145">
        <v>58.825000000000003</v>
      </c>
      <c r="U5" s="146">
        <v>45.012999999999998</v>
      </c>
      <c r="V5" s="11"/>
      <c r="W5" s="11"/>
    </row>
    <row r="6" spans="1:23" x14ac:dyDescent="0.25">
      <c r="B6" t="s">
        <v>61</v>
      </c>
      <c r="C6" s="10">
        <v>156.34200000000001</v>
      </c>
      <c r="D6" s="148">
        <v>213.84800000000001</v>
      </c>
      <c r="E6" s="15">
        <v>394.36900000000003</v>
      </c>
      <c r="F6" s="41"/>
      <c r="G6" s="41"/>
      <c r="J6" s="10"/>
      <c r="K6" s="10"/>
      <c r="L6" s="10"/>
      <c r="M6" s="10"/>
      <c r="N6" s="10"/>
      <c r="O6" s="10"/>
      <c r="P6" s="145">
        <v>61.481999999999999</v>
      </c>
      <c r="Q6" s="10">
        <v>60.447000000000003</v>
      </c>
      <c r="R6" s="145"/>
      <c r="S6" s="145"/>
      <c r="T6" s="145">
        <v>167.87700000000001</v>
      </c>
      <c r="U6" s="15">
        <v>102.524</v>
      </c>
    </row>
    <row r="7" spans="1:23" x14ac:dyDescent="0.25">
      <c r="B7" t="s">
        <v>74</v>
      </c>
      <c r="C7" s="10">
        <v>65.599000000000004</v>
      </c>
      <c r="D7" s="148">
        <v>104.077</v>
      </c>
      <c r="E7" s="15">
        <v>262.17700000000002</v>
      </c>
      <c r="F7" s="41"/>
      <c r="G7" s="41"/>
      <c r="J7" s="10"/>
      <c r="K7" s="10"/>
      <c r="L7" s="10"/>
      <c r="M7" s="10"/>
      <c r="N7" s="10"/>
      <c r="O7" s="10"/>
      <c r="P7" s="145">
        <v>30.09</v>
      </c>
      <c r="Q7" s="10">
        <v>28.712</v>
      </c>
      <c r="R7" s="145"/>
      <c r="S7" s="145"/>
      <c r="T7" s="145">
        <v>141.45500000000001</v>
      </c>
      <c r="U7" s="15">
        <v>52.634999999999998</v>
      </c>
    </row>
    <row r="8" spans="1:23" x14ac:dyDescent="0.25">
      <c r="B8" t="s">
        <v>136</v>
      </c>
      <c r="C8" s="10">
        <v>63.235999999999997</v>
      </c>
      <c r="D8" s="148">
        <v>81.834000000000003</v>
      </c>
      <c r="E8" s="15">
        <v>194.28700000000001</v>
      </c>
      <c r="F8" s="10"/>
      <c r="G8" s="10"/>
      <c r="J8" s="10"/>
      <c r="K8" s="10"/>
      <c r="L8" s="10"/>
      <c r="M8" s="10"/>
      <c r="N8" s="10"/>
      <c r="O8" s="10"/>
      <c r="P8" s="145">
        <v>20.64</v>
      </c>
      <c r="Q8" s="10">
        <v>22.821999999999999</v>
      </c>
      <c r="R8" s="145"/>
      <c r="S8" s="145"/>
      <c r="T8" s="145">
        <v>109.85299999999999</v>
      </c>
      <c r="U8" s="15">
        <v>37.776000000000003</v>
      </c>
    </row>
    <row r="9" spans="1:23" s="1" customFormat="1" x14ac:dyDescent="0.25">
      <c r="B9" s="1" t="s">
        <v>22</v>
      </c>
      <c r="C9" s="11">
        <f>C3-SUM(C5:C8)</f>
        <v>-79.233000000000004</v>
      </c>
      <c r="D9" s="149">
        <f>D3-SUM(D5:D8)</f>
        <v>-55.036000000000115</v>
      </c>
      <c r="E9" s="14">
        <f>E3-SUM(E5:E8)</f>
        <v>-330.62199999999996</v>
      </c>
      <c r="F9" s="11">
        <f>F3-SUM(F5:F8)</f>
        <v>0</v>
      </c>
      <c r="G9" s="11">
        <f>G3-SUM(G5:G8)</f>
        <v>0</v>
      </c>
      <c r="H9" s="11"/>
      <c r="I9" s="11"/>
      <c r="J9" s="11">
        <f>J3-SUM(J5:J8)</f>
        <v>0</v>
      </c>
      <c r="K9" s="11">
        <f>K3-SUM(K5:K8)</f>
        <v>0</v>
      </c>
      <c r="L9" s="11">
        <f>L3-SUM(L5:L8)</f>
        <v>0</v>
      </c>
      <c r="M9" s="11">
        <f>M3-SUM(M5:M8)</f>
        <v>0</v>
      </c>
      <c r="N9" s="11">
        <f>N3-SUM(N5:N8)</f>
        <v>0</v>
      </c>
      <c r="O9" s="11">
        <f>O3-SUM(O5:O8)</f>
        <v>0</v>
      </c>
      <c r="P9" s="11">
        <f>P3-SUM(P5:P8)</f>
        <v>-25.663000000000011</v>
      </c>
      <c r="Q9" s="11">
        <f>Q3-SUM(Q5:Q8)</f>
        <v>-4.0769999999999982</v>
      </c>
      <c r="R9" s="11">
        <f>R3-SUM(R5:R8)</f>
        <v>0</v>
      </c>
      <c r="S9" s="11">
        <f>S3-SUM(S5:S8)</f>
        <v>0</v>
      </c>
      <c r="T9" s="11">
        <f>T3-SUM(T5:T8)</f>
        <v>-302.20300000000009</v>
      </c>
      <c r="U9" s="14">
        <f>U3-SUM(U5:U8)</f>
        <v>-36.330000000000013</v>
      </c>
      <c r="V9" s="11">
        <f>V3-SUM(V5:V8)</f>
        <v>0</v>
      </c>
      <c r="W9" s="11">
        <f>W3-SUM(W5:W8)</f>
        <v>0</v>
      </c>
    </row>
    <row r="10" spans="1:23" x14ac:dyDescent="0.25">
      <c r="B10" t="s">
        <v>174</v>
      </c>
      <c r="C10" s="10">
        <v>2.8000000000000001E-2</v>
      </c>
      <c r="D10" s="148">
        <v>0.38800000000000001</v>
      </c>
      <c r="E10" s="15">
        <v>-0.47</v>
      </c>
      <c r="F10" s="41"/>
      <c r="G10" s="41"/>
      <c r="J10" s="10"/>
      <c r="K10" s="10"/>
      <c r="L10" s="10"/>
      <c r="M10" s="10"/>
      <c r="N10" s="10"/>
      <c r="O10" s="10"/>
      <c r="P10" s="10">
        <v>0.52900000000000003</v>
      </c>
      <c r="Q10" s="10">
        <v>-0.315</v>
      </c>
      <c r="R10" s="145"/>
      <c r="S10" s="145"/>
      <c r="T10" s="145">
        <v>0.26500000000000001</v>
      </c>
      <c r="U10" s="15">
        <v>-0.126</v>
      </c>
    </row>
    <row r="11" spans="1:23" x14ac:dyDescent="0.25">
      <c r="B11" t="s">
        <v>175</v>
      </c>
      <c r="C11" s="10">
        <v>0.13900000000000001</v>
      </c>
      <c r="D11" s="148">
        <v>5.5380000000000003</v>
      </c>
      <c r="E11" s="15">
        <v>24.050999999999998</v>
      </c>
      <c r="F11" s="41"/>
      <c r="G11" s="41"/>
      <c r="J11" s="10"/>
      <c r="K11" s="10"/>
      <c r="L11" s="10"/>
      <c r="M11" s="10"/>
      <c r="N11" s="10"/>
      <c r="O11" s="10"/>
      <c r="P11" s="10">
        <v>1.5369999999999999</v>
      </c>
      <c r="Q11" s="10">
        <v>3.5750000000000002</v>
      </c>
      <c r="R11" s="145"/>
      <c r="S11" s="145"/>
      <c r="T11" s="145">
        <v>6.1829999999999998</v>
      </c>
      <c r="U11" s="15">
        <v>9.5670000000000002</v>
      </c>
    </row>
    <row r="12" spans="1:23" s="1" customFormat="1" x14ac:dyDescent="0.25">
      <c r="B12" s="1" t="s">
        <v>18</v>
      </c>
      <c r="C12" s="11">
        <f>C9+SUM(C10:C11)</f>
        <v>-79.066000000000003</v>
      </c>
      <c r="D12" s="149">
        <f>D9+SUM(D10:D11)</f>
        <v>-49.110000000000113</v>
      </c>
      <c r="E12" s="14">
        <f>E9+SUM(E10:E11)</f>
        <v>-307.04099999999994</v>
      </c>
      <c r="F12" s="11">
        <f>F9+SUM(F10:F11)</f>
        <v>0</v>
      </c>
      <c r="G12" s="11">
        <f>G9+SUM(G10:G11)</f>
        <v>0</v>
      </c>
      <c r="J12" s="11">
        <f>J9+SUM(J10:J11)</f>
        <v>0</v>
      </c>
      <c r="K12" s="11">
        <f>K9+SUM(K10:K11)</f>
        <v>0</v>
      </c>
      <c r="L12" s="11">
        <f>L9+SUM(L10:L11)</f>
        <v>0</v>
      </c>
      <c r="M12" s="11">
        <f>M9+SUM(M10:M11)</f>
        <v>0</v>
      </c>
      <c r="N12" s="11">
        <f>N9+SUM(N10:N11)</f>
        <v>0</v>
      </c>
      <c r="O12" s="11">
        <f>O9+SUM(O10:O11)</f>
        <v>0</v>
      </c>
      <c r="P12" s="11">
        <f>P9+SUM(P10:P11)</f>
        <v>-23.597000000000012</v>
      </c>
      <c r="Q12" s="11">
        <f>Q9+SUM(Q10:Q11)</f>
        <v>-0.81699999999999795</v>
      </c>
      <c r="R12" s="11">
        <f>R9+SUM(R10:R11)</f>
        <v>0</v>
      </c>
      <c r="S12" s="11">
        <f>S9+SUM(S10:S11)</f>
        <v>0</v>
      </c>
      <c r="T12" s="11">
        <f>T9+SUM(T10:T11)</f>
        <v>-295.75500000000011</v>
      </c>
      <c r="U12" s="14">
        <f>U9+SUM(U10:U11)</f>
        <v>-26.88900000000001</v>
      </c>
      <c r="V12" s="11">
        <f>V9+SUM(V10:V11)</f>
        <v>0</v>
      </c>
      <c r="W12" s="11">
        <f>W9+SUM(W10:W11)</f>
        <v>0</v>
      </c>
    </row>
    <row r="13" spans="1:23" x14ac:dyDescent="0.25">
      <c r="B13" t="s">
        <v>19</v>
      </c>
      <c r="C13" s="10">
        <v>0.31900000000000001</v>
      </c>
      <c r="D13" s="148">
        <v>8.3000000000000004E-2</v>
      </c>
      <c r="E13" s="15">
        <v>1.1919999999999999</v>
      </c>
      <c r="F13" s="41"/>
      <c r="G13" s="41"/>
      <c r="J13" s="10"/>
      <c r="K13" s="10"/>
      <c r="L13" s="10"/>
      <c r="M13" s="10"/>
      <c r="N13" s="10"/>
      <c r="O13" s="10"/>
      <c r="P13" s="10">
        <v>0.27600000000000002</v>
      </c>
      <c r="Q13" s="10">
        <v>-6.2E-2</v>
      </c>
      <c r="R13" s="145"/>
      <c r="S13" s="145"/>
      <c r="T13" s="145">
        <v>0.81899999999999995</v>
      </c>
      <c r="U13" s="15">
        <v>-0.59399999999999997</v>
      </c>
    </row>
    <row r="14" spans="1:23" s="1" customFormat="1" x14ac:dyDescent="0.25">
      <c r="B14" s="1" t="s">
        <v>20</v>
      </c>
      <c r="C14" s="11">
        <f>C12-SUM(C13:C13)</f>
        <v>-79.385000000000005</v>
      </c>
      <c r="D14" s="11">
        <f>D12-SUM(D13:D13)</f>
        <v>-49.193000000000112</v>
      </c>
      <c r="E14" s="14">
        <f>E12-SUM(E13:E13)</f>
        <v>-308.23299999999995</v>
      </c>
      <c r="F14" s="60"/>
      <c r="G14" s="60"/>
      <c r="J14" s="11">
        <f>J12-SUM(J13:J13)</f>
        <v>0</v>
      </c>
      <c r="K14" s="11">
        <f>K12-SUM(K13:K13)</f>
        <v>0</v>
      </c>
      <c r="L14" s="11">
        <f>L12-SUM(L13:L13)</f>
        <v>0</v>
      </c>
      <c r="M14" s="11">
        <f>M12-SUM(M13:M13)</f>
        <v>0</v>
      </c>
      <c r="N14" s="11">
        <f>N12-SUM(N13:N13)</f>
        <v>0</v>
      </c>
      <c r="O14" s="11">
        <f>O12-SUM(O13:O13)</f>
        <v>0</v>
      </c>
      <c r="P14" s="11">
        <f>P12-SUM(P13:P13)</f>
        <v>-23.873000000000012</v>
      </c>
      <c r="Q14" s="11">
        <f>Q12-SUM(Q13:Q13)</f>
        <v>-0.7549999999999979</v>
      </c>
      <c r="R14" s="11">
        <f>R12-SUM(R13:R13)</f>
        <v>0</v>
      </c>
      <c r="S14" s="11">
        <f>S12-SUM(S13:S13)</f>
        <v>0</v>
      </c>
      <c r="T14" s="11">
        <f>T12-SUM(T13:T13)</f>
        <v>-296.57400000000013</v>
      </c>
      <c r="U14" s="14">
        <f>U12-SUM(U13:U13)</f>
        <v>-26.295000000000009</v>
      </c>
      <c r="V14" s="11">
        <f>V12-SUM(V13:V13)</f>
        <v>0</v>
      </c>
      <c r="W14" s="11">
        <f>W12-SUM(W13:W13)</f>
        <v>0</v>
      </c>
    </row>
    <row r="15" spans="1:23" x14ac:dyDescent="0.25">
      <c r="B15" t="s">
        <v>1</v>
      </c>
      <c r="C15" s="10">
        <v>220.86517900000001</v>
      </c>
      <c r="D15" s="10">
        <v>229.85720599999999</v>
      </c>
      <c r="E15" s="15">
        <v>242.88927200000001</v>
      </c>
      <c r="F15" s="41"/>
      <c r="G15" s="41"/>
      <c r="J15" s="10"/>
      <c r="K15" s="10"/>
      <c r="L15" s="10"/>
      <c r="M15" s="10"/>
      <c r="N15" s="10"/>
      <c r="O15" s="10"/>
      <c r="P15" s="10">
        <v>231.973229</v>
      </c>
      <c r="Q15" s="10">
        <v>234.553842</v>
      </c>
      <c r="R15" s="145"/>
      <c r="S15" s="145"/>
      <c r="T15" s="145">
        <v>240.125168</v>
      </c>
      <c r="U15" s="15">
        <v>258.89918899999998</v>
      </c>
      <c r="V15" s="10"/>
      <c r="W15" s="10"/>
    </row>
    <row r="16" spans="1:23" s="1" customFormat="1" x14ac:dyDescent="0.25">
      <c r="B16" s="1" t="s">
        <v>21</v>
      </c>
      <c r="C16" s="2">
        <f>C14/C15</f>
        <v>-0.35942741340861162</v>
      </c>
      <c r="D16" s="2">
        <f>D14/D15</f>
        <v>-0.21401547880991867</v>
      </c>
      <c r="E16" s="56">
        <f>E14/E15</f>
        <v>-1.2690268181132345</v>
      </c>
      <c r="F16" s="57"/>
      <c r="G16" s="58"/>
      <c r="J16" s="2"/>
      <c r="K16" s="2"/>
      <c r="L16" s="2"/>
      <c r="M16" s="2"/>
      <c r="N16" s="2"/>
      <c r="O16" s="2"/>
      <c r="P16" s="2">
        <f>P14/P15</f>
        <v>-0.10291273740040068</v>
      </c>
      <c r="Q16" s="2">
        <f>Q14/Q15</f>
        <v>-3.218877139518345E-3</v>
      </c>
      <c r="R16" s="2"/>
      <c r="S16" s="2"/>
      <c r="T16" s="2">
        <f>T14/T15</f>
        <v>-1.2350808641599789</v>
      </c>
      <c r="U16" s="56">
        <f>U14/U15</f>
        <v>-0.101564628694144</v>
      </c>
      <c r="V16" s="51"/>
      <c r="W16" s="51"/>
    </row>
    <row r="17" spans="2:23" s="1" customFormat="1" x14ac:dyDescent="0.25">
      <c r="B17" s="9" t="s">
        <v>65</v>
      </c>
      <c r="C17" s="2"/>
      <c r="D17" s="2"/>
      <c r="E17" s="35"/>
      <c r="F17" s="45">
        <v>0.45</v>
      </c>
      <c r="G17" s="46">
        <v>0.56999999999999995</v>
      </c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0"/>
      <c r="V17" s="51">
        <v>0.11</v>
      </c>
      <c r="W17" s="51">
        <v>0.1</v>
      </c>
    </row>
    <row r="18" spans="2:23" s="1" customFormat="1" x14ac:dyDescent="0.25">
      <c r="B18" t="s">
        <v>30</v>
      </c>
      <c r="C18" s="3">
        <f>1-C5/C3</f>
        <v>0.70858794384805945</v>
      </c>
      <c r="D18" s="3">
        <f>1-D5/D3</f>
        <v>0.72918975860289204</v>
      </c>
      <c r="E18" s="6">
        <f>1-E5/E3</f>
        <v>0.7451822735743785</v>
      </c>
      <c r="F18" s="47"/>
      <c r="G18" s="47"/>
      <c r="J18" s="3" t="e">
        <f>1-J5/J3</f>
        <v>#DIV/0!</v>
      </c>
      <c r="K18" s="3" t="e">
        <f>1-K5/K3</f>
        <v>#DIV/0!</v>
      </c>
      <c r="L18" s="3" t="e">
        <f>1-L5/L3</f>
        <v>#DIV/0!</v>
      </c>
      <c r="M18" s="3" t="e">
        <f>1-M5/M3</f>
        <v>#DIV/0!</v>
      </c>
      <c r="N18" s="3" t="e">
        <f>1-N5/N3</f>
        <v>#DIV/0!</v>
      </c>
      <c r="O18" s="3" t="e">
        <f>1-O5/O3</f>
        <v>#DIV/0!</v>
      </c>
      <c r="P18" s="3">
        <f>1-P5/P3</f>
        <v>0.72627718850698175</v>
      </c>
      <c r="Q18" s="3">
        <f>1-Q5/Q3</f>
        <v>0.74296140737425553</v>
      </c>
      <c r="R18" s="3" t="e">
        <f>1-R5/R3</f>
        <v>#DIV/0!</v>
      </c>
      <c r="S18" s="3" t="e">
        <f>1-S5/S3</f>
        <v>#DIV/0!</v>
      </c>
      <c r="T18" s="3">
        <f>1-T5/T3</f>
        <v>0.66540012627483547</v>
      </c>
      <c r="U18" s="6">
        <f>1-U5/U3</f>
        <v>0.77674116398337456</v>
      </c>
    </row>
    <row r="19" spans="2:23" x14ac:dyDescent="0.25">
      <c r="B19" t="s">
        <v>31</v>
      </c>
      <c r="C19" s="4">
        <f>C14/C3</f>
        <v>-0.27313859069639418</v>
      </c>
      <c r="D19" s="4">
        <f>D14/D3</f>
        <v>-0.10405755286114401</v>
      </c>
      <c r="E19" s="7">
        <f>E14/E3</f>
        <v>-0.44153193171742106</v>
      </c>
      <c r="F19" s="48">
        <f>F14/F4</f>
        <v>0</v>
      </c>
      <c r="G19" s="48">
        <f>G14/G4</f>
        <v>0</v>
      </c>
      <c r="J19" s="4" t="e">
        <f>J14/J3</f>
        <v>#DIV/0!</v>
      </c>
      <c r="K19" s="4" t="e">
        <f>K14/K3</f>
        <v>#DIV/0!</v>
      </c>
      <c r="L19" s="4" t="e">
        <f>L14/L3</f>
        <v>#DIV/0!</v>
      </c>
      <c r="M19" s="4" t="e">
        <f>M14/M3</f>
        <v>#DIV/0!</v>
      </c>
      <c r="N19" s="4" t="e">
        <f>N14/N3</f>
        <v>#DIV/0!</v>
      </c>
      <c r="O19" s="4" t="e">
        <f>O14/O3</f>
        <v>#DIV/0!</v>
      </c>
      <c r="P19" s="4">
        <f>P14/P3</f>
        <v>-0.20033062567132126</v>
      </c>
      <c r="Q19" s="4">
        <f>Q14/Q3</f>
        <v>-5.198471442834013E-3</v>
      </c>
      <c r="R19" s="4" t="e">
        <f>R14/R3</f>
        <v>#DIV/0!</v>
      </c>
      <c r="S19" s="4" t="e">
        <f>S14/S3</f>
        <v>#DIV/0!</v>
      </c>
      <c r="T19" s="4">
        <f>T14/T3</f>
        <v>-1.686929416917416</v>
      </c>
      <c r="U19" s="7">
        <f>U14/U3</f>
        <v>-0.13041990298485259</v>
      </c>
    </row>
    <row r="20" spans="2:23" x14ac:dyDescent="0.25">
      <c r="B20" t="s">
        <v>32</v>
      </c>
      <c r="C20" s="3"/>
      <c r="D20" s="40">
        <f>D3/C3-1</f>
        <v>0.6265758326451969</v>
      </c>
      <c r="E20" s="6">
        <f>E3/D3-1</f>
        <v>0.47668313773934545</v>
      </c>
      <c r="F20" s="49">
        <f>F4/E3-1</f>
        <v>0.27941738922416426</v>
      </c>
      <c r="G20" s="49">
        <f>G4/F4-1</f>
        <v>0.25397465179811007</v>
      </c>
      <c r="J20" s="4"/>
      <c r="K20" s="4"/>
      <c r="L20" s="4"/>
      <c r="M20" s="4"/>
      <c r="N20" s="4" t="e">
        <f>N3/J3-1</f>
        <v>#DIV/0!</v>
      </c>
      <c r="O20" s="4" t="e">
        <f>O3/K3-1</f>
        <v>#DIV/0!</v>
      </c>
      <c r="P20" s="4" t="e">
        <f>P3/L3-1</f>
        <v>#DIV/0!</v>
      </c>
      <c r="Q20" s="4" t="e">
        <f>Q3/M3-1</f>
        <v>#DIV/0!</v>
      </c>
      <c r="R20" s="4" t="e">
        <f>R3/N3-1</f>
        <v>#DIV/0!</v>
      </c>
      <c r="S20" s="4" t="e">
        <f>S3/O3-1</f>
        <v>#DIV/0!</v>
      </c>
      <c r="T20" s="4">
        <f>T3/P3-1</f>
        <v>0.47528698979591821</v>
      </c>
      <c r="U20" s="7">
        <f>U3/Q3-1</f>
        <v>0.38821909319378922</v>
      </c>
      <c r="V20" s="37" t="e">
        <f>V4/R3-1</f>
        <v>#DIV/0!</v>
      </c>
      <c r="W20" s="37" t="e">
        <f>W4/S3-1</f>
        <v>#DIV/0!</v>
      </c>
    </row>
    <row r="21" spans="2:23" x14ac:dyDescent="0.25">
      <c r="B21" t="s">
        <v>67</v>
      </c>
      <c r="C21" s="4">
        <f>C6/C3</f>
        <v>0.53792320396366644</v>
      </c>
      <c r="D21" s="4">
        <f>D6/D3</f>
        <v>0.45235093538206406</v>
      </c>
      <c r="E21" s="7">
        <f>E6/E3</f>
        <v>0.56491844279966019</v>
      </c>
      <c r="F21" s="122"/>
      <c r="G21" s="122"/>
      <c r="J21" s="4" t="e">
        <f>J6/J3</f>
        <v>#DIV/0!</v>
      </c>
      <c r="K21" s="4" t="e">
        <f>K6/K3</f>
        <v>#DIV/0!</v>
      </c>
      <c r="L21" s="4" t="e">
        <f>L6/L3</f>
        <v>#DIV/0!</v>
      </c>
      <c r="M21" s="4" t="e">
        <f>M6/M3</f>
        <v>#DIV/0!</v>
      </c>
      <c r="N21" s="4" t="e">
        <f>N6/N3</f>
        <v>#DIV/0!</v>
      </c>
      <c r="O21" s="4" t="e">
        <f>O6/O3</f>
        <v>#DIV/0!</v>
      </c>
      <c r="P21" s="4">
        <f>P6/P3</f>
        <v>0.51592709452201935</v>
      </c>
      <c r="Q21" s="4">
        <f>Q6/Q3</f>
        <v>0.41620132888077943</v>
      </c>
      <c r="R21" s="4" t="e">
        <f>R6/R3</f>
        <v>#DIV/0!</v>
      </c>
      <c r="S21" s="4" t="e">
        <f>S6/S3</f>
        <v>#DIV/0!</v>
      </c>
      <c r="T21" s="4">
        <f>T6/T3</f>
        <v>0.95489371868014372</v>
      </c>
      <c r="U21" s="7">
        <f>U6/U3</f>
        <v>0.50850618496364408</v>
      </c>
      <c r="V21" s="4"/>
    </row>
    <row r="22" spans="2:23" x14ac:dyDescent="0.25">
      <c r="B22" t="s">
        <v>134</v>
      </c>
      <c r="C22" s="4">
        <f>C7/C3</f>
        <v>0.225705339939444</v>
      </c>
      <c r="D22" s="4">
        <f>D7/D3</f>
        <v>0.2201532317429159</v>
      </c>
      <c r="E22" s="7">
        <f>E7/E3</f>
        <v>0.37555848096043687</v>
      </c>
      <c r="F22" s="122"/>
      <c r="G22" s="122"/>
      <c r="J22" s="4" t="e">
        <f>J7/J3</f>
        <v>#DIV/0!</v>
      </c>
      <c r="K22" s="4" t="e">
        <f>K7/K3</f>
        <v>#DIV/0!</v>
      </c>
      <c r="L22" s="4" t="e">
        <f>L7/L3</f>
        <v>#DIV/0!</v>
      </c>
      <c r="M22" s="4" t="e">
        <f>M7/M3</f>
        <v>#DIV/0!</v>
      </c>
      <c r="N22" s="4" t="e">
        <f>N7/N3</f>
        <v>#DIV/0!</v>
      </c>
      <c r="O22" s="4" t="e">
        <f>O7/O3</f>
        <v>#DIV/0!</v>
      </c>
      <c r="P22" s="4">
        <f>P7/P3</f>
        <v>0.25250067132116005</v>
      </c>
      <c r="Q22" s="4">
        <f>Q7/Q3</f>
        <v>0.19769339346576237</v>
      </c>
      <c r="R22" s="4" t="e">
        <f>R7/R3</f>
        <v>#DIV/0!</v>
      </c>
      <c r="S22" s="4" t="e">
        <f>S7/S3</f>
        <v>#DIV/0!</v>
      </c>
      <c r="T22" s="4">
        <f>T7/T3</f>
        <v>0.80460391224467753</v>
      </c>
      <c r="U22" s="7">
        <f>U7/U3</f>
        <v>0.26106300032735175</v>
      </c>
      <c r="V22" s="4"/>
    </row>
    <row r="23" spans="2:23" x14ac:dyDescent="0.25">
      <c r="B23" t="s">
        <v>135</v>
      </c>
      <c r="C23" s="4">
        <f t="shared" ref="C23" si="0">C8/C3</f>
        <v>0.21757500688136527</v>
      </c>
      <c r="D23" s="4">
        <f>D8/D3</f>
        <v>0.17310279472361598</v>
      </c>
      <c r="E23" s="7">
        <f>E8/E3</f>
        <v>0.27830866395740433</v>
      </c>
      <c r="F23" s="122"/>
      <c r="G23" s="122"/>
      <c r="J23" s="4" t="e">
        <f>J8/J3</f>
        <v>#DIV/0!</v>
      </c>
      <c r="K23" s="4" t="e">
        <f t="shared" ref="K23:U23" si="1">K8/K3</f>
        <v>#DIV/0!</v>
      </c>
      <c r="L23" s="4" t="e">
        <f t="shared" si="1"/>
        <v>#DIV/0!</v>
      </c>
      <c r="M23" s="4" t="e">
        <f t="shared" si="1"/>
        <v>#DIV/0!</v>
      </c>
      <c r="N23" s="4" t="e">
        <f t="shared" si="1"/>
        <v>#DIV/0!</v>
      </c>
      <c r="O23" s="4" t="e">
        <f t="shared" si="1"/>
        <v>#DIV/0!</v>
      </c>
      <c r="P23" s="4">
        <f t="shared" si="1"/>
        <v>0.17320085929108486</v>
      </c>
      <c r="Q23" s="4">
        <f t="shared" si="1"/>
        <v>0.15713843081901743</v>
      </c>
      <c r="R23" s="4" t="e">
        <f t="shared" si="1"/>
        <v>#DIV/0!</v>
      </c>
      <c r="S23" s="4" t="e">
        <f t="shared" si="1"/>
        <v>#DIV/0!</v>
      </c>
      <c r="T23" s="4">
        <f t="shared" si="1"/>
        <v>0.62484997753218019</v>
      </c>
      <c r="U23" s="4">
        <f t="shared" si="1"/>
        <v>0.18736422343243164</v>
      </c>
      <c r="V23" s="4"/>
    </row>
    <row r="24" spans="2:23" x14ac:dyDescent="0.25">
      <c r="B24" t="s">
        <v>35</v>
      </c>
      <c r="C24" s="3"/>
      <c r="D24" s="40">
        <f>D14/C14-1</f>
        <v>-0.38032373874157455</v>
      </c>
      <c r="E24" s="6">
        <f>E14/D14-1</f>
        <v>5.2657898481491117</v>
      </c>
      <c r="F24" s="59">
        <f>F17/E16-1</f>
        <v>-1.3546024351707961</v>
      </c>
      <c r="G24" s="59">
        <f>G17/F17-1</f>
        <v>0.26666666666666661</v>
      </c>
      <c r="J24" s="4"/>
      <c r="K24" s="4"/>
      <c r="L24" s="4"/>
      <c r="M24" s="4"/>
      <c r="N24" s="4" t="e">
        <f>N14/J14-1</f>
        <v>#DIV/0!</v>
      </c>
      <c r="O24" s="4" t="e">
        <f>O14/K14-1</f>
        <v>#DIV/0!</v>
      </c>
      <c r="P24" s="4" t="e">
        <f>P14/L14-1</f>
        <v>#DIV/0!</v>
      </c>
      <c r="Q24" s="4" t="e">
        <f>Q14/M14-1</f>
        <v>#DIV/0!</v>
      </c>
      <c r="R24" s="4" t="e">
        <f>R14/N14-1</f>
        <v>#DIV/0!</v>
      </c>
      <c r="S24" s="4" t="e">
        <f>S14/O14-1</f>
        <v>#DIV/0!</v>
      </c>
      <c r="T24" s="4">
        <f>T14/P14-1</f>
        <v>11.422988313157122</v>
      </c>
      <c r="U24" s="7">
        <f>U14/Q14-1</f>
        <v>33.827814569536535</v>
      </c>
      <c r="V24" s="4" t="e">
        <f>V14/R14-1</f>
        <v>#DIV/0!</v>
      </c>
    </row>
    <row r="27" spans="2:23" s="1" customFormat="1" x14ac:dyDescent="0.25">
      <c r="B27" s="1" t="s">
        <v>39</v>
      </c>
      <c r="C27" s="11">
        <f t="shared" ref="C27" si="2">C28+C29</f>
        <v>0</v>
      </c>
      <c r="D27" s="11">
        <f>D28+D29</f>
        <v>386.22899999999998</v>
      </c>
      <c r="E27" s="14">
        <f>E28+E29</f>
        <v>738.971</v>
      </c>
      <c r="J27" s="11">
        <f>J28+J29</f>
        <v>0</v>
      </c>
      <c r="K27" s="11">
        <f t="shared" ref="K27:U27" si="3">K28+K29</f>
        <v>0</v>
      </c>
      <c r="L27" s="11">
        <f t="shared" si="3"/>
        <v>0</v>
      </c>
      <c r="M27" s="11">
        <f t="shared" si="3"/>
        <v>0</v>
      </c>
      <c r="N27" s="11">
        <f t="shared" si="3"/>
        <v>0</v>
      </c>
      <c r="O27" s="11">
        <f t="shared" si="3"/>
        <v>0</v>
      </c>
      <c r="P27" s="11">
        <f t="shared" si="3"/>
        <v>0</v>
      </c>
      <c r="Q27" s="11">
        <f t="shared" si="3"/>
        <v>386.22899999999998</v>
      </c>
      <c r="R27" s="11">
        <f t="shared" si="3"/>
        <v>0</v>
      </c>
      <c r="S27" s="11">
        <f t="shared" si="3"/>
        <v>0</v>
      </c>
      <c r="T27" s="11">
        <f t="shared" si="3"/>
        <v>723.80099999999993</v>
      </c>
      <c r="U27" s="14">
        <f t="shared" si="3"/>
        <v>738.971</v>
      </c>
    </row>
    <row r="28" spans="2:23" x14ac:dyDescent="0.25">
      <c r="B28" t="s">
        <v>23</v>
      </c>
      <c r="C28" s="10"/>
      <c r="D28" s="10">
        <v>385.82</v>
      </c>
      <c r="E28" s="15">
        <v>738.56200000000001</v>
      </c>
      <c r="J28" s="10"/>
      <c r="K28" s="10"/>
      <c r="L28" s="10"/>
      <c r="M28" s="10"/>
      <c r="N28" s="10"/>
      <c r="O28" s="10"/>
      <c r="P28" s="10"/>
      <c r="Q28" s="10">
        <f>D28</f>
        <v>385.82</v>
      </c>
      <c r="R28" s="10"/>
      <c r="S28" s="10"/>
      <c r="T28" s="10">
        <v>723.41499999999996</v>
      </c>
      <c r="U28" s="146">
        <f>E28</f>
        <v>738.56200000000001</v>
      </c>
    </row>
    <row r="29" spans="2:23" x14ac:dyDescent="0.25">
      <c r="B29" t="s">
        <v>76</v>
      </c>
      <c r="C29" s="10"/>
      <c r="D29" s="10">
        <v>0.40899999999999997</v>
      </c>
      <c r="E29" s="15">
        <v>0.40899999999999997</v>
      </c>
      <c r="J29" s="10"/>
      <c r="K29" s="10"/>
      <c r="L29" s="10"/>
      <c r="M29" s="10"/>
      <c r="N29" s="10"/>
      <c r="O29" s="10"/>
      <c r="P29" s="10"/>
      <c r="Q29" s="10">
        <f t="shared" ref="Q29:Q32" si="4">D29</f>
        <v>0.40899999999999997</v>
      </c>
      <c r="R29" s="10"/>
      <c r="S29" s="10"/>
      <c r="T29" s="10">
        <v>0.38600000000000001</v>
      </c>
      <c r="U29" s="146">
        <f t="shared" ref="U29:U32" si="5">E29</f>
        <v>0.40899999999999997</v>
      </c>
    </row>
    <row r="30" spans="2:23" x14ac:dyDescent="0.25">
      <c r="B30" t="s">
        <v>24</v>
      </c>
      <c r="C30" s="10"/>
      <c r="D30" s="10">
        <v>10.723000000000001</v>
      </c>
      <c r="E30" s="15">
        <v>23.076000000000001</v>
      </c>
      <c r="J30" s="10"/>
      <c r="K30" s="10"/>
      <c r="L30" s="10"/>
      <c r="M30" s="10"/>
      <c r="N30" s="10"/>
      <c r="O30" s="10"/>
      <c r="P30" s="10"/>
      <c r="Q30" s="10">
        <f t="shared" si="4"/>
        <v>10.723000000000001</v>
      </c>
      <c r="R30" s="10"/>
      <c r="S30" s="10"/>
      <c r="T30" s="10">
        <v>17.38</v>
      </c>
      <c r="U30" s="146">
        <f t="shared" si="5"/>
        <v>23.076000000000001</v>
      </c>
    </row>
    <row r="31" spans="2:23" x14ac:dyDescent="0.25">
      <c r="B31" t="s">
        <v>165</v>
      </c>
      <c r="C31" s="10"/>
      <c r="D31" s="10">
        <v>11.215</v>
      </c>
      <c r="E31" s="15">
        <v>15.198</v>
      </c>
      <c r="J31" s="10"/>
      <c r="K31" s="10"/>
      <c r="L31" s="10"/>
      <c r="M31" s="10"/>
      <c r="N31" s="10"/>
      <c r="O31" s="10"/>
      <c r="P31" s="10"/>
      <c r="Q31" s="10">
        <f t="shared" si="4"/>
        <v>11.215</v>
      </c>
      <c r="R31" s="10"/>
      <c r="S31" s="10"/>
      <c r="T31" s="10">
        <v>14.161</v>
      </c>
      <c r="U31" s="146">
        <f t="shared" si="5"/>
        <v>15.198</v>
      </c>
    </row>
    <row r="32" spans="2:23" x14ac:dyDescent="0.25">
      <c r="B32" t="s">
        <v>77</v>
      </c>
      <c r="C32" s="10"/>
      <c r="D32" s="10">
        <v>19.335999999999999</v>
      </c>
      <c r="E32" s="15">
        <v>26.244</v>
      </c>
      <c r="J32" s="10"/>
      <c r="K32" s="10"/>
      <c r="L32" s="10"/>
      <c r="M32" s="10"/>
      <c r="N32" s="10"/>
      <c r="O32" s="10"/>
      <c r="P32" s="10"/>
      <c r="Q32" s="10">
        <f t="shared" si="4"/>
        <v>19.335999999999999</v>
      </c>
      <c r="R32" s="10"/>
      <c r="S32" s="10"/>
      <c r="T32" s="10">
        <v>26.01</v>
      </c>
      <c r="U32" s="146">
        <f t="shared" si="5"/>
        <v>26.244</v>
      </c>
    </row>
    <row r="33" spans="2:23" s="1" customFormat="1" x14ac:dyDescent="0.25">
      <c r="B33" s="1" t="s">
        <v>62</v>
      </c>
      <c r="C33" s="11">
        <f>SUM(C28:C32)</f>
        <v>0</v>
      </c>
      <c r="D33" s="11">
        <f>SUM(D28:D32)</f>
        <v>427.50299999999999</v>
      </c>
      <c r="E33" s="14">
        <f>SUM(E28:E32)</f>
        <v>803.48900000000003</v>
      </c>
      <c r="J33" s="11">
        <f>SUM(J28:J32)</f>
        <v>0</v>
      </c>
      <c r="K33" s="11">
        <f>SUM(K28:K32)</f>
        <v>0</v>
      </c>
      <c r="L33" s="11">
        <f>SUM(L28:L32)</f>
        <v>0</v>
      </c>
      <c r="M33" s="11">
        <f>SUM(M28:M32)</f>
        <v>0</v>
      </c>
      <c r="N33" s="11">
        <f>SUM(N28:N32)</f>
        <v>0</v>
      </c>
      <c r="O33" s="11">
        <f>SUM(O28:O32)</f>
        <v>0</v>
      </c>
      <c r="P33" s="11">
        <f>SUM(P28:P32)</f>
        <v>0</v>
      </c>
      <c r="Q33" s="11">
        <f>SUM(Q28:Q32)</f>
        <v>427.50299999999999</v>
      </c>
      <c r="R33" s="11">
        <f>SUM(R28:R32)</f>
        <v>0</v>
      </c>
      <c r="S33" s="11">
        <f>SUM(S28:S32)</f>
        <v>0</v>
      </c>
      <c r="T33" s="11">
        <f>SUM(T28:T32)</f>
        <v>781.35199999999986</v>
      </c>
      <c r="U33" s="14">
        <f>SUM(U28:U32)</f>
        <v>803.48900000000003</v>
      </c>
    </row>
    <row r="34" spans="2:23" x14ac:dyDescent="0.25">
      <c r="B34" t="s">
        <v>78</v>
      </c>
      <c r="C34" s="10"/>
      <c r="D34" s="10">
        <v>45.837000000000003</v>
      </c>
      <c r="E34" s="15">
        <v>43.45</v>
      </c>
      <c r="J34" s="10"/>
      <c r="K34" s="10"/>
      <c r="L34" s="10"/>
      <c r="M34" s="10"/>
      <c r="N34" s="10"/>
      <c r="O34" s="10"/>
      <c r="P34" s="10"/>
      <c r="Q34" s="10">
        <f t="shared" ref="Q34:Q47" si="6">D34</f>
        <v>45.837000000000003</v>
      </c>
      <c r="R34" s="10"/>
      <c r="S34" s="10"/>
      <c r="T34" s="10">
        <v>42.73</v>
      </c>
      <c r="U34" s="146">
        <f t="shared" ref="U34:U39" si="7">E34</f>
        <v>43.45</v>
      </c>
    </row>
    <row r="35" spans="2:23" x14ac:dyDescent="0.25">
      <c r="B35" t="s">
        <v>80</v>
      </c>
      <c r="C35" s="10"/>
      <c r="D35" s="10">
        <v>45.695</v>
      </c>
      <c r="E35" s="15">
        <v>36.987000000000002</v>
      </c>
      <c r="J35" s="10"/>
      <c r="K35" s="10"/>
      <c r="L35" s="10"/>
      <c r="M35" s="10"/>
      <c r="N35" s="10"/>
      <c r="O35" s="10"/>
      <c r="P35" s="10"/>
      <c r="Q35" s="10">
        <f t="shared" si="6"/>
        <v>45.695</v>
      </c>
      <c r="R35" s="10"/>
      <c r="S35" s="10"/>
      <c r="T35" s="10">
        <v>39.506</v>
      </c>
      <c r="U35" s="146">
        <f t="shared" si="7"/>
        <v>36.987000000000002</v>
      </c>
    </row>
    <row r="36" spans="2:23" x14ac:dyDescent="0.25">
      <c r="B36" t="s">
        <v>165</v>
      </c>
      <c r="C36" s="10"/>
      <c r="D36" s="10">
        <v>15.983000000000001</v>
      </c>
      <c r="E36" s="15">
        <v>23.177</v>
      </c>
      <c r="J36" s="10"/>
      <c r="K36" s="10"/>
      <c r="L36" s="10"/>
      <c r="M36" s="10"/>
      <c r="N36" s="10"/>
      <c r="O36" s="10"/>
      <c r="P36" s="10"/>
      <c r="Q36" s="10">
        <f t="shared" si="6"/>
        <v>15.983000000000001</v>
      </c>
      <c r="R36" s="10"/>
      <c r="S36" s="10"/>
      <c r="T36" s="10">
        <v>20.687000000000001</v>
      </c>
      <c r="U36" s="146">
        <f t="shared" si="7"/>
        <v>23.177</v>
      </c>
    </row>
    <row r="37" spans="2:23" x14ac:dyDescent="0.25">
      <c r="B37" t="s">
        <v>166</v>
      </c>
      <c r="C37" s="10"/>
      <c r="D37" s="10">
        <v>0.68700000000000006</v>
      </c>
      <c r="E37" s="15">
        <v>0.68600000000000005</v>
      </c>
      <c r="J37" s="10"/>
      <c r="K37" s="10"/>
      <c r="L37" s="10"/>
      <c r="M37" s="10"/>
      <c r="N37" s="10"/>
      <c r="O37" s="10"/>
      <c r="P37" s="10"/>
      <c r="Q37" s="10">
        <f t="shared" si="6"/>
        <v>0.68700000000000006</v>
      </c>
      <c r="R37" s="10"/>
      <c r="S37" s="10"/>
      <c r="T37" s="10">
        <v>0.64800000000000002</v>
      </c>
      <c r="U37" s="146">
        <f t="shared" si="7"/>
        <v>0.68600000000000005</v>
      </c>
    </row>
    <row r="38" spans="2:23" s="1" customFormat="1" x14ac:dyDescent="0.25">
      <c r="B38" t="s">
        <v>167</v>
      </c>
      <c r="C38" s="10"/>
      <c r="D38" s="10">
        <v>84.415000000000006</v>
      </c>
      <c r="E38" s="15">
        <v>173.84399999999999</v>
      </c>
      <c r="J38" s="10"/>
      <c r="K38" s="10"/>
      <c r="L38" s="10"/>
      <c r="M38" s="10"/>
      <c r="N38" s="10"/>
      <c r="O38" s="10"/>
      <c r="P38" s="10"/>
      <c r="Q38" s="10">
        <f t="shared" si="6"/>
        <v>84.415000000000006</v>
      </c>
      <c r="R38" s="10"/>
      <c r="S38" s="10"/>
      <c r="T38" s="10">
        <v>178.96799999999999</v>
      </c>
      <c r="U38" s="146">
        <f t="shared" si="7"/>
        <v>173.84399999999999</v>
      </c>
    </row>
    <row r="39" spans="2:23" s="1" customFormat="1" x14ac:dyDescent="0.25">
      <c r="B39" t="s">
        <v>26</v>
      </c>
      <c r="C39" s="10"/>
      <c r="D39" s="10">
        <v>8.9589999999999996</v>
      </c>
      <c r="E39" s="15">
        <v>7.4169999999999998</v>
      </c>
      <c r="J39" s="10"/>
      <c r="K39" s="10"/>
      <c r="L39" s="10"/>
      <c r="M39" s="10"/>
      <c r="N39" s="10"/>
      <c r="O39" s="10"/>
      <c r="P39" s="10"/>
      <c r="Q39" s="10">
        <f t="shared" si="6"/>
        <v>8.9589999999999996</v>
      </c>
      <c r="R39" s="10"/>
      <c r="S39" s="10"/>
      <c r="T39" s="10">
        <v>7.5330000000000004</v>
      </c>
      <c r="U39" s="146">
        <f t="shared" si="7"/>
        <v>7.4169999999999998</v>
      </c>
    </row>
    <row r="40" spans="2:23" x14ac:dyDescent="0.25">
      <c r="B40" s="1" t="s">
        <v>27</v>
      </c>
      <c r="C40" s="11">
        <f>SUM(C33:C39)</f>
        <v>0</v>
      </c>
      <c r="D40" s="11">
        <f>SUM(D33:D39)</f>
        <v>629.07899999999984</v>
      </c>
      <c r="E40" s="14">
        <f>SUM(E33:E39)</f>
        <v>1089.05</v>
      </c>
      <c r="J40" s="11">
        <f t="shared" ref="J40:U40" si="8">SUM(J33:J39)</f>
        <v>0</v>
      </c>
      <c r="K40" s="11">
        <f t="shared" si="8"/>
        <v>0</v>
      </c>
      <c r="L40" s="11">
        <f t="shared" si="8"/>
        <v>0</v>
      </c>
      <c r="M40" s="11">
        <f t="shared" si="8"/>
        <v>0</v>
      </c>
      <c r="N40" s="11">
        <f t="shared" si="8"/>
        <v>0</v>
      </c>
      <c r="O40" s="11">
        <f t="shared" si="8"/>
        <v>0</v>
      </c>
      <c r="P40" s="11">
        <f t="shared" si="8"/>
        <v>0</v>
      </c>
      <c r="Q40" s="11">
        <f t="shared" si="8"/>
        <v>629.07899999999984</v>
      </c>
      <c r="R40" s="11">
        <f t="shared" si="8"/>
        <v>0</v>
      </c>
      <c r="S40" s="11">
        <f t="shared" si="8"/>
        <v>0</v>
      </c>
      <c r="T40" s="11">
        <f t="shared" si="8"/>
        <v>1071.4239999999998</v>
      </c>
      <c r="U40" s="14">
        <f t="shared" si="8"/>
        <v>1089.05</v>
      </c>
    </row>
    <row r="41" spans="2:23" x14ac:dyDescent="0.25">
      <c r="B41" t="s">
        <v>29</v>
      </c>
      <c r="C41" s="10"/>
      <c r="D41" s="10">
        <v>8.89</v>
      </c>
      <c r="E41" s="15">
        <v>13.597</v>
      </c>
      <c r="J41" s="10"/>
      <c r="K41" s="10"/>
      <c r="L41" s="10"/>
      <c r="M41" s="10"/>
      <c r="N41" s="10"/>
      <c r="O41" s="10"/>
      <c r="P41" s="10"/>
      <c r="Q41" s="10">
        <f t="shared" si="6"/>
        <v>8.89</v>
      </c>
      <c r="R41" s="10"/>
      <c r="S41" s="10"/>
      <c r="T41" s="10">
        <v>9.7379999999999995</v>
      </c>
      <c r="U41" s="146">
        <f t="shared" ref="U41:U44" si="9">E41</f>
        <v>13.597</v>
      </c>
    </row>
    <row r="42" spans="2:23" x14ac:dyDescent="0.25">
      <c r="B42" t="s">
        <v>168</v>
      </c>
      <c r="C42" s="10"/>
      <c r="D42" s="10">
        <v>36.125999999999998</v>
      </c>
      <c r="E42" s="15">
        <v>62.838000000000001</v>
      </c>
      <c r="J42" s="10"/>
      <c r="K42" s="10"/>
      <c r="L42" s="10"/>
      <c r="M42" s="10"/>
      <c r="N42" s="10"/>
      <c r="O42" s="10"/>
      <c r="P42" s="10"/>
      <c r="Q42" s="10">
        <f t="shared" si="6"/>
        <v>36.125999999999998</v>
      </c>
      <c r="R42" s="10"/>
      <c r="S42" s="10"/>
      <c r="T42" s="10">
        <v>62.601999999999997</v>
      </c>
      <c r="U42" s="146">
        <f t="shared" si="9"/>
        <v>62.838000000000001</v>
      </c>
    </row>
    <row r="43" spans="2:23" x14ac:dyDescent="0.25">
      <c r="B43" t="s">
        <v>169</v>
      </c>
      <c r="C43" s="10"/>
      <c r="D43" s="10">
        <v>14.864000000000001</v>
      </c>
      <c r="E43" s="15">
        <v>14.081</v>
      </c>
      <c r="J43" s="10"/>
      <c r="K43" s="10"/>
      <c r="L43" s="10"/>
      <c r="M43" s="10"/>
      <c r="N43" s="10"/>
      <c r="O43" s="10"/>
      <c r="P43" s="10"/>
      <c r="Q43" s="10">
        <f t="shared" si="6"/>
        <v>14.864000000000001</v>
      </c>
      <c r="R43" s="10"/>
      <c r="S43" s="10"/>
      <c r="T43" s="10">
        <v>14.449</v>
      </c>
      <c r="U43" s="146">
        <f t="shared" si="9"/>
        <v>14.081</v>
      </c>
    </row>
    <row r="44" spans="2:23" x14ac:dyDescent="0.25">
      <c r="B44" t="s">
        <v>170</v>
      </c>
      <c r="C44" s="10"/>
      <c r="D44" s="10">
        <v>25.109000000000002</v>
      </c>
      <c r="E44" s="15">
        <v>40.1</v>
      </c>
      <c r="J44" s="10"/>
      <c r="K44" s="10"/>
      <c r="L44" s="10"/>
      <c r="M44" s="10"/>
      <c r="N44" s="10"/>
      <c r="O44" s="10"/>
      <c r="P44" s="10"/>
      <c r="Q44" s="10">
        <f t="shared" si="6"/>
        <v>25.109000000000002</v>
      </c>
      <c r="R44" s="10"/>
      <c r="S44" s="10"/>
      <c r="T44" s="10">
        <v>32.866</v>
      </c>
      <c r="U44" s="146">
        <f t="shared" si="9"/>
        <v>40.1</v>
      </c>
    </row>
    <row r="45" spans="2:23" s="1" customFormat="1" x14ac:dyDescent="0.25">
      <c r="B45" s="1" t="s">
        <v>63</v>
      </c>
      <c r="C45" s="11">
        <f>SUM(C41:C44)</f>
        <v>0</v>
      </c>
      <c r="D45" s="11">
        <f>SUM(D41:D44)</f>
        <v>84.989000000000004</v>
      </c>
      <c r="E45" s="14">
        <f>SUM(E41:E44)</f>
        <v>130.61600000000001</v>
      </c>
      <c r="J45" s="11">
        <f>SUM(J41:J44)</f>
        <v>0</v>
      </c>
      <c r="K45" s="11">
        <f>SUM(K41:K44)</f>
        <v>0</v>
      </c>
      <c r="L45" s="11">
        <f>SUM(L41:L44)</f>
        <v>0</v>
      </c>
      <c r="M45" s="11">
        <f>SUM(M41:M44)</f>
        <v>0</v>
      </c>
      <c r="N45" s="11">
        <f>SUM(N41:N44)</f>
        <v>0</v>
      </c>
      <c r="O45" s="11">
        <f>SUM(O41:O44)</f>
        <v>0</v>
      </c>
      <c r="P45" s="11">
        <f>SUM(P41:P44)</f>
        <v>0</v>
      </c>
      <c r="Q45" s="11">
        <f>SUM(Q41:Q44)</f>
        <v>84.989000000000004</v>
      </c>
      <c r="R45" s="11">
        <f>SUM(R41:R44)</f>
        <v>0</v>
      </c>
      <c r="S45" s="11">
        <f>SUM(S41:S44)</f>
        <v>0</v>
      </c>
      <c r="T45" s="11">
        <f>SUM(T41:T44)</f>
        <v>119.655</v>
      </c>
      <c r="U45" s="14">
        <f>SUM(U41:U44)</f>
        <v>130.61600000000001</v>
      </c>
      <c r="V45" s="11"/>
      <c r="W45" s="11"/>
    </row>
    <row r="46" spans="2:23" x14ac:dyDescent="0.25">
      <c r="B46" t="s">
        <v>169</v>
      </c>
      <c r="C46" s="10"/>
      <c r="D46" s="10">
        <v>47.543999999999997</v>
      </c>
      <c r="E46" s="15">
        <v>37.497999999999998</v>
      </c>
      <c r="J46" s="10"/>
      <c r="K46" s="10"/>
      <c r="L46" s="10"/>
      <c r="M46" s="10"/>
      <c r="N46" s="10"/>
      <c r="O46" s="10"/>
      <c r="P46" s="10"/>
      <c r="Q46" s="10">
        <f t="shared" si="6"/>
        <v>47.543999999999997</v>
      </c>
      <c r="R46" s="10"/>
      <c r="S46" s="10"/>
      <c r="T46" s="10">
        <v>40.015999999999998</v>
      </c>
      <c r="U46" s="146">
        <f t="shared" ref="U46:U47" si="10">E46</f>
        <v>37.497999999999998</v>
      </c>
    </row>
    <row r="47" spans="2:23" x14ac:dyDescent="0.25">
      <c r="B47" t="s">
        <v>25</v>
      </c>
      <c r="C47" s="10"/>
      <c r="D47" s="10">
        <v>0.876</v>
      </c>
      <c r="E47" s="15">
        <v>6.1589999999999998</v>
      </c>
      <c r="J47" s="10"/>
      <c r="K47" s="10"/>
      <c r="L47" s="10"/>
      <c r="M47" s="10"/>
      <c r="N47" s="10"/>
      <c r="O47" s="10"/>
      <c r="P47" s="10"/>
      <c r="Q47" s="10">
        <f t="shared" si="6"/>
        <v>0.876</v>
      </c>
      <c r="R47" s="10"/>
      <c r="S47" s="10"/>
      <c r="T47" s="10">
        <v>6.4089999999999998</v>
      </c>
      <c r="U47" s="146">
        <f t="shared" si="10"/>
        <v>6.1589999999999998</v>
      </c>
    </row>
    <row r="48" spans="2:23" x14ac:dyDescent="0.25">
      <c r="B48" s="1" t="s">
        <v>28</v>
      </c>
      <c r="C48" s="11">
        <f>SUM(C45:C47)</f>
        <v>0</v>
      </c>
      <c r="D48" s="11">
        <f>SUM(D45:D47)</f>
        <v>133.40900000000002</v>
      </c>
      <c r="E48" s="14">
        <f>SUM(E45:E47)</f>
        <v>174.273</v>
      </c>
      <c r="J48" s="11">
        <f>SUM(J45:J47)</f>
        <v>0</v>
      </c>
      <c r="K48" s="11">
        <f>SUM(K45:K47)</f>
        <v>0</v>
      </c>
      <c r="L48" s="11">
        <f>SUM(L45:L47)</f>
        <v>0</v>
      </c>
      <c r="M48" s="11">
        <f>SUM(M45:M47)</f>
        <v>0</v>
      </c>
      <c r="N48" s="11">
        <f>SUM(N45:N47)</f>
        <v>0</v>
      </c>
      <c r="O48" s="11">
        <f>SUM(O45:O47)</f>
        <v>0</v>
      </c>
      <c r="P48" s="11">
        <f>SUM(P45:P47)</f>
        <v>0</v>
      </c>
      <c r="Q48" s="11">
        <f>SUM(Q45:Q47)</f>
        <v>133.40900000000002</v>
      </c>
      <c r="R48" s="11">
        <f>SUM(R45:R47)</f>
        <v>0</v>
      </c>
      <c r="S48" s="11">
        <f>SUM(S45:S47)</f>
        <v>0</v>
      </c>
      <c r="T48" s="11">
        <f>SUM(T45:T47)</f>
        <v>166.07999999999998</v>
      </c>
      <c r="U48" s="14">
        <f>SUM(U45:U47)</f>
        <v>174.273</v>
      </c>
    </row>
    <row r="49" spans="2:21" x14ac:dyDescent="0.25">
      <c r="B49" t="s">
        <v>79</v>
      </c>
      <c r="C49" s="10"/>
      <c r="D49" s="10">
        <f>D40-D48</f>
        <v>495.66999999999985</v>
      </c>
      <c r="E49" s="15">
        <f>E40-E48</f>
        <v>914.77699999999993</v>
      </c>
      <c r="N49" s="10">
        <f>N40-N48</f>
        <v>0</v>
      </c>
      <c r="O49" s="10">
        <f>O40-O48</f>
        <v>0</v>
      </c>
      <c r="P49" s="10">
        <f>P40-P48</f>
        <v>0</v>
      </c>
      <c r="Q49" s="10">
        <f>Q40-Q48</f>
        <v>495.66999999999985</v>
      </c>
      <c r="R49" s="10">
        <f t="shared" ref="R49:U49" si="11">R40-R48</f>
        <v>0</v>
      </c>
      <c r="S49" s="10">
        <f t="shared" si="11"/>
        <v>0</v>
      </c>
      <c r="T49" s="10">
        <f t="shared" si="11"/>
        <v>905.34399999999982</v>
      </c>
      <c r="U49" s="15">
        <f t="shared" si="11"/>
        <v>914.77699999999993</v>
      </c>
    </row>
    <row r="51" spans="2:21" s="1" customFormat="1" x14ac:dyDescent="0.25">
      <c r="B51" s="1" t="s">
        <v>81</v>
      </c>
      <c r="C51" s="54"/>
      <c r="D51" s="54"/>
      <c r="E51" s="55"/>
      <c r="U51" s="16"/>
    </row>
    <row r="69" spans="5:21" s="9" customFormat="1" x14ac:dyDescent="0.25">
      <c r="E69" s="42"/>
      <c r="U69" s="42"/>
    </row>
    <row r="70" spans="5:21" s="1" customFormat="1" x14ac:dyDescent="0.25">
      <c r="E70" s="16"/>
      <c r="U70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Y26" sqref="Y26"/>
    </sheetView>
  </sheetViews>
  <sheetFormatPr defaultRowHeight="15" x14ac:dyDescent="0.25"/>
  <sheetData>
    <row r="1" spans="1:1" x14ac:dyDescent="0.25">
      <c r="A1" s="8" t="s">
        <v>38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D5"/>
  <sheetViews>
    <sheetView workbookViewId="0">
      <selection activeCell="C4" sqref="C4"/>
    </sheetView>
  </sheetViews>
  <sheetFormatPr defaultRowHeight="15" x14ac:dyDescent="0.25"/>
  <cols>
    <col min="1" max="1" width="22.7109375" bestFit="1" customWidth="1"/>
  </cols>
  <sheetData>
    <row r="1" spans="1:4" x14ac:dyDescent="0.25">
      <c r="B1">
        <v>2021</v>
      </c>
      <c r="C1">
        <v>2022</v>
      </c>
      <c r="D1">
        <v>2023</v>
      </c>
    </row>
    <row r="2" spans="1:4" x14ac:dyDescent="0.25">
      <c r="A2" t="s">
        <v>171</v>
      </c>
      <c r="B2" s="10"/>
      <c r="C2" s="10">
        <v>119000</v>
      </c>
      <c r="D2" s="10">
        <v>143000</v>
      </c>
    </row>
    <row r="3" spans="1:4" x14ac:dyDescent="0.25">
      <c r="A3" t="s">
        <v>172</v>
      </c>
      <c r="B3" s="10"/>
      <c r="C3" s="10">
        <v>1085</v>
      </c>
      <c r="D3" s="10">
        <v>1958</v>
      </c>
    </row>
    <row r="4" spans="1:4" x14ac:dyDescent="0.25">
      <c r="B4" s="10"/>
      <c r="C4" s="10"/>
      <c r="D4" s="10"/>
    </row>
    <row r="5" spans="1:4" x14ac:dyDescent="0.25">
      <c r="B5" s="10"/>
      <c r="C5" s="10"/>
      <c r="D5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C33" sqref="C33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38</v>
      </c>
      <c r="B1" t="s">
        <v>51</v>
      </c>
      <c r="C1" s="17" t="s">
        <v>52</v>
      </c>
    </row>
    <row r="2" spans="1:13" x14ac:dyDescent="0.25">
      <c r="B2" s="12">
        <v>45404</v>
      </c>
      <c r="C2" s="18">
        <v>22.934999000000001</v>
      </c>
      <c r="E2" t="s">
        <v>51</v>
      </c>
      <c r="F2" t="s">
        <v>53</v>
      </c>
      <c r="M2" t="s">
        <v>54</v>
      </c>
    </row>
    <row r="3" spans="1:13" x14ac:dyDescent="0.25">
      <c r="B3" s="12">
        <v>45397</v>
      </c>
      <c r="C3" s="18">
        <v>22.73</v>
      </c>
      <c r="E3" s="12">
        <v>45328</v>
      </c>
      <c r="F3" t="s">
        <v>56</v>
      </c>
      <c r="M3" s="12"/>
    </row>
    <row r="4" spans="1:13" x14ac:dyDescent="0.25">
      <c r="B4" s="12">
        <v>45390</v>
      </c>
      <c r="C4" s="18">
        <v>23.76</v>
      </c>
      <c r="E4" s="12">
        <v>45302</v>
      </c>
      <c r="F4" t="s">
        <v>56</v>
      </c>
      <c r="M4" s="12"/>
    </row>
    <row r="5" spans="1:13" x14ac:dyDescent="0.25">
      <c r="B5" s="12">
        <v>45383</v>
      </c>
      <c r="C5" s="18">
        <v>24.18</v>
      </c>
      <c r="M5" s="12"/>
    </row>
    <row r="6" spans="1:13" x14ac:dyDescent="0.25">
      <c r="B6" s="12">
        <v>45376</v>
      </c>
      <c r="C6" s="18">
        <v>25.48</v>
      </c>
      <c r="M6" s="12"/>
    </row>
    <row r="7" spans="1:13" x14ac:dyDescent="0.25">
      <c r="B7" s="12">
        <v>45369</v>
      </c>
      <c r="C7" s="18">
        <v>26.030000999999999</v>
      </c>
      <c r="M7" s="12"/>
    </row>
    <row r="8" spans="1:13" x14ac:dyDescent="0.25">
      <c r="B8" s="12">
        <v>45362</v>
      </c>
      <c r="C8" s="18">
        <v>23.73</v>
      </c>
      <c r="M8" s="12"/>
    </row>
    <row r="9" spans="1:13" x14ac:dyDescent="0.25">
      <c r="B9" s="12">
        <v>45355</v>
      </c>
      <c r="C9" s="18">
        <v>25.219999000000001</v>
      </c>
      <c r="M9" s="12"/>
    </row>
    <row r="10" spans="1:13" x14ac:dyDescent="0.25">
      <c r="B10" s="12">
        <v>45348</v>
      </c>
      <c r="C10" s="18">
        <v>27.799999</v>
      </c>
      <c r="M10" s="12"/>
    </row>
    <row r="11" spans="1:13" x14ac:dyDescent="0.25">
      <c r="B11" s="12">
        <v>45341</v>
      </c>
      <c r="C11" s="18">
        <v>28.59</v>
      </c>
      <c r="M11" s="12"/>
    </row>
    <row r="12" spans="1:13" x14ac:dyDescent="0.25">
      <c r="B12" s="12">
        <v>45334</v>
      </c>
      <c r="C12" s="18">
        <v>29.9</v>
      </c>
      <c r="M12" s="12"/>
    </row>
    <row r="13" spans="1:13" x14ac:dyDescent="0.25">
      <c r="B13" s="12">
        <v>45327</v>
      </c>
      <c r="C13" s="18">
        <v>30.27</v>
      </c>
    </row>
    <row r="14" spans="1:13" x14ac:dyDescent="0.25">
      <c r="B14" s="12">
        <v>45320</v>
      </c>
      <c r="C14" s="18">
        <v>27.68</v>
      </c>
    </row>
    <row r="15" spans="1:13" x14ac:dyDescent="0.25">
      <c r="B15" s="12">
        <v>45313</v>
      </c>
      <c r="C15" s="18">
        <v>24.67</v>
      </c>
    </row>
    <row r="16" spans="1:13" x14ac:dyDescent="0.25">
      <c r="B16" s="12">
        <v>45306</v>
      </c>
      <c r="C16" s="18">
        <v>25.26</v>
      </c>
    </row>
    <row r="17" spans="2:3" x14ac:dyDescent="0.25">
      <c r="B17" s="12">
        <v>45299</v>
      </c>
      <c r="C17" s="18">
        <v>26.190000999999999</v>
      </c>
    </row>
    <row r="18" spans="2:3" x14ac:dyDescent="0.25">
      <c r="B18" s="12">
        <v>45292</v>
      </c>
      <c r="C18" s="18">
        <v>26.32</v>
      </c>
    </row>
    <row r="19" spans="2:3" x14ac:dyDescent="0.25">
      <c r="B19" s="12">
        <v>45285</v>
      </c>
      <c r="C19" s="18">
        <v>27.780000999999999</v>
      </c>
    </row>
    <row r="20" spans="2:3" x14ac:dyDescent="0.25">
      <c r="B20" s="12">
        <v>45278</v>
      </c>
      <c r="C20" s="18">
        <v>29.059999000000001</v>
      </c>
    </row>
    <row r="21" spans="2:3" x14ac:dyDescent="0.25">
      <c r="B21" s="12">
        <v>45271</v>
      </c>
      <c r="C21" s="18">
        <v>28.629999000000002</v>
      </c>
    </row>
    <row r="22" spans="2:3" x14ac:dyDescent="0.25">
      <c r="B22" s="12">
        <v>45264</v>
      </c>
      <c r="C22" s="18">
        <v>29.879999000000002</v>
      </c>
    </row>
    <row r="23" spans="2:3" x14ac:dyDescent="0.25">
      <c r="B23" s="12">
        <v>45257</v>
      </c>
      <c r="C23" s="18">
        <v>31.620000999999998</v>
      </c>
    </row>
    <row r="24" spans="2:3" x14ac:dyDescent="0.25">
      <c r="B24" s="12">
        <v>45250</v>
      </c>
      <c r="C24" s="18">
        <v>28.549999</v>
      </c>
    </row>
    <row r="25" spans="2:3" x14ac:dyDescent="0.25">
      <c r="B25" s="12">
        <v>45243</v>
      </c>
      <c r="C25" s="18">
        <v>27.530000999999999</v>
      </c>
    </row>
    <row r="26" spans="2:3" x14ac:dyDescent="0.25">
      <c r="B26" s="12">
        <v>45236</v>
      </c>
      <c r="C26" s="18">
        <v>25.299999</v>
      </c>
    </row>
    <row r="27" spans="2:3" x14ac:dyDescent="0.25">
      <c r="B27" s="12">
        <v>45229</v>
      </c>
      <c r="C27" s="18">
        <v>31.49</v>
      </c>
    </row>
    <row r="28" spans="2:3" x14ac:dyDescent="0.25">
      <c r="B28" s="12">
        <v>45222</v>
      </c>
      <c r="C28" s="18">
        <v>26.99</v>
      </c>
    </row>
    <row r="29" spans="2:3" x14ac:dyDescent="0.25">
      <c r="B29" s="12">
        <v>45215</v>
      </c>
      <c r="C29" s="18">
        <v>29.01</v>
      </c>
    </row>
    <row r="30" spans="2:3" x14ac:dyDescent="0.25">
      <c r="B30" s="12">
        <v>45208</v>
      </c>
      <c r="C30" s="18">
        <v>31.530000999999999</v>
      </c>
    </row>
    <row r="31" spans="2:3" x14ac:dyDescent="0.25">
      <c r="B31" s="12">
        <v>45201</v>
      </c>
      <c r="C31" s="18">
        <v>32.619999</v>
      </c>
    </row>
    <row r="32" spans="2:3" x14ac:dyDescent="0.25">
      <c r="B32" s="12">
        <v>45194</v>
      </c>
      <c r="C32" s="18">
        <v>34.5</v>
      </c>
    </row>
    <row r="33" spans="2:3" x14ac:dyDescent="0.25">
      <c r="B33" s="12">
        <v>45187</v>
      </c>
      <c r="C33" s="18">
        <v>33.389999000000003</v>
      </c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5"/>
  <sheetViews>
    <sheetView topLeftCell="A4" workbookViewId="0">
      <selection activeCell="B2" sqref="B2:C33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38</v>
      </c>
      <c r="B1" s="1" t="s">
        <v>51</v>
      </c>
      <c r="C1" s="1" t="s">
        <v>0</v>
      </c>
      <c r="D1" s="1" t="s">
        <v>94</v>
      </c>
      <c r="H1" s="134" t="s">
        <v>95</v>
      </c>
      <c r="I1" s="135"/>
      <c r="J1" s="135"/>
      <c r="K1" s="135"/>
      <c r="L1" s="135"/>
      <c r="M1" s="136"/>
    </row>
    <row r="2" spans="1:13" ht="15.75" thickBot="1" x14ac:dyDescent="0.3">
      <c r="B2" s="12">
        <v>45404</v>
      </c>
      <c r="C2" s="18">
        <v>22.934999000000001</v>
      </c>
      <c r="D2">
        <f>C2/C3-1</f>
        <v>9.0188737351517556E-3</v>
      </c>
      <c r="H2" s="62"/>
      <c r="I2" s="63"/>
      <c r="J2" s="63"/>
      <c r="K2" s="63"/>
      <c r="L2" s="63"/>
      <c r="M2" s="64"/>
    </row>
    <row r="3" spans="1:13" ht="15.75" thickBot="1" x14ac:dyDescent="0.3">
      <c r="B3" s="12">
        <v>45397</v>
      </c>
      <c r="C3" s="18">
        <v>22.73</v>
      </c>
      <c r="D3">
        <f t="shared" ref="D3:D66" si="0">C3/C4-1</f>
        <v>-4.3350168350168361E-2</v>
      </c>
      <c r="H3" s="65" t="s">
        <v>96</v>
      </c>
      <c r="I3" s="66" t="s">
        <v>97</v>
      </c>
      <c r="J3" s="67" t="s">
        <v>98</v>
      </c>
      <c r="K3" s="68" t="s">
        <v>99</v>
      </c>
      <c r="L3" s="68" t="s">
        <v>100</v>
      </c>
      <c r="M3" s="69" t="s">
        <v>101</v>
      </c>
    </row>
    <row r="4" spans="1:13" x14ac:dyDescent="0.25">
      <c r="B4" s="12">
        <v>45390</v>
      </c>
      <c r="C4" s="18">
        <v>23.76</v>
      </c>
      <c r="D4">
        <f t="shared" si="0"/>
        <v>-1.7369727047146344E-2</v>
      </c>
      <c r="H4" s="70">
        <f>$I$19-3*$I$23</f>
        <v>-0.23230718037350073</v>
      </c>
      <c r="I4" s="71">
        <f>H4</f>
        <v>-0.23230718037350073</v>
      </c>
      <c r="J4" s="72">
        <f>COUNTIF(D:D,"&lt;="&amp;H4)</f>
        <v>0</v>
      </c>
      <c r="K4" s="72" t="str">
        <f>"Less than "&amp;TEXT(H4,"0,00%")</f>
        <v>Less than -23,23%</v>
      </c>
      <c r="L4" s="73">
        <f>J4/$I$31</f>
        <v>0</v>
      </c>
      <c r="M4" s="74">
        <f>L4</f>
        <v>0</v>
      </c>
    </row>
    <row r="5" spans="1:13" x14ac:dyDescent="0.25">
      <c r="B5" s="12">
        <v>45383</v>
      </c>
      <c r="C5" s="18">
        <v>24.18</v>
      </c>
      <c r="D5">
        <f t="shared" si="0"/>
        <v>-5.1020408163265363E-2</v>
      </c>
      <c r="H5" s="75">
        <f>$I$19-2.4*$I$23</f>
        <v>-0.18771987912597121</v>
      </c>
      <c r="I5" s="76">
        <f>H5</f>
        <v>-0.18771987912597121</v>
      </c>
      <c r="J5" s="77">
        <f>COUNTIFS(D:D,"&lt;="&amp;H5,D:D,"&gt;"&amp;H4)</f>
        <v>1</v>
      </c>
      <c r="K5" s="78" t="str">
        <f t="shared" ref="K5:K14" si="1">TEXT(H4,"0,00%")&amp;" to "&amp;TEXT(H5,"0,00%")</f>
        <v>-23,23% to -18,77%</v>
      </c>
      <c r="L5" s="79">
        <f>J5/$I$31</f>
        <v>3.2258064516129031E-2</v>
      </c>
      <c r="M5" s="80">
        <f>M4+L5</f>
        <v>3.2258064516129031E-2</v>
      </c>
    </row>
    <row r="6" spans="1:13" x14ac:dyDescent="0.25">
      <c r="B6" s="12">
        <v>45376</v>
      </c>
      <c r="C6" s="18">
        <v>25.48</v>
      </c>
      <c r="D6">
        <f t="shared" si="0"/>
        <v>-2.112950360624255E-2</v>
      </c>
      <c r="H6" s="75">
        <f>$I$19-1.8*$I$23</f>
        <v>-0.14313257787844172</v>
      </c>
      <c r="I6" s="76">
        <f t="shared" ref="I6:I14" si="2">H6</f>
        <v>-0.14313257787844172</v>
      </c>
      <c r="J6" s="77">
        <f t="shared" ref="J6:J14" si="3">COUNTIFS(D:D,"&lt;="&amp;H6,D:D,"&gt;"&amp;H5)</f>
        <v>0</v>
      </c>
      <c r="K6" s="78" t="str">
        <f t="shared" si="1"/>
        <v>-18,77% to -14,31%</v>
      </c>
      <c r="L6" s="79">
        <f t="shared" ref="L6:L15" si="4">J6/$I$31</f>
        <v>0</v>
      </c>
      <c r="M6" s="80">
        <f t="shared" ref="M6:M15" si="5">M5+L6</f>
        <v>3.2258064516129031E-2</v>
      </c>
    </row>
    <row r="7" spans="1:13" x14ac:dyDescent="0.25">
      <c r="B7" s="12">
        <v>45369</v>
      </c>
      <c r="C7" s="18">
        <v>26.030000999999999</v>
      </c>
      <c r="D7">
        <f t="shared" si="0"/>
        <v>9.6923767383059412E-2</v>
      </c>
      <c r="H7" s="75">
        <f>$I$19-1.2*$I$23</f>
        <v>-9.8545276630912226E-2</v>
      </c>
      <c r="I7" s="76">
        <f t="shared" si="2"/>
        <v>-9.8545276630912226E-2</v>
      </c>
      <c r="J7" s="77">
        <f t="shared" si="3"/>
        <v>0</v>
      </c>
      <c r="K7" s="78" t="str">
        <f t="shared" si="1"/>
        <v>-14,31% to -9,85%</v>
      </c>
      <c r="L7" s="79">
        <f t="shared" si="4"/>
        <v>0</v>
      </c>
      <c r="M7" s="80">
        <f t="shared" si="5"/>
        <v>3.2258064516129031E-2</v>
      </c>
    </row>
    <row r="8" spans="1:13" x14ac:dyDescent="0.25">
      <c r="B8" s="12">
        <v>45362</v>
      </c>
      <c r="C8" s="18">
        <v>23.73</v>
      </c>
      <c r="D8">
        <f t="shared" si="0"/>
        <v>-5.9080057854086432E-2</v>
      </c>
      <c r="H8" s="75">
        <f>$I$19-0.6*$I$23</f>
        <v>-5.3957975383382734E-2</v>
      </c>
      <c r="I8" s="76">
        <f t="shared" si="2"/>
        <v>-5.3957975383382734E-2</v>
      </c>
      <c r="J8" s="77">
        <f t="shared" si="3"/>
        <v>6</v>
      </c>
      <c r="K8" s="78" t="str">
        <f t="shared" si="1"/>
        <v>-9,85% to -5,40%</v>
      </c>
      <c r="L8" s="79">
        <f t="shared" si="4"/>
        <v>0.19354838709677419</v>
      </c>
      <c r="M8" s="80">
        <f t="shared" si="5"/>
        <v>0.22580645161290322</v>
      </c>
    </row>
    <row r="9" spans="1:13" x14ac:dyDescent="0.25">
      <c r="B9" s="12">
        <v>45355</v>
      </c>
      <c r="C9" s="18">
        <v>25.219999000000001</v>
      </c>
      <c r="D9">
        <f t="shared" si="0"/>
        <v>-9.2805758734020083E-2</v>
      </c>
      <c r="H9" s="75">
        <f>$I$19</f>
        <v>-9.3706741358532408E-3</v>
      </c>
      <c r="I9" s="76">
        <f t="shared" si="2"/>
        <v>-9.3706741358532408E-3</v>
      </c>
      <c r="J9" s="77">
        <f t="shared" si="3"/>
        <v>13</v>
      </c>
      <c r="K9" s="78" t="str">
        <f t="shared" si="1"/>
        <v>-5,40% to -0,94%</v>
      </c>
      <c r="L9" s="79">
        <f t="shared" si="4"/>
        <v>0.41935483870967744</v>
      </c>
      <c r="M9" s="80">
        <f t="shared" si="5"/>
        <v>0.64516129032258063</v>
      </c>
    </row>
    <row r="10" spans="1:13" x14ac:dyDescent="0.25">
      <c r="B10" s="12">
        <v>45348</v>
      </c>
      <c r="C10" s="18">
        <v>27.799999</v>
      </c>
      <c r="D10">
        <f t="shared" si="0"/>
        <v>-2.7632074151801356E-2</v>
      </c>
      <c r="H10" s="75">
        <f>$I$19+0.6*$I$23</f>
        <v>3.5216627111676252E-2</v>
      </c>
      <c r="I10" s="76">
        <f t="shared" si="2"/>
        <v>3.5216627111676252E-2</v>
      </c>
      <c r="J10" s="77">
        <f t="shared" si="3"/>
        <v>4</v>
      </c>
      <c r="K10" s="78" t="str">
        <f t="shared" si="1"/>
        <v>-0,94% to 3,52%</v>
      </c>
      <c r="L10" s="79">
        <f t="shared" si="4"/>
        <v>0.12903225806451613</v>
      </c>
      <c r="M10" s="80">
        <f t="shared" si="5"/>
        <v>0.77419354838709675</v>
      </c>
    </row>
    <row r="11" spans="1:13" x14ac:dyDescent="0.25">
      <c r="B11" s="12">
        <v>45341</v>
      </c>
      <c r="C11" s="18">
        <v>28.59</v>
      </c>
      <c r="D11">
        <f t="shared" si="0"/>
        <v>-4.3812709030100261E-2</v>
      </c>
      <c r="H11" s="75">
        <f>$I$19+1.2*$I$23</f>
        <v>7.9803928359205745E-2</v>
      </c>
      <c r="I11" s="76">
        <f t="shared" si="2"/>
        <v>7.9803928359205745E-2</v>
      </c>
      <c r="J11" s="77">
        <f t="shared" si="3"/>
        <v>1</v>
      </c>
      <c r="K11" s="78" t="str">
        <f t="shared" si="1"/>
        <v>3,52% to 7,98%</v>
      </c>
      <c r="L11" s="79">
        <f t="shared" si="4"/>
        <v>3.2258064516129031E-2</v>
      </c>
      <c r="M11" s="80">
        <f t="shared" si="5"/>
        <v>0.80645161290322576</v>
      </c>
    </row>
    <row r="12" spans="1:13" x14ac:dyDescent="0.25">
      <c r="B12" s="12">
        <v>45334</v>
      </c>
      <c r="C12" s="18">
        <v>29.9</v>
      </c>
      <c r="D12">
        <f t="shared" si="0"/>
        <v>-1.222332342253063E-2</v>
      </c>
      <c r="H12" s="75">
        <f>$I$19+1.8*$I$23</f>
        <v>0.12439122960673524</v>
      </c>
      <c r="I12" s="76">
        <f t="shared" si="2"/>
        <v>0.12439122960673524</v>
      </c>
      <c r="J12" s="77">
        <f t="shared" si="3"/>
        <v>5</v>
      </c>
      <c r="K12" s="78" t="str">
        <f t="shared" si="1"/>
        <v>7,98% to 12,44%</v>
      </c>
      <c r="L12" s="79">
        <f t="shared" si="4"/>
        <v>0.16129032258064516</v>
      </c>
      <c r="M12" s="80">
        <f t="shared" si="5"/>
        <v>0.96774193548387089</v>
      </c>
    </row>
    <row r="13" spans="1:13" x14ac:dyDescent="0.25">
      <c r="B13" s="12">
        <v>45327</v>
      </c>
      <c r="C13" s="18">
        <v>30.27</v>
      </c>
      <c r="D13">
        <f t="shared" si="0"/>
        <v>9.35693641618498E-2</v>
      </c>
      <c r="H13" s="75">
        <f>$I$19+2.4*$I$23</f>
        <v>0.16897853085426473</v>
      </c>
      <c r="I13" s="76">
        <f t="shared" si="2"/>
        <v>0.16897853085426473</v>
      </c>
      <c r="J13" s="77">
        <f t="shared" si="3"/>
        <v>1</v>
      </c>
      <c r="K13" s="78" t="str">
        <f t="shared" si="1"/>
        <v>12,44% to 16,90%</v>
      </c>
      <c r="L13" s="79">
        <f t="shared" si="4"/>
        <v>3.2258064516129031E-2</v>
      </c>
      <c r="M13" s="80">
        <f t="shared" si="5"/>
        <v>0.99999999999999989</v>
      </c>
    </row>
    <row r="14" spans="1:13" x14ac:dyDescent="0.25">
      <c r="B14" s="12">
        <v>45320</v>
      </c>
      <c r="C14" s="18">
        <v>27.68</v>
      </c>
      <c r="D14">
        <f t="shared" si="0"/>
        <v>0.12201053911633553</v>
      </c>
      <c r="H14" s="75">
        <f>$I$19+3*$I$23</f>
        <v>0.21356583210179425</v>
      </c>
      <c r="I14" s="76">
        <f t="shared" si="2"/>
        <v>0.21356583210179425</v>
      </c>
      <c r="J14" s="77">
        <f t="shared" si="3"/>
        <v>0</v>
      </c>
      <c r="K14" s="78" t="str">
        <f t="shared" si="1"/>
        <v>16,90% to 21,36%</v>
      </c>
      <c r="L14" s="79">
        <f t="shared" si="4"/>
        <v>0</v>
      </c>
      <c r="M14" s="80">
        <f t="shared" si="5"/>
        <v>0.99999999999999989</v>
      </c>
    </row>
    <row r="15" spans="1:13" ht="15.75" thickBot="1" x14ac:dyDescent="0.3">
      <c r="B15" s="12">
        <v>45313</v>
      </c>
      <c r="C15" s="18">
        <v>24.67</v>
      </c>
      <c r="D15">
        <f t="shared" si="0"/>
        <v>-2.3357086302454477E-2</v>
      </c>
      <c r="H15" s="81"/>
      <c r="I15" s="82" t="s">
        <v>102</v>
      </c>
      <c r="J15" s="82">
        <f>COUNTIF(D:D,"&gt;"&amp;H14)</f>
        <v>0</v>
      </c>
      <c r="K15" s="82" t="str">
        <f>"Greater than "&amp;TEXT(H14,"0,00%")</f>
        <v>Greater than 21,36%</v>
      </c>
      <c r="L15" s="83">
        <f t="shared" si="4"/>
        <v>0</v>
      </c>
      <c r="M15" s="83">
        <f t="shared" si="5"/>
        <v>0.99999999999999989</v>
      </c>
    </row>
    <row r="16" spans="1:13" ht="15.75" thickBot="1" x14ac:dyDescent="0.3">
      <c r="B16" s="12">
        <v>45306</v>
      </c>
      <c r="C16" s="18">
        <v>25.26</v>
      </c>
      <c r="D16">
        <f t="shared" si="0"/>
        <v>-3.5509773367324304E-2</v>
      </c>
      <c r="H16" s="84"/>
      <c r="M16" s="85"/>
    </row>
    <row r="17" spans="2:13" x14ac:dyDescent="0.25">
      <c r="B17" s="12">
        <v>45299</v>
      </c>
      <c r="C17" s="18">
        <v>26.190000999999999</v>
      </c>
      <c r="D17">
        <f t="shared" si="0"/>
        <v>-4.9391717325228957E-3</v>
      </c>
      <c r="H17" s="137" t="s">
        <v>133</v>
      </c>
      <c r="I17" s="138"/>
      <c r="M17" s="85"/>
    </row>
    <row r="18" spans="2:13" x14ac:dyDescent="0.25">
      <c r="B18" s="12">
        <v>45292</v>
      </c>
      <c r="C18" s="18">
        <v>26.32</v>
      </c>
      <c r="D18">
        <f t="shared" si="0"/>
        <v>-5.2555829641618756E-2</v>
      </c>
      <c r="H18" s="139"/>
      <c r="I18" s="140"/>
      <c r="M18" s="85"/>
    </row>
    <row r="19" spans="2:13" x14ac:dyDescent="0.25">
      <c r="B19" s="12">
        <v>45285</v>
      </c>
      <c r="C19" s="18">
        <v>27.780000999999999</v>
      </c>
      <c r="D19">
        <f t="shared" si="0"/>
        <v>-4.404673241729995E-2</v>
      </c>
      <c r="H19" s="86" t="s">
        <v>103</v>
      </c>
      <c r="I19" s="123">
        <f>AVERAGE(D:D)</f>
        <v>-9.3706741358532408E-3</v>
      </c>
      <c r="M19" s="85"/>
    </row>
    <row r="20" spans="2:13" x14ac:dyDescent="0.25">
      <c r="B20" s="12">
        <v>45278</v>
      </c>
      <c r="C20" s="18">
        <v>29.059999000000001</v>
      </c>
      <c r="D20">
        <f t="shared" si="0"/>
        <v>1.5019211142829558E-2</v>
      </c>
      <c r="H20" s="86" t="s">
        <v>104</v>
      </c>
      <c r="I20" s="123">
        <f>_xlfn.STDEV.S(D:D)/SQRT(COUNT(D:D))</f>
        <v>1.3346859511868888E-2</v>
      </c>
      <c r="M20" s="85"/>
    </row>
    <row r="21" spans="2:13" x14ac:dyDescent="0.25">
      <c r="B21" s="12">
        <v>45271</v>
      </c>
      <c r="C21" s="18">
        <v>28.629999000000002</v>
      </c>
      <c r="D21">
        <f t="shared" si="0"/>
        <v>-4.1834004077443199E-2</v>
      </c>
      <c r="H21" s="86" t="s">
        <v>105</v>
      </c>
      <c r="I21" s="123">
        <f>MEDIAN(D:D)</f>
        <v>-2.7632074151801356E-2</v>
      </c>
      <c r="M21" s="85"/>
    </row>
    <row r="22" spans="2:13" x14ac:dyDescent="0.25">
      <c r="B22" s="12">
        <v>45264</v>
      </c>
      <c r="C22" s="18">
        <v>29.879999000000002</v>
      </c>
      <c r="D22">
        <f t="shared" si="0"/>
        <v>-5.5028524508901722E-2</v>
      </c>
      <c r="H22" s="86" t="s">
        <v>106</v>
      </c>
      <c r="I22" s="123" t="e">
        <f>MODE(D:D)</f>
        <v>#N/A</v>
      </c>
      <c r="M22" s="85"/>
    </row>
    <row r="23" spans="2:13" x14ac:dyDescent="0.25">
      <c r="B23" s="12">
        <v>45257</v>
      </c>
      <c r="C23" s="18">
        <v>31.620000999999998</v>
      </c>
      <c r="D23">
        <f t="shared" si="0"/>
        <v>0.10753072180492884</v>
      </c>
      <c r="H23" s="86" t="s">
        <v>107</v>
      </c>
      <c r="I23" s="123">
        <f>_xlfn.STDEV.S(D:D)</f>
        <v>7.4312168745882493E-2</v>
      </c>
      <c r="M23" s="85"/>
    </row>
    <row r="24" spans="2:13" x14ac:dyDescent="0.25">
      <c r="B24" s="12">
        <v>45250</v>
      </c>
      <c r="C24" s="18">
        <v>28.549999</v>
      </c>
      <c r="D24">
        <f t="shared" si="0"/>
        <v>3.705041638029738E-2</v>
      </c>
      <c r="H24" s="86" t="s">
        <v>108</v>
      </c>
      <c r="I24" s="123">
        <f>_xlfn.VAR.S(D:D)</f>
        <v>5.5222984237165143E-3</v>
      </c>
      <c r="M24" s="85"/>
    </row>
    <row r="25" spans="2:13" x14ac:dyDescent="0.25">
      <c r="B25" s="12">
        <v>45243</v>
      </c>
      <c r="C25" s="18">
        <v>27.530000999999999</v>
      </c>
      <c r="D25">
        <f t="shared" si="0"/>
        <v>8.814237502539024E-2</v>
      </c>
      <c r="H25" s="86" t="s">
        <v>109</v>
      </c>
      <c r="I25" s="124">
        <f>KURT(D:D)</f>
        <v>0.850501256942918</v>
      </c>
      <c r="M25" s="85"/>
    </row>
    <row r="26" spans="2:13" x14ac:dyDescent="0.25">
      <c r="B26" s="12">
        <v>45236</v>
      </c>
      <c r="C26" s="18">
        <v>25.299999</v>
      </c>
      <c r="D26">
        <f t="shared" si="0"/>
        <v>-0.19657037154652268</v>
      </c>
      <c r="H26" s="86" t="s">
        <v>110</v>
      </c>
      <c r="I26" s="124">
        <f>SKEW(D:D)</f>
        <v>0.37954038733571094</v>
      </c>
      <c r="M26" s="85"/>
    </row>
    <row r="27" spans="2:13" x14ac:dyDescent="0.25">
      <c r="B27" s="12">
        <v>45229</v>
      </c>
      <c r="C27" s="18">
        <v>31.49</v>
      </c>
      <c r="D27">
        <f t="shared" si="0"/>
        <v>0.16672841793256765</v>
      </c>
      <c r="H27" s="86" t="s">
        <v>99</v>
      </c>
      <c r="I27" s="123">
        <f>I29-I28</f>
        <v>0.36329878947909033</v>
      </c>
      <c r="M27" s="85"/>
    </row>
    <row r="28" spans="2:13" x14ac:dyDescent="0.25">
      <c r="B28" s="12">
        <v>45222</v>
      </c>
      <c r="C28" s="18">
        <v>26.99</v>
      </c>
      <c r="D28">
        <f t="shared" si="0"/>
        <v>-6.963116166839034E-2</v>
      </c>
      <c r="H28" s="86" t="s">
        <v>111</v>
      </c>
      <c r="I28" s="123">
        <f>MIN(D:D)</f>
        <v>-0.19657037154652268</v>
      </c>
      <c r="M28" s="85"/>
    </row>
    <row r="29" spans="2:13" x14ac:dyDescent="0.25">
      <c r="B29" s="12">
        <v>45215</v>
      </c>
      <c r="C29" s="18">
        <v>29.01</v>
      </c>
      <c r="D29">
        <f t="shared" si="0"/>
        <v>-7.9923911198099828E-2</v>
      </c>
      <c r="H29" s="86" t="s">
        <v>112</v>
      </c>
      <c r="I29" s="123">
        <f>MAX(D:D)</f>
        <v>0.16672841793256765</v>
      </c>
      <c r="M29" s="85"/>
    </row>
    <row r="30" spans="2:13" x14ac:dyDescent="0.25">
      <c r="B30" s="12">
        <v>45208</v>
      </c>
      <c r="C30" s="18">
        <v>31.530000999999999</v>
      </c>
      <c r="D30">
        <f t="shared" si="0"/>
        <v>-3.3415022483599732E-2</v>
      </c>
      <c r="H30" s="86" t="s">
        <v>113</v>
      </c>
      <c r="I30" s="124">
        <f>SUM(D:D)</f>
        <v>-0.29049089821145047</v>
      </c>
      <c r="M30" s="85"/>
    </row>
    <row r="31" spans="2:13" ht="15.75" thickBot="1" x14ac:dyDescent="0.3">
      <c r="B31" s="12">
        <v>45201</v>
      </c>
      <c r="C31" s="18">
        <v>32.619999</v>
      </c>
      <c r="D31">
        <f t="shared" si="0"/>
        <v>-5.4492782608695611E-2</v>
      </c>
      <c r="H31" s="87" t="s">
        <v>114</v>
      </c>
      <c r="I31" s="64">
        <f>COUNT(D:D)</f>
        <v>31</v>
      </c>
      <c r="M31" s="85"/>
    </row>
    <row r="32" spans="2:13" ht="15.75" thickBot="1" x14ac:dyDescent="0.3">
      <c r="B32" s="12">
        <v>45194</v>
      </c>
      <c r="C32" s="18">
        <v>34.5</v>
      </c>
      <c r="D32">
        <f t="shared" si="0"/>
        <v>3.3243517018374247E-2</v>
      </c>
      <c r="H32" s="89"/>
      <c r="M32" s="85"/>
    </row>
    <row r="33" spans="2:13" x14ac:dyDescent="0.25">
      <c r="B33" s="12">
        <v>45187</v>
      </c>
      <c r="C33" s="18">
        <v>33.389999000000003</v>
      </c>
      <c r="H33" s="90"/>
      <c r="I33" s="91" t="s">
        <v>115</v>
      </c>
      <c r="J33" s="91" t="s">
        <v>114</v>
      </c>
      <c r="K33" s="91" t="s">
        <v>116</v>
      </c>
      <c r="L33" s="92" t="s">
        <v>117</v>
      </c>
      <c r="M33" s="85"/>
    </row>
    <row r="34" spans="2:13" x14ac:dyDescent="0.25">
      <c r="H34" s="93" t="s">
        <v>118</v>
      </c>
      <c r="I34" s="79">
        <f>AVERAGEIF(D:D,"&gt;0")</f>
        <v>7.6923720370078441E-2</v>
      </c>
      <c r="J34" s="77">
        <f>COUNTIF(D:D,"&gt;0")</f>
        <v>10</v>
      </c>
      <c r="K34" s="79">
        <f>J34/$I$31</f>
        <v>0.32258064516129031</v>
      </c>
      <c r="L34" s="80">
        <f>K34*I34</f>
        <v>2.4814103345186592E-2</v>
      </c>
      <c r="M34" s="85"/>
    </row>
    <row r="35" spans="2:13" x14ac:dyDescent="0.25">
      <c r="H35" s="93" t="s">
        <v>119</v>
      </c>
      <c r="I35" s="79">
        <f>AVERAGEIF(D:D,"&lt;0")</f>
        <v>-5.0463242948201661E-2</v>
      </c>
      <c r="J35" s="77">
        <f>COUNTIF(D:D,"&lt;0")</f>
        <v>21</v>
      </c>
      <c r="K35" s="79">
        <f>J35/$I$31</f>
        <v>0.67741935483870963</v>
      </c>
      <c r="L35" s="80">
        <f t="shared" ref="L35:L36" si="6">K35*I35</f>
        <v>-3.4184777481039832E-2</v>
      </c>
      <c r="M35" s="85"/>
    </row>
    <row r="36" spans="2:13" ht="15.75" thickBot="1" x14ac:dyDescent="0.3">
      <c r="H36" s="94" t="s">
        <v>120</v>
      </c>
      <c r="I36" s="82">
        <v>0</v>
      </c>
      <c r="J36" s="82">
        <f>COUNTIF(D:D,"0")</f>
        <v>0</v>
      </c>
      <c r="K36" s="95">
        <f>J36/$I$31</f>
        <v>0</v>
      </c>
      <c r="L36" s="83">
        <f t="shared" si="6"/>
        <v>0</v>
      </c>
      <c r="M36" s="85"/>
    </row>
    <row r="37" spans="2:13" ht="15.75" thickBot="1" x14ac:dyDescent="0.3">
      <c r="H37" s="89"/>
      <c r="I37" s="96"/>
      <c r="J37" s="96"/>
      <c r="K37" s="96"/>
      <c r="L37" s="96"/>
      <c r="M37" s="85"/>
    </row>
    <row r="38" spans="2:13" x14ac:dyDescent="0.25">
      <c r="H38" s="70" t="s">
        <v>121</v>
      </c>
      <c r="I38" s="91" t="s">
        <v>122</v>
      </c>
      <c r="J38" s="91" t="s">
        <v>123</v>
      </c>
      <c r="K38" s="91" t="s">
        <v>124</v>
      </c>
      <c r="L38" s="91" t="s">
        <v>125</v>
      </c>
      <c r="M38" s="92" t="s">
        <v>126</v>
      </c>
    </row>
    <row r="39" spans="2:13" x14ac:dyDescent="0.25">
      <c r="H39" s="97">
        <v>1</v>
      </c>
      <c r="I39" s="79">
        <f>$I$19+($H39*$I$23)</f>
        <v>6.4941494610029252E-2</v>
      </c>
      <c r="J39" s="79">
        <f>$I$19-($H39*$I$23)</f>
        <v>-8.3682842881735733E-2</v>
      </c>
      <c r="K39" s="77">
        <f>COUNTIFS(D:D,"&lt;"&amp;I39,D:D,"&gt;"&amp;J39)</f>
        <v>23</v>
      </c>
      <c r="L39" s="79">
        <f>K39/$I$31</f>
        <v>0.74193548387096775</v>
      </c>
      <c r="M39" s="80">
        <v>0.68269999999999997</v>
      </c>
    </row>
    <row r="40" spans="2:13" x14ac:dyDescent="0.25">
      <c r="H40" s="97">
        <v>2</v>
      </c>
      <c r="I40" s="79">
        <f>$I$19+($H40*$I$23)</f>
        <v>0.13925366335591174</v>
      </c>
      <c r="J40" s="79">
        <f>$I$19-($H40*$I$23)</f>
        <v>-0.15799501162761823</v>
      </c>
      <c r="K40" s="77">
        <f>COUNTIFS(D:D,"&lt;"&amp;I40,D:D,"&gt;"&amp;J40)</f>
        <v>29</v>
      </c>
      <c r="L40" s="79">
        <f>K40/$I$31</f>
        <v>0.93548387096774188</v>
      </c>
      <c r="M40" s="80">
        <v>0.95450000000000002</v>
      </c>
    </row>
    <row r="41" spans="2:13" x14ac:dyDescent="0.25">
      <c r="H41" s="97">
        <v>3</v>
      </c>
      <c r="I41" s="79">
        <f>$I$19+($H41*$I$23)</f>
        <v>0.21356583210179425</v>
      </c>
      <c r="J41" s="79">
        <f>$I$19-($H41*$I$23)</f>
        <v>-0.23230718037350073</v>
      </c>
      <c r="K41" s="77">
        <f>COUNTIFS(D:D,"&lt;"&amp;I41,D:D,"&gt;"&amp;J41)</f>
        <v>31</v>
      </c>
      <c r="L41" s="79">
        <f>K41/$I$31</f>
        <v>1</v>
      </c>
      <c r="M41" s="98">
        <v>0.99729999999999996</v>
      </c>
    </row>
    <row r="42" spans="2:13" ht="15.75" thickBot="1" x14ac:dyDescent="0.3">
      <c r="H42" s="75"/>
      <c r="M42" s="98"/>
    </row>
    <row r="43" spans="2:13" ht="15.75" thickBot="1" x14ac:dyDescent="0.3">
      <c r="H43" s="141" t="s">
        <v>127</v>
      </c>
      <c r="I43" s="142"/>
      <c r="J43" s="142"/>
      <c r="K43" s="142"/>
      <c r="L43" s="142"/>
      <c r="M43" s="143"/>
    </row>
    <row r="44" spans="2:13" x14ac:dyDescent="0.25">
      <c r="H44" s="99">
        <v>0.01</v>
      </c>
      <c r="I44" s="100">
        <f t="shared" ref="I44:I58" si="7">_xlfn.PERCENTILE.INC(D:D,H44)</f>
        <v>-0.16544098770277191</v>
      </c>
      <c r="J44" s="101">
        <v>0.2</v>
      </c>
      <c r="K44" s="100">
        <f t="shared" ref="K44:K56" si="8">_xlfn.PERCENTILE.INC(D:D,J44)</f>
        <v>-5.4492782608695611E-2</v>
      </c>
      <c r="L44" s="101">
        <v>0.85</v>
      </c>
      <c r="M44" s="102">
        <f t="shared" ref="M44:M58" si="9">_xlfn.PERCENTILE.INC(D:D,L44)</f>
        <v>9.085586959362002E-2</v>
      </c>
    </row>
    <row r="45" spans="2:13" x14ac:dyDescent="0.25">
      <c r="H45" s="103">
        <v>0.02</v>
      </c>
      <c r="I45" s="104">
        <f t="shared" si="7"/>
        <v>-0.13431160385902111</v>
      </c>
      <c r="J45" s="105">
        <v>0.25</v>
      </c>
      <c r="K45" s="104">
        <f t="shared" si="8"/>
        <v>-5.178811890244206E-2</v>
      </c>
      <c r="L45" s="105">
        <v>0.86</v>
      </c>
      <c r="M45" s="106">
        <f t="shared" si="9"/>
        <v>9.2483966334557896E-2</v>
      </c>
    </row>
    <row r="46" spans="2:13" x14ac:dyDescent="0.25">
      <c r="H46" s="103">
        <v>0.03</v>
      </c>
      <c r="I46" s="104">
        <f t="shared" si="7"/>
        <v>-0.10318222001527035</v>
      </c>
      <c r="J46" s="105">
        <v>0.3</v>
      </c>
      <c r="K46" s="104">
        <f t="shared" si="8"/>
        <v>-4.404673241729995E-2</v>
      </c>
      <c r="L46" s="105">
        <v>0.87</v>
      </c>
      <c r="M46" s="106">
        <f t="shared" si="9"/>
        <v>9.3904804483970761E-2</v>
      </c>
    </row>
    <row r="47" spans="2:13" x14ac:dyDescent="0.25">
      <c r="H47" s="103">
        <v>0.04</v>
      </c>
      <c r="I47" s="104">
        <f t="shared" si="7"/>
        <v>-9.0229389226836029E-2</v>
      </c>
      <c r="J47" s="105">
        <v>0.35</v>
      </c>
      <c r="K47" s="104">
        <f t="shared" si="8"/>
        <v>-4.3581438690134311E-2</v>
      </c>
      <c r="L47" s="105">
        <v>0.88</v>
      </c>
      <c r="M47" s="106">
        <f t="shared" si="9"/>
        <v>9.4911125450333644E-2</v>
      </c>
    </row>
    <row r="48" spans="2:13" x14ac:dyDescent="0.25">
      <c r="H48" s="103">
        <v>0.05</v>
      </c>
      <c r="I48" s="104">
        <f t="shared" si="7"/>
        <v>-8.6364834966059956E-2</v>
      </c>
      <c r="J48" s="105">
        <v>0.4</v>
      </c>
      <c r="K48" s="104">
        <f t="shared" si="8"/>
        <v>-4.1834004077443199E-2</v>
      </c>
      <c r="L48" s="105">
        <v>0.89</v>
      </c>
      <c r="M48" s="106">
        <f t="shared" si="9"/>
        <v>9.5917446416696528E-2</v>
      </c>
    </row>
    <row r="49" spans="8:13" x14ac:dyDescent="0.25">
      <c r="H49" s="103">
        <v>0.06</v>
      </c>
      <c r="I49" s="104">
        <f t="shared" si="7"/>
        <v>-8.2500280705283882E-2</v>
      </c>
      <c r="J49" s="105">
        <v>0.45</v>
      </c>
      <c r="K49" s="104">
        <f t="shared" si="8"/>
        <v>-3.4462397925462018E-2</v>
      </c>
      <c r="L49" s="105">
        <v>0.9</v>
      </c>
      <c r="M49" s="106">
        <f t="shared" si="9"/>
        <v>9.6923767383059412E-2</v>
      </c>
    </row>
    <row r="50" spans="8:13" x14ac:dyDescent="0.25">
      <c r="H50" s="103">
        <v>7.0000000000000007E-2</v>
      </c>
      <c r="I50" s="104">
        <f t="shared" si="7"/>
        <v>-7.889463624512888E-2</v>
      </c>
      <c r="J50" s="105">
        <v>0.5</v>
      </c>
      <c r="K50" s="104">
        <f t="shared" si="8"/>
        <v>-2.7632074151801356E-2</v>
      </c>
      <c r="L50" s="105">
        <v>0.91</v>
      </c>
      <c r="M50" s="106">
        <f t="shared" si="9"/>
        <v>0.10010585370962025</v>
      </c>
    </row>
    <row r="51" spans="8:13" x14ac:dyDescent="0.25">
      <c r="H51" s="103">
        <v>0.08</v>
      </c>
      <c r="I51" s="104">
        <f t="shared" si="7"/>
        <v>-7.5806811386216033E-2</v>
      </c>
      <c r="J51" s="105">
        <v>0.55000000000000004</v>
      </c>
      <c r="K51" s="104">
        <f t="shared" si="8"/>
        <v>-2.2243294954348514E-2</v>
      </c>
      <c r="L51" s="105">
        <v>0.92</v>
      </c>
      <c r="M51" s="106">
        <f t="shared" si="9"/>
        <v>0.10328794003618108</v>
      </c>
    </row>
    <row r="52" spans="8:13" x14ac:dyDescent="0.25">
      <c r="H52" s="103">
        <v>0.09</v>
      </c>
      <c r="I52" s="104">
        <f t="shared" si="7"/>
        <v>-7.2718986527303187E-2</v>
      </c>
      <c r="J52" s="105">
        <v>0.6</v>
      </c>
      <c r="K52" s="104">
        <f t="shared" si="8"/>
        <v>-1.7369727047146344E-2</v>
      </c>
      <c r="L52" s="105">
        <v>0.93</v>
      </c>
      <c r="M52" s="106">
        <f t="shared" si="9"/>
        <v>0.10647002636274192</v>
      </c>
    </row>
    <row r="53" spans="8:13" x14ac:dyDescent="0.25">
      <c r="H53" s="103">
        <v>0.1</v>
      </c>
      <c r="I53" s="104">
        <f t="shared" si="7"/>
        <v>-6.963116166839034E-2</v>
      </c>
      <c r="J53" s="105">
        <v>0.65</v>
      </c>
      <c r="K53" s="104">
        <f t="shared" si="8"/>
        <v>-8.5812475775267627E-3</v>
      </c>
      <c r="L53" s="105">
        <v>0.94</v>
      </c>
      <c r="M53" s="106">
        <f t="shared" si="9"/>
        <v>0.11042668526721017</v>
      </c>
    </row>
    <row r="54" spans="8:13" x14ac:dyDescent="0.25">
      <c r="H54" s="103">
        <v>0.11</v>
      </c>
      <c r="I54" s="104">
        <f t="shared" si="7"/>
        <v>-6.646583052409917E-2</v>
      </c>
      <c r="J54" s="105">
        <v>0.7</v>
      </c>
      <c r="K54" s="104">
        <f t="shared" si="8"/>
        <v>9.0188737351517556E-3</v>
      </c>
      <c r="L54" s="105">
        <v>0.95</v>
      </c>
      <c r="M54" s="106">
        <f t="shared" si="9"/>
        <v>0.11477063046063218</v>
      </c>
    </row>
    <row r="55" spans="8:13" x14ac:dyDescent="0.25">
      <c r="H55" s="103">
        <v>0.12</v>
      </c>
      <c r="I55" s="104">
        <f t="shared" si="7"/>
        <v>-6.3300499379808001E-2</v>
      </c>
      <c r="J55" s="105">
        <v>0.75</v>
      </c>
      <c r="K55" s="104">
        <f t="shared" si="8"/>
        <v>2.4131364080601903E-2</v>
      </c>
      <c r="L55" s="105">
        <v>0.96</v>
      </c>
      <c r="M55" s="106">
        <f t="shared" si="9"/>
        <v>0.11911457565405414</v>
      </c>
    </row>
    <row r="56" spans="8:13" x14ac:dyDescent="0.25">
      <c r="H56" s="103">
        <v>0.13</v>
      </c>
      <c r="I56" s="104">
        <f t="shared" si="7"/>
        <v>-6.0135168235516817E-2</v>
      </c>
      <c r="J56" s="105">
        <v>0.8</v>
      </c>
      <c r="K56" s="104">
        <f t="shared" si="8"/>
        <v>3.705041638029738E-2</v>
      </c>
      <c r="L56" s="105">
        <v>0.97</v>
      </c>
      <c r="M56" s="106">
        <f t="shared" si="9"/>
        <v>0.12648232699795864</v>
      </c>
    </row>
    <row r="57" spans="8:13" x14ac:dyDescent="0.25">
      <c r="H57" s="103">
        <v>0.14000000000000001</v>
      </c>
      <c r="I57" s="104">
        <f t="shared" si="7"/>
        <v>-5.8269751185049491E-2</v>
      </c>
      <c r="J57" s="105"/>
      <c r="K57" s="104"/>
      <c r="L57" s="105">
        <v>0.98</v>
      </c>
      <c r="M57" s="106">
        <f t="shared" si="9"/>
        <v>0.13989769064282831</v>
      </c>
    </row>
    <row r="58" spans="8:13" ht="15.75" thickBot="1" x14ac:dyDescent="0.3">
      <c r="H58" s="107">
        <v>0.15</v>
      </c>
      <c r="I58" s="108">
        <f t="shared" si="7"/>
        <v>-5.7054291181494077E-2</v>
      </c>
      <c r="J58" s="109"/>
      <c r="K58" s="88"/>
      <c r="L58" s="110">
        <v>0.99</v>
      </c>
      <c r="M58" s="111">
        <f t="shared" si="9"/>
        <v>0.15331305428769798</v>
      </c>
    </row>
    <row r="59" spans="8:13" ht="15.75" thickBot="1" x14ac:dyDescent="0.3"/>
    <row r="60" spans="8:13" x14ac:dyDescent="0.25">
      <c r="H60" s="112" t="s">
        <v>128</v>
      </c>
      <c r="I60" s="113"/>
    </row>
    <row r="61" spans="8:13" ht="15.75" thickBot="1" x14ac:dyDescent="0.3">
      <c r="H61" s="114" t="s">
        <v>129</v>
      </c>
      <c r="I61" s="115"/>
    </row>
    <row r="62" spans="8:13" ht="15.75" thickBot="1" x14ac:dyDescent="0.3">
      <c r="H62" s="116"/>
    </row>
    <row r="63" spans="8:13" x14ac:dyDescent="0.25">
      <c r="H63" s="112" t="s">
        <v>130</v>
      </c>
      <c r="I63" s="117"/>
    </row>
    <row r="64" spans="8:13" x14ac:dyDescent="0.25">
      <c r="H64" s="118" t="s">
        <v>131</v>
      </c>
      <c r="I64" s="119">
        <f>I63*(1-I60)</f>
        <v>0</v>
      </c>
    </row>
    <row r="65" spans="8:9" ht="15.75" thickBot="1" x14ac:dyDescent="0.3">
      <c r="H65" s="114" t="s">
        <v>132</v>
      </c>
      <c r="I65" s="120">
        <f>I63*(1+I61)</f>
        <v>0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2024-04-22T20:01:50Z</dcterms:modified>
</cp:coreProperties>
</file>