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ADDD5F84-59D5-4DFA-8D98-B99A3DC742BF}" xr6:coauthVersionLast="47" xr6:coauthVersionMax="47" xr10:uidLastSave="{00000000-0000-0000-0000-000000000000}"/>
  <bookViews>
    <workbookView xWindow="14295" yWindow="0" windowWidth="14610" windowHeight="1558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Model!$B$3</definedName>
    <definedName name="_xlchart.v1.1" hidden="1">Model!$B$4</definedName>
    <definedName name="_xlchart.v1.2" hidden="1">Model!$L$2:$AA$2</definedName>
    <definedName name="_xlchart.v1.3" hidden="1">Model!$L$3:$AA$3</definedName>
    <definedName name="_xlchart.v1.4" hidden="1">Model!$L$4:$AA$4</definedName>
    <definedName name="_xlchart.v1.5" hidden="1">Model!$B$19</definedName>
    <definedName name="_xlchart.v1.6" hidden="1">Model!$B$20</definedName>
    <definedName name="_xlchart.v1.7" hidden="1">Model!$L$19:$AA$19</definedName>
    <definedName name="_xlchart.v1.8" hidden="1">Model!$L$20:$AA$20</definedName>
    <definedName name="_xlchart.v1.9" hidden="1">Model!$L$2:$AA$2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3" i="2" l="1"/>
  <c r="W61" i="2"/>
  <c r="W60" i="2"/>
  <c r="W59" i="2"/>
  <c r="W58" i="2"/>
  <c r="W56" i="2"/>
  <c r="W55" i="2"/>
  <c r="W54" i="2"/>
  <c r="W53" i="2"/>
  <c r="W52" i="2"/>
  <c r="W51" i="2"/>
  <c r="W49" i="2"/>
  <c r="W48" i="2"/>
  <c r="W47" i="2"/>
  <c r="W46" i="2"/>
  <c r="W45" i="2"/>
  <c r="W44" i="2"/>
  <c r="W34" i="2"/>
  <c r="W35" i="2"/>
  <c r="W36" i="2"/>
  <c r="W43" i="2" s="1"/>
  <c r="W38" i="2"/>
  <c r="W39" i="2"/>
  <c r="W40" i="2"/>
  <c r="W41" i="2"/>
  <c r="W42" i="2"/>
  <c r="W33" i="2"/>
  <c r="D12" i="2"/>
  <c r="L19" i="2"/>
  <c r="AB32" i="2"/>
  <c r="AB43" i="2"/>
  <c r="AB50" i="2" s="1"/>
  <c r="AB57" i="2"/>
  <c r="AB62" i="2" s="1"/>
  <c r="AB25" i="2"/>
  <c r="C32" i="2"/>
  <c r="I32" i="2"/>
  <c r="H32" i="2"/>
  <c r="G32" i="2"/>
  <c r="F32" i="2"/>
  <c r="E32" i="2"/>
  <c r="D32" i="2"/>
  <c r="AA32" i="2"/>
  <c r="Z32" i="2"/>
  <c r="Y32" i="2"/>
  <c r="X32" i="2"/>
  <c r="V32" i="2"/>
  <c r="U32" i="2"/>
  <c r="T32" i="2"/>
  <c r="S32" i="2"/>
  <c r="R32" i="2"/>
  <c r="Q32" i="2"/>
  <c r="P32" i="2"/>
  <c r="O32" i="2"/>
  <c r="N32" i="2"/>
  <c r="M32" i="2"/>
  <c r="L32" i="2"/>
  <c r="AA57" i="2"/>
  <c r="AA62" i="2" s="1"/>
  <c r="Z57" i="2"/>
  <c r="Z62" i="2" s="1"/>
  <c r="Y57" i="2"/>
  <c r="Y62" i="2" s="1"/>
  <c r="X57" i="2"/>
  <c r="X62" i="2" s="1"/>
  <c r="W57" i="2"/>
  <c r="W62" i="2" s="1"/>
  <c r="AA43" i="2"/>
  <c r="AA50" i="2" s="1"/>
  <c r="Z43" i="2"/>
  <c r="Z50" i="2" s="1"/>
  <c r="Y43" i="2"/>
  <c r="Y50" i="2" s="1"/>
  <c r="X43" i="2"/>
  <c r="X50" i="2" s="1"/>
  <c r="Z21" i="2"/>
  <c r="AA25" i="2"/>
  <c r="Z25" i="2"/>
  <c r="Y25" i="2"/>
  <c r="X24" i="2"/>
  <c r="W24" i="2"/>
  <c r="N25" i="2"/>
  <c r="O25" i="2"/>
  <c r="P26" i="2"/>
  <c r="Q26" i="2"/>
  <c r="S26" i="2"/>
  <c r="U26" i="2"/>
  <c r="V25" i="2"/>
  <c r="L25" i="2"/>
  <c r="C21" i="1"/>
  <c r="C20" i="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I27" i="2"/>
  <c r="T12" i="2"/>
  <c r="T14" i="2" s="1"/>
  <c r="T17" i="2" s="1"/>
  <c r="T19" i="2" s="1"/>
  <c r="L12" i="2"/>
  <c r="L14" i="2" s="1"/>
  <c r="L17" i="2" s="1"/>
  <c r="H12" i="2"/>
  <c r="H14" i="2" s="1"/>
  <c r="I12" i="2"/>
  <c r="I14" i="2" s="1"/>
  <c r="T26" i="2"/>
  <c r="M26" i="2"/>
  <c r="U25" i="2"/>
  <c r="T25" i="2"/>
  <c r="W32" i="2" l="1"/>
  <c r="W50" i="2"/>
  <c r="W63" i="2" s="1"/>
  <c r="W21" i="2"/>
  <c r="R12" i="2"/>
  <c r="R14" i="2" s="1"/>
  <c r="R17" i="2" s="1"/>
  <c r="R19" i="2" s="1"/>
  <c r="S12" i="2"/>
  <c r="S14" i="2" s="1"/>
  <c r="S17" i="2" s="1"/>
  <c r="S19" i="2" s="1"/>
  <c r="Q25" i="2"/>
  <c r="AB21" i="2"/>
  <c r="Z63" i="2"/>
  <c r="AB23" i="2"/>
  <c r="Y63" i="2"/>
  <c r="Q12" i="2"/>
  <c r="Q14" i="2" s="1"/>
  <c r="Q17" i="2" s="1"/>
  <c r="Q19" i="2" s="1"/>
  <c r="L26" i="2"/>
  <c r="P12" i="2"/>
  <c r="P14" i="2" s="1"/>
  <c r="P17" i="2" s="1"/>
  <c r="P19" i="2" s="1"/>
  <c r="AA21" i="2"/>
  <c r="Y26" i="2"/>
  <c r="R25" i="2"/>
  <c r="R26" i="2"/>
  <c r="U12" i="2"/>
  <c r="U14" i="2" s="1"/>
  <c r="U17" i="2" s="1"/>
  <c r="U19" i="2" s="1"/>
  <c r="M12" i="2"/>
  <c r="M14" i="2" s="1"/>
  <c r="M17" i="2" s="1"/>
  <c r="M19" i="2" s="1"/>
  <c r="Y21" i="2"/>
  <c r="S25" i="2"/>
  <c r="AB12" i="2"/>
  <c r="AB14" i="2" s="1"/>
  <c r="AB17" i="2" s="1"/>
  <c r="AB19" i="2" s="1"/>
  <c r="AB26" i="2"/>
  <c r="AB24" i="2"/>
  <c r="M25" i="2"/>
  <c r="Y24" i="2"/>
  <c r="AA24" i="2"/>
  <c r="AA63" i="2"/>
  <c r="P25" i="2"/>
  <c r="O12" i="2"/>
  <c r="O14" i="2" s="1"/>
  <c r="O17" i="2" s="1"/>
  <c r="O19" i="2" s="1"/>
  <c r="W26" i="2"/>
  <c r="AB63" i="2"/>
  <c r="X63" i="2"/>
  <c r="W23" i="2"/>
  <c r="Z24" i="2"/>
  <c r="X26" i="2"/>
  <c r="W12" i="2"/>
  <c r="W14" i="2" s="1"/>
  <c r="W17" i="2" s="1"/>
  <c r="W19" i="2" s="1"/>
  <c r="Y23" i="2"/>
  <c r="W25" i="2"/>
  <c r="Z26" i="2"/>
  <c r="X12" i="2"/>
  <c r="X14" i="2" s="1"/>
  <c r="X17" i="2" s="1"/>
  <c r="X19" i="2" s="1"/>
  <c r="Z23" i="2"/>
  <c r="X25" i="2"/>
  <c r="AA26" i="2"/>
  <c r="Y12" i="2"/>
  <c r="Y14" i="2" s="1"/>
  <c r="Y17" i="2" s="1"/>
  <c r="Y19" i="2" s="1"/>
  <c r="AA23" i="2"/>
  <c r="Z12" i="2"/>
  <c r="Z14" i="2" s="1"/>
  <c r="Z17" i="2" s="1"/>
  <c r="Z19" i="2" s="1"/>
  <c r="X21" i="2"/>
  <c r="AA12" i="2"/>
  <c r="AA14" i="2" s="1"/>
  <c r="AA17" i="2" s="1"/>
  <c r="AA19" i="2" s="1"/>
  <c r="O26" i="2"/>
  <c r="V26" i="2"/>
  <c r="V12" i="2"/>
  <c r="V14" i="2" s="1"/>
  <c r="V17" i="2" s="1"/>
  <c r="V19" i="2" s="1"/>
  <c r="N12" i="2"/>
  <c r="N14" i="2" s="1"/>
  <c r="N17" i="2" s="1"/>
  <c r="N19" i="2" s="1"/>
  <c r="N26" i="2"/>
  <c r="C31" i="1"/>
  <c r="C22" i="1"/>
  <c r="C28" i="1" s="1"/>
  <c r="C13" i="1"/>
  <c r="C35" i="1"/>
  <c r="C29" i="1"/>
  <c r="C27" i="1"/>
  <c r="C25" i="1"/>
  <c r="C24" i="1"/>
  <c r="C23" i="1"/>
  <c r="C10" i="1"/>
  <c r="C8" i="1"/>
  <c r="I31" i="5"/>
  <c r="I30" i="5"/>
  <c r="I29" i="5"/>
  <c r="I28" i="5"/>
  <c r="I26" i="5"/>
  <c r="I25" i="5"/>
  <c r="I24" i="5"/>
  <c r="I23" i="5"/>
  <c r="I22" i="5"/>
  <c r="I21" i="5"/>
  <c r="I20" i="5"/>
  <c r="I19" i="5"/>
  <c r="I65" i="5"/>
  <c r="I64" i="5"/>
  <c r="AB22" i="2" l="1"/>
  <c r="AB27" i="2"/>
  <c r="Y27" i="2"/>
  <c r="Y22" i="2"/>
  <c r="W27" i="2"/>
  <c r="W22" i="2"/>
  <c r="Z22" i="2"/>
  <c r="Z27" i="2"/>
  <c r="AA22" i="2"/>
  <c r="AA27" i="2"/>
  <c r="X27" i="2"/>
  <c r="X22" i="2"/>
  <c r="I27" i="5"/>
  <c r="C33" i="1"/>
  <c r="C34" i="1"/>
  <c r="C32" i="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2" i="2"/>
  <c r="C14" i="2" s="1"/>
  <c r="C17" i="2" s="1"/>
  <c r="C19" i="2" s="1"/>
  <c r="D14" i="2"/>
  <c r="D17" i="2" s="1"/>
  <c r="D19" i="2" s="1"/>
  <c r="E12" i="2"/>
  <c r="E14" i="2" s="1"/>
  <c r="E17" i="2" s="1"/>
  <c r="E19" i="2" s="1"/>
  <c r="F12" i="2"/>
  <c r="F14" i="2" s="1"/>
  <c r="F17" i="2" s="1"/>
  <c r="F19" i="2" s="1"/>
  <c r="G12" i="2"/>
  <c r="G14" i="2" s="1"/>
  <c r="G17" i="2" s="1"/>
  <c r="G19" i="2" s="1"/>
  <c r="M22" i="2"/>
  <c r="N22" i="2"/>
  <c r="O22" i="2"/>
  <c r="L21" i="2"/>
  <c r="M21" i="2"/>
  <c r="N21" i="2"/>
  <c r="O21" i="2"/>
  <c r="P21" i="2"/>
  <c r="Q21" i="2"/>
  <c r="R21" i="2"/>
  <c r="S21" i="2"/>
  <c r="T21" i="2"/>
  <c r="U21" i="2"/>
  <c r="V21" i="2"/>
  <c r="P23" i="2"/>
  <c r="Q23" i="2"/>
  <c r="R23" i="2"/>
  <c r="S23" i="2"/>
  <c r="T23" i="2"/>
  <c r="U23" i="2"/>
  <c r="V23" i="2"/>
  <c r="L24" i="2"/>
  <c r="M24" i="2"/>
  <c r="N24" i="2"/>
  <c r="O24" i="2"/>
  <c r="P24" i="2"/>
  <c r="Q24" i="2"/>
  <c r="R24" i="2"/>
  <c r="S24" i="2"/>
  <c r="T24" i="2"/>
  <c r="U24" i="2"/>
  <c r="V24" i="2"/>
  <c r="L43" i="2"/>
  <c r="L50" i="2" s="1"/>
  <c r="M43" i="2"/>
  <c r="M50" i="2" s="1"/>
  <c r="N43" i="2"/>
  <c r="N50" i="2" s="1"/>
  <c r="O43" i="2"/>
  <c r="O50" i="2" s="1"/>
  <c r="P43" i="2"/>
  <c r="P50" i="2" s="1"/>
  <c r="Q43" i="2"/>
  <c r="Q50" i="2" s="1"/>
  <c r="R43" i="2"/>
  <c r="R50" i="2" s="1"/>
  <c r="S43" i="2"/>
  <c r="S50" i="2" s="1"/>
  <c r="T43" i="2"/>
  <c r="T50" i="2" s="1"/>
  <c r="U43" i="2"/>
  <c r="U50" i="2" s="1"/>
  <c r="V43" i="2"/>
  <c r="V50" i="2" s="1"/>
  <c r="L57" i="2"/>
  <c r="L62" i="2" s="1"/>
  <c r="M57" i="2"/>
  <c r="M62" i="2" s="1"/>
  <c r="N57" i="2"/>
  <c r="N62" i="2" s="1"/>
  <c r="O57" i="2"/>
  <c r="O62" i="2" s="1"/>
  <c r="P57" i="2"/>
  <c r="P62" i="2" s="1"/>
  <c r="Q57" i="2"/>
  <c r="Q62" i="2" s="1"/>
  <c r="R57" i="2"/>
  <c r="R62" i="2" s="1"/>
  <c r="S57" i="2"/>
  <c r="S62" i="2" s="1"/>
  <c r="T57" i="2"/>
  <c r="T62" i="2" s="1"/>
  <c r="U57" i="2"/>
  <c r="U62" i="2" s="1"/>
  <c r="V57" i="2"/>
  <c r="V62" i="2" s="1"/>
  <c r="I28" i="2"/>
  <c r="H28" i="2"/>
  <c r="C43" i="2"/>
  <c r="C50" i="2" s="1"/>
  <c r="D43" i="2"/>
  <c r="D50" i="2" s="1"/>
  <c r="E43" i="2"/>
  <c r="E50" i="2" s="1"/>
  <c r="I22" i="2"/>
  <c r="H22" i="2"/>
  <c r="I23" i="2"/>
  <c r="R63" i="2" l="1"/>
  <c r="Q63" i="2"/>
  <c r="P63" i="2"/>
  <c r="O63" i="2"/>
  <c r="V63" i="2"/>
  <c r="N63" i="2"/>
  <c r="U63" i="2"/>
  <c r="M63" i="2"/>
  <c r="T63" i="2"/>
  <c r="L63" i="2"/>
  <c r="S63" i="2"/>
  <c r="K11" i="5"/>
  <c r="L22" i="2"/>
  <c r="F26" i="2"/>
  <c r="E26" i="2"/>
  <c r="D26" i="2"/>
  <c r="C26" i="2"/>
  <c r="G26" i="2"/>
  <c r="G24" i="2"/>
  <c r="G25" i="2"/>
  <c r="F28" i="2"/>
  <c r="F25" i="2"/>
  <c r="E24" i="2"/>
  <c r="E25" i="2"/>
  <c r="D24" i="2"/>
  <c r="D25" i="2"/>
  <c r="C24" i="2"/>
  <c r="C25" i="2"/>
  <c r="C15" i="1"/>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2" i="2"/>
  <c r="T27" i="2"/>
  <c r="P22" i="2"/>
  <c r="S22" i="2"/>
  <c r="S27" i="2"/>
  <c r="V27" i="2"/>
  <c r="V22" i="2"/>
  <c r="U22" i="2"/>
  <c r="U27" i="2"/>
  <c r="R27" i="2"/>
  <c r="R22" i="2"/>
  <c r="Q27" i="2"/>
  <c r="Q22" i="2"/>
  <c r="C30" i="1" s="1"/>
  <c r="C21" i="2"/>
  <c r="H29" i="2"/>
  <c r="I29" i="2"/>
  <c r="G28" i="2"/>
  <c r="D28" i="2"/>
  <c r="E28" i="2"/>
  <c r="C28" i="2"/>
  <c r="H23" i="2"/>
  <c r="F21" i="2"/>
  <c r="F24" i="2"/>
  <c r="E21" i="2"/>
  <c r="D21" i="2"/>
  <c r="G21" i="2"/>
  <c r="G23" i="2"/>
  <c r="G57" i="2"/>
  <c r="G62" i="2" s="1"/>
  <c r="G43" i="2"/>
  <c r="G50" i="2" s="1"/>
  <c r="E23" i="2"/>
  <c r="F23" i="2"/>
  <c r="D23" i="2"/>
  <c r="D57" i="2"/>
  <c r="D62" i="2" s="1"/>
  <c r="D63" i="2" s="1"/>
  <c r="E57" i="2"/>
  <c r="F43" i="2"/>
  <c r="F50" i="2" s="1"/>
  <c r="G63" i="2" l="1"/>
  <c r="P27" i="2"/>
  <c r="C16" i="1"/>
  <c r="C14" i="1"/>
  <c r="C17" i="1"/>
  <c r="C19" i="1" s="1"/>
  <c r="M5" i="5"/>
  <c r="M6" i="5" s="1"/>
  <c r="M7" i="5" s="1"/>
  <c r="M8" i="5" s="1"/>
  <c r="M9" i="5" s="1"/>
  <c r="M10" i="5" s="1"/>
  <c r="M11" i="5" s="1"/>
  <c r="M12" i="5" s="1"/>
  <c r="M13" i="5" s="1"/>
  <c r="M14" i="5" s="1"/>
  <c r="M15" i="5" s="1"/>
  <c r="D29" i="2"/>
  <c r="F29" i="2"/>
  <c r="G29" i="2"/>
  <c r="E29" i="2"/>
  <c r="C29" i="2"/>
  <c r="F57" i="2"/>
  <c r="F62" i="2" s="1"/>
  <c r="F63" i="2" s="1"/>
  <c r="E62" i="2"/>
  <c r="E63" i="2" s="1"/>
  <c r="C57" i="2"/>
  <c r="C62" i="2" s="1"/>
  <c r="C63" i="2" s="1"/>
  <c r="C18" i="1" l="1"/>
  <c r="D22" i="2"/>
  <c r="G22" i="2"/>
  <c r="H27" i="2" l="1"/>
  <c r="C22" i="2"/>
  <c r="D27" i="2"/>
  <c r="E22" i="2"/>
  <c r="F27" i="2"/>
  <c r="E27" i="2"/>
  <c r="F22" i="2"/>
  <c r="C9" i="1" s="1"/>
  <c r="C11" i="1" s="1"/>
  <c r="G27" i="2" l="1"/>
  <c r="C12" i="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<sst xmlns="http://schemas.openxmlformats.org/spreadsheetml/2006/main" count="230" uniqueCount="209">
  <si>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</si>
  <si>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</si>
  <si>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</si>
  <si>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</si>
  <si>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</si>
  <si>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</si>
  <si>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</si>
  <si>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</si>
  <si>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</si>
  <si>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</si>
  <si>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</si>
  <si>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</si>
  <si>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</si>
  <si>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</si>
  <si>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</si>
  <si>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</si>
  <si>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</si>
  <si>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</si>
  <si>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</si>
  <si>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</si>
  <si>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</si>
  <si>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</si>
  <si>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</si>
  <si>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</si>
  <si>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</si>
  <si>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Goodwill</t>
  </si>
  <si>
    <t>Total Assets</t>
  </si>
  <si>
    <t>Total Liablities</t>
  </si>
  <si>
    <t>Gross Margin</t>
  </si>
  <si>
    <t>Net Margin</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</si>
  <si>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</si>
  <si>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</si>
  <si>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</si>
  <si>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</si>
  <si>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</si>
  <si>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</si>
  <si>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</si>
  <si>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</si>
  <si>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</si>
  <si>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</si>
  <si>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</si>
  <si>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</si>
  <si>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</si>
  <si>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</si>
  <si>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</si>
  <si>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</si>
  <si>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</si>
  <si>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</si>
  <si>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</si>
  <si>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</si>
  <si>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</si>
  <si>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</si>
  <si>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</si>
  <si>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</si>
  <si>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</si>
  <si>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</si>
  <si>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</si>
  <si>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</si>
  <si>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</si>
  <si>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</si>
  <si>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</si>
  <si>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</si>
  <si>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</si>
  <si>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Sales &amp; Marketing / REV</t>
  </si>
  <si>
    <t>Q224</t>
  </si>
  <si>
    <t>FY25</t>
  </si>
  <si>
    <t>PEG1</t>
  </si>
  <si>
    <t>PEG2</t>
  </si>
  <si>
    <t>EBIT</t>
  </si>
  <si>
    <t>EV/EBITDA</t>
  </si>
  <si>
    <t>Notes</t>
  </si>
  <si>
    <t>PP&amp;E</t>
  </si>
  <si>
    <t>Intangible Asset</t>
  </si>
  <si>
    <t>Long term debt</t>
  </si>
  <si>
    <t>Equity</t>
  </si>
  <si>
    <t>Interest exp / REV</t>
  </si>
  <si>
    <t>Interest exp / op Inc</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</si>
  <si>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</si>
  <si>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</si>
  <si>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</si>
  <si>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</si>
  <si>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</si>
  <si>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</si>
  <si>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</si>
  <si>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</si>
  <si>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</si>
  <si>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</si>
  <si>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</si>
  <si>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</si>
  <si>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</si>
  <si>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</si>
  <si>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</si>
  <si>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</si>
  <si>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</si>
  <si>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</si>
  <si>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</si>
  <si>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</si>
  <si>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</si>
  <si>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</si>
  <si>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</si>
  <si>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</si>
  <si>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</si>
  <si>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</si>
  <si>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</si>
  <si>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</si>
  <si>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</si>
  <si>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</si>
  <si>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</si>
  <si>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</si>
  <si>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</si>
  <si>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</si>
  <si>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</si>
  <si>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</si>
  <si>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</si>
  <si>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</si>
  <si>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</si>
  <si>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</si>
  <si>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</si>
  <si>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</si>
  <si>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</si>
  <si>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</si>
  <si>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</si>
  <si>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</si>
  <si>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</si>
  <si>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</si>
  <si>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</si>
  <si>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</si>
  <si>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</si>
  <si>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</si>
  <si>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</si>
  <si>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</si>
  <si>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</si>
  <si>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</si>
  <si>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Net Income before Tax</t>
  </si>
  <si>
    <t>Q324</t>
  </si>
  <si>
    <t>Q424</t>
  </si>
  <si>
    <t>EPS Growth</t>
  </si>
  <si>
    <t>Revenue Growth</t>
  </si>
  <si>
    <t>BITF</t>
  </si>
  <si>
    <t>Bitfarms Ltd. engages in the mining of cryptocurrency coins and tokens in Canada, the United States, Paraguay, and Argentina. It owns and operates server farms that primarily validates transactions on the Bitcoin Blockchain and earning cryptocurrency from block rewards and transaction fees. The company also provides electrician services to commercial and residential customers in Quebec, Canada. It also undertakes hosting of third-party mining hardware. The company was formerly known as Bitfarms Technologies Ltd and changed its name to Bitfarms Ltd. in October 2018. The company was founded in 2017 and is based in Toronto, Canada.</t>
  </si>
  <si>
    <t>Mr. Benjamin Gagnon</t>
  </si>
  <si>
    <t>CEO &amp; Director</t>
  </si>
  <si>
    <t>--</t>
  </si>
  <si>
    <t>Mr. Jeffrey P. Lucas</t>
  </si>
  <si>
    <t>Chief Financial Officer</t>
  </si>
  <si>
    <t>Mr. Benoit Gobeil</t>
  </si>
  <si>
    <t>Chief Infrastructure Officer</t>
  </si>
  <si>
    <t>Mr. Liam Daniel Wilson</t>
  </si>
  <si>
    <t>Chief Operating Officer</t>
  </si>
  <si>
    <t>Mr. Marc-Andre Ammann</t>
  </si>
  <si>
    <t>Senior Vice President of Finance &amp; Accounting</t>
  </si>
  <si>
    <t>Ms. Tracy H. Krumme</t>
  </si>
  <si>
    <t>Senior VP and Head of Investor Relations &amp; Corp. Comms.</t>
  </si>
  <si>
    <t>Mr. Philippe Fortier</t>
  </si>
  <si>
    <t>Senior Vice President of Corporate Development</t>
  </si>
  <si>
    <t>Ms. Andrea Keen Souza</t>
  </si>
  <si>
    <t>Vice-President of Human Resources</t>
  </si>
  <si>
    <t>Mr. Paul Magrath</t>
  </si>
  <si>
    <t>Vice President of Taxation &amp; Sustainability</t>
  </si>
  <si>
    <t>Mr. Alex Brammer</t>
  </si>
  <si>
    <t>Senior Vice President of Global Mining Operations</t>
  </si>
  <si>
    <t>Invesco Ltd.</t>
  </si>
  <si>
    <t>4.35%</t>
  </si>
  <si>
    <t>Tidal Investments, LLC</t>
  </si>
  <si>
    <t>1.46%</t>
  </si>
  <si>
    <t>Van Eck Associates Corporation</t>
  </si>
  <si>
    <t>1.34%</t>
  </si>
  <si>
    <t>State Street Corporation</t>
  </si>
  <si>
    <t>1.07%</t>
  </si>
  <si>
    <t>Morgan Stanley</t>
  </si>
  <si>
    <t>0.98%</t>
  </si>
  <si>
    <t>Susquehanna International Group, LLP</t>
  </si>
  <si>
    <t>0.91%</t>
  </si>
  <si>
    <t>Mirae Asset Global Etfs Holdings Ltd.</t>
  </si>
  <si>
    <t>0.84%</t>
  </si>
  <si>
    <t>Group One Trading, L.P.</t>
  </si>
  <si>
    <t>0.63%</t>
  </si>
  <si>
    <t>Vident Advisory, LLC</t>
  </si>
  <si>
    <t>0.60%</t>
  </si>
  <si>
    <t>Millennium Management Llc</t>
  </si>
  <si>
    <t>0.51%</t>
  </si>
  <si>
    <t>Q125</t>
  </si>
  <si>
    <t>Trade Receivables</t>
  </si>
  <si>
    <t>Other assets</t>
  </si>
  <si>
    <t>Short-term deposists</t>
  </si>
  <si>
    <t>Tax Receivables</t>
  </si>
  <si>
    <t>Digital Assets</t>
  </si>
  <si>
    <t>Digital assets, Collateral</t>
  </si>
  <si>
    <t>Derivative assets</t>
  </si>
  <si>
    <t>Assets held for sale</t>
  </si>
  <si>
    <t>Right-of-use assets</t>
  </si>
  <si>
    <t>Long-term deposits</t>
  </si>
  <si>
    <t>Deferred tax</t>
  </si>
  <si>
    <t>Trade Payables and accr. Liab</t>
  </si>
  <si>
    <t>Curr. LTD</t>
  </si>
  <si>
    <t>Cur. Lease liab</t>
  </si>
  <si>
    <t>Credit facility</t>
  </si>
  <si>
    <t>Taxes payable</t>
  </si>
  <si>
    <t>Warrant liab</t>
  </si>
  <si>
    <t>Lease liab</t>
  </si>
  <si>
    <t>Asset retirement provi</t>
  </si>
  <si>
    <t>Realized loss on disposition DA</t>
  </si>
  <si>
    <t>Reversal of revaluation loss on DA</t>
  </si>
  <si>
    <t>Loss on dispo, PP&amp;E</t>
  </si>
  <si>
    <t>Impairment on short-term dep</t>
  </si>
  <si>
    <t>Impairment on goodwill</t>
  </si>
  <si>
    <t xml:space="preserve">Net financial </t>
  </si>
  <si>
    <t>Change in dig. Asset</t>
  </si>
  <si>
    <t>Electrical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</si>
</sst>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57">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indent="1"/>
    </xf>
    <xf numFmtId="0" fontId="7" fillId="0" borderId="0" xfId="0" applyFont="1" applyAlignment="1">
      <alignment horizontal="right" vertical="center" inden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6" fontId="12" fillId="11" borderId="21" xfId="0" applyNumberFormat="1" applyFont="1" applyFill="1" applyBorder="1"/>
    <xf numFmtId="166"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6" fontId="12" fillId="11" borderId="24" xfId="0" applyNumberFormat="1" applyFont="1" applyFill="1" applyBorder="1"/>
    <xf numFmtId="166"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6" fontId="12" fillId="11" borderId="30" xfId="0" applyNumberFormat="1" applyFont="1" applyFill="1" applyBorder="1"/>
    <xf numFmtId="0" fontId="12" fillId="11" borderId="31" xfId="0" applyFont="1" applyFill="1" applyBorder="1"/>
    <xf numFmtId="166" fontId="12" fillId="11" borderId="34" xfId="0" applyNumberFormat="1" applyFont="1" applyFill="1" applyBorder="1"/>
    <xf numFmtId="166" fontId="12" fillId="11" borderId="13" xfId="0" applyNumberFormat="1" applyFont="1" applyFill="1" applyBorder="1"/>
    <xf numFmtId="0" fontId="0" fillId="11" borderId="35" xfId="0" applyFill="1" applyBorder="1"/>
    <xf numFmtId="166" fontId="12" fillId="11" borderId="36" xfId="0" applyNumberFormat="1" applyFont="1" applyFill="1" applyBorder="1"/>
    <xf numFmtId="166" fontId="12" fillId="11" borderId="37" xfId="0" applyNumberFormat="1" applyFont="1" applyFill="1" applyBorder="1"/>
    <xf numFmtId="0" fontId="14" fillId="11" borderId="22" xfId="0" applyFont="1" applyFill="1" applyBorder="1"/>
    <xf numFmtId="0" fontId="14" fillId="11" borderId="23" xfId="0" applyFont="1" applyFill="1" applyBorder="1"/>
    <xf numFmtId="166" fontId="14" fillId="11" borderId="24" xfId="0" applyNumberFormat="1" applyFont="1" applyFill="1" applyBorder="1"/>
    <xf numFmtId="166"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8" xfId="0" applyNumberFormat="1" applyFont="1" applyFill="1" applyBorder="1"/>
    <xf numFmtId="9" fontId="14" fillId="11" borderId="39" xfId="0" applyNumberFormat="1" applyFont="1" applyFill="1" applyBorder="1"/>
    <xf numFmtId="10" fontId="0" fillId="11" borderId="41" xfId="0" applyNumberFormat="1" applyFill="1" applyBorder="1" applyAlignment="1">
      <alignment horizontal="centerContinuous"/>
    </xf>
    <xf numFmtId="9" fontId="14" fillId="11" borderId="42" xfId="0" applyNumberFormat="1" applyFont="1" applyFill="1" applyBorder="1"/>
    <xf numFmtId="10" fontId="0" fillId="11" borderId="40" xfId="0" applyNumberFormat="1" applyFill="1" applyBorder="1" applyAlignment="1">
      <alignment horizontal="centerContinuous"/>
    </xf>
    <xf numFmtId="9" fontId="14" fillId="11" borderId="34"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35" xfId="0" applyNumberFormat="1" applyFill="1" applyBorder="1" applyAlignment="1">
      <alignment horizontal="centerContinuous"/>
    </xf>
    <xf numFmtId="0" fontId="12" fillId="11" borderId="43" xfId="0" applyFont="1" applyFill="1" applyBorder="1"/>
    <xf numFmtId="9" fontId="14" fillId="11" borderId="43"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1" borderId="31" xfId="0" applyNumberFormat="1" applyFont="1" applyFill="1" applyBorder="1"/>
    <xf numFmtId="2" fontId="12" fillId="11" borderId="31" xfId="0" applyNumberFormat="1" applyFont="1" applyFill="1" applyBorder="1"/>
    <xf numFmtId="3" fontId="5" fillId="0" borderId="2" xfId="0" applyNumberFormat="1" applyFont="1" applyBorder="1"/>
    <xf numFmtId="2" fontId="5" fillId="0" borderId="2" xfId="0" applyNumberFormat="1" applyFont="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6" fontId="12" fillId="11" borderId="32" xfId="0" applyNumberFormat="1" applyFont="1" applyFill="1" applyBorder="1" applyAlignment="1">
      <alignment horizontal="center"/>
    </xf>
    <xf numFmtId="166" fontId="12" fillId="11" borderId="44" xfId="0" applyNumberFormat="1" applyFont="1" applyFill="1" applyBorder="1" applyAlignment="1">
      <alignment horizontal="center"/>
    </xf>
    <xf numFmtId="166" fontId="12" fillId="11" borderId="33" xfId="0" applyNumberFormat="1" applyFont="1" applyFill="1" applyBorder="1" applyAlignment="1">
      <alignment horizontal="center"/>
    </xf>
    <xf numFmtId="166" fontId="12"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2" fillId="0" borderId="0" xfId="0" applyNumberFormat="1" applyFont="1" applyBorder="1"/>
    <xf numFmtId="3" fontId="5" fillId="0" borderId="0" xfId="0" applyNumberFormat="1" applyFont="1" applyBorder="1"/>
    <xf numFmtId="3" fontId="0" fillId="0" borderId="0" xfId="0" applyNumberFormat="1" applyBorder="1"/>
    <xf numFmtId="2" fontId="5" fillId="0" borderId="0" xfId="0" applyNumberFormat="1" applyFont="1" applyBorder="1"/>
    <xf numFmtId="9" fontId="0" fillId="0" borderId="0" xfId="0" applyNumberFormat="1" applyBorder="1"/>
    <xf numFmtId="0" fontId="2" fillId="0" borderId="0" xfId="0" applyFont="1" applyBorder="1"/>
    <xf numFmtId="0" fontId="5" fillId="0" borderId="0" xfId="0" applyFont="1" applyBorder="1"/>
    <xf numFmtId="2" fontId="2" fillId="0" borderId="0" xfId="0" applyNumberFormat="1" applyFont="1" applyFill="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Model!$L$3:$X$3</c:f>
              <c:numCache>
                <c:formatCode>#,##0</c:formatCode>
                <c:ptCount val="13"/>
                <c:pt idx="8">
                  <c:v>30.05</c:v>
                </c:pt>
                <c:pt idx="9">
                  <c:v>35.478999999999999</c:v>
                </c:pt>
                <c:pt idx="12">
                  <c:v>50.317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Model!$L$23:$AA$23</c:f>
              <c:numCache>
                <c:formatCode>0%</c:formatCode>
                <c:ptCount val="16"/>
                <c:pt idx="4">
                  <c:v>0</c:v>
                </c:pt>
                <c:pt idx="5">
                  <c:v>0</c:v>
                </c:pt>
                <c:pt idx="6">
                  <c:v>0</c:v>
                </c:pt>
                <c:pt idx="7">
                  <c:v>0</c:v>
                </c:pt>
                <c:pt idx="8">
                  <c:v>0</c:v>
                </c:pt>
                <c:pt idx="9">
                  <c:v>0</c:v>
                </c:pt>
                <c:pt idx="10">
                  <c:v>0</c:v>
                </c:pt>
                <c:pt idx="11">
                  <c:v>0</c:v>
                </c:pt>
                <c:pt idx="12">
                  <c:v>0.67444259567387688</c:v>
                </c:pt>
                <c:pt idx="13">
                  <c:v>0.17105893627216107</c:v>
                </c:pt>
                <c:pt idx="14">
                  <c:v>0</c:v>
                </c:pt>
                <c:pt idx="15">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Model!$C$3:$I$3</c:f>
              <c:numCache>
                <c:formatCode>#,##0</c:formatCode>
                <c:ptCount val="7"/>
                <c:pt idx="1">
                  <c:v>34.703000000000003</c:v>
                </c:pt>
                <c:pt idx="2">
                  <c:v>169.49100000000001</c:v>
                </c:pt>
                <c:pt idx="3">
                  <c:v>142.428</c:v>
                </c:pt>
                <c:pt idx="4">
                  <c:v>146.36600000000001</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Model!$B$23</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Model!$C$23:$I$23</c:f>
              <c:numCache>
                <c:formatCode>0%</c:formatCode>
                <c:ptCount val="7"/>
                <c:pt idx="1">
                  <c:v>0</c:v>
                </c:pt>
                <c:pt idx="2">
                  <c:v>3.8840446070944878</c:v>
                </c:pt>
                <c:pt idx="3">
                  <c:v>-0.15967219498380458</c:v>
                </c:pt>
                <c:pt idx="4">
                  <c:v>2.7649057769539853E-2</c:v>
                </c:pt>
                <c:pt idx="5">
                  <c:v>0.47582088736455175</c:v>
                </c:pt>
                <c:pt idx="6">
                  <c:v>1.3504467385769181</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Model!$B$19</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Model!$L$19:$AA$19</c:f>
              <c:numCache>
                <c:formatCode>0.00</c:formatCode>
                <c:ptCount val="16"/>
                <c:pt idx="0">
                  <c:v>0</c:v>
                </c:pt>
                <c:pt idx="1">
                  <c:v>0</c:v>
                </c:pt>
                <c:pt idx="2">
                  <c:v>0</c:v>
                </c:pt>
                <c:pt idx="3">
                  <c:v>0</c:v>
                </c:pt>
                <c:pt idx="4">
                  <c:v>0</c:v>
                </c:pt>
                <c:pt idx="5">
                  <c:v>0</c:v>
                </c:pt>
                <c:pt idx="6">
                  <c:v>0</c:v>
                </c:pt>
                <c:pt idx="7">
                  <c:v>0</c:v>
                </c:pt>
                <c:pt idx="8">
                  <c:v>-1.8749381829440814E-2</c:v>
                </c:pt>
                <c:pt idx="9">
                  <c:v>-0.10673671123679049</c:v>
                </c:pt>
                <c:pt idx="10">
                  <c:v>0</c:v>
                </c:pt>
                <c:pt idx="11">
                  <c:v>0</c:v>
                </c:pt>
                <c:pt idx="12">
                  <c:v>-1.8657101949844306E-2</c:v>
                </c:pt>
                <c:pt idx="13">
                  <c:v>-6.6785631506408899E-2</c:v>
                </c:pt>
                <c:pt idx="14">
                  <c:v>0</c:v>
                </c:pt>
                <c:pt idx="15">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Model!$L$27:$AA$27</c:f>
              <c:numCache>
                <c:formatCode>0%</c:formatCode>
                <c:ptCount val="16"/>
                <c:pt idx="4">
                  <c:v>0</c:v>
                </c:pt>
                <c:pt idx="5">
                  <c:v>0</c:v>
                </c:pt>
                <c:pt idx="6">
                  <c:v>0</c:v>
                </c:pt>
                <c:pt idx="7">
                  <c:v>0</c:v>
                </c:pt>
                <c:pt idx="8">
                  <c:v>0</c:v>
                </c:pt>
                <c:pt idx="9">
                  <c:v>0</c:v>
                </c:pt>
                <c:pt idx="10">
                  <c:v>0</c:v>
                </c:pt>
                <c:pt idx="11">
                  <c:v>0</c:v>
                </c:pt>
                <c:pt idx="12">
                  <c:v>-4.5448165869218524</c:v>
                </c:pt>
                <c:pt idx="13">
                  <c:v>0.25533239919040907</c:v>
                </c:pt>
                <c:pt idx="14">
                  <c:v>0</c:v>
                </c:pt>
                <c:pt idx="15">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Model!$B$19</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Model!$C$19:$I$19</c:f>
              <c:numCache>
                <c:formatCode>0.00</c:formatCode>
                <c:ptCount val="7"/>
                <c:pt idx="0">
                  <c:v>0</c:v>
                </c:pt>
                <c:pt idx="1">
                  <c:v>-0.19182655647837102</c:v>
                </c:pt>
                <c:pt idx="2">
                  <c:v>0.13064350960771437</c:v>
                </c:pt>
                <c:pt idx="3">
                  <c:v>-0.84535268750962533</c:v>
                </c:pt>
                <c:pt idx="4">
                  <c:v>-0.39672509981429005</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Model!$B$27</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Model!$C$27:$I$27</c:f>
              <c:numCache>
                <c:formatCode>0%</c:formatCode>
                <c:ptCount val="7"/>
                <c:pt idx="1">
                  <c:v>0</c:v>
                </c:pt>
                <c:pt idx="2">
                  <c:v>2.3585855485296827</c:v>
                </c:pt>
                <c:pt idx="3">
                  <c:v>-7.4706826236372637</c:v>
                </c:pt>
                <c:pt idx="4">
                  <c:v>-0.53069871820834202</c:v>
                </c:pt>
                <c:pt idx="5">
                  <c:v>-1</c:v>
                </c:pt>
                <c:pt idx="6">
                  <c:v>0</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Model!$B$24</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Model!$L$24:$AA$24</c:f>
              <c:numCache>
                <c:formatCode>0%</c:formatCode>
                <c:ptCount val="16"/>
                <c:pt idx="0">
                  <c:v>0</c:v>
                </c:pt>
                <c:pt idx="1">
                  <c:v>0</c:v>
                </c:pt>
                <c:pt idx="2">
                  <c:v>0</c:v>
                </c:pt>
                <c:pt idx="3">
                  <c:v>0</c:v>
                </c:pt>
                <c:pt idx="4">
                  <c:v>0</c:v>
                </c:pt>
                <c:pt idx="5">
                  <c:v>0</c:v>
                </c:pt>
                <c:pt idx="6">
                  <c:v>0</c:v>
                </c:pt>
                <c:pt idx="7">
                  <c:v>0</c:v>
                </c:pt>
                <c:pt idx="8">
                  <c:v>0.27820299500831946</c:v>
                </c:pt>
                <c:pt idx="9">
                  <c:v>0.25803996730460271</c:v>
                </c:pt>
                <c:pt idx="10">
                  <c:v>0</c:v>
                </c:pt>
                <c:pt idx="11">
                  <c:v>0</c:v>
                </c:pt>
                <c:pt idx="12">
                  <c:v>0.26225728878907723</c:v>
                </c:pt>
                <c:pt idx="13">
                  <c:v>0.2984981226533166</c:v>
                </c:pt>
                <c:pt idx="14">
                  <c:v>0</c:v>
                </c:pt>
                <c:pt idx="15">
                  <c:v>0</c:v>
                </c:pt>
              </c:numCache>
            </c:numRef>
          </c:val>
          <c:smooth val="0"/>
          <c:extLst>
            <c:ext xmlns:c16="http://schemas.microsoft.com/office/drawing/2014/chart" uri="{C3380CC4-5D6E-409C-BE32-E72D297353CC}">
              <c16:uniqueId val="{00000001-35FE-4BEB-944F-3D772460C6A2}"/>
            </c:ext>
          </c:extLst>
        </c:ser>
        <c:ser>
          <c:idx val="0"/>
          <c:order val="1"/>
          <c:tx>
            <c:strRef>
              <c:f>Model!$B$25</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Model!$L$25:$AA$25</c:f>
              <c:numCache>
                <c:formatCode>0%</c:formatCode>
                <c:ptCount val="16"/>
                <c:pt idx="0">
                  <c:v>0</c:v>
                </c:pt>
                <c:pt idx="1">
                  <c:v>0</c:v>
                </c:pt>
                <c:pt idx="2">
                  <c:v>0</c:v>
                </c:pt>
                <c:pt idx="3">
                  <c:v>0</c:v>
                </c:pt>
                <c:pt idx="4">
                  <c:v>0</c:v>
                </c:pt>
                <c:pt idx="5">
                  <c:v>0</c:v>
                </c:pt>
                <c:pt idx="6">
                  <c:v>0</c:v>
                </c:pt>
                <c:pt idx="7">
                  <c:v>0</c:v>
                </c:pt>
                <c:pt idx="8">
                  <c:v>-1.9534109816971713E-2</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0-1CAA-4791-8C2B-1B9112E1C867}"/>
            </c:ext>
          </c:extLst>
        </c:ser>
        <c:ser>
          <c:idx val="2"/>
          <c:order val="2"/>
          <c:tx>
            <c:strRef>
              <c:f>Model!$B$26</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Model!$L$26:$AA$26</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Model!$B$24</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Model!$C$24:$I$24</c:f>
              <c:numCache>
                <c:formatCode>0%</c:formatCode>
                <c:ptCount val="7"/>
                <c:pt idx="0">
                  <c:v>0</c:v>
                </c:pt>
                <c:pt idx="1">
                  <c:v>0.23773160821830963</c:v>
                </c:pt>
                <c:pt idx="2">
                  <c:v>0.25510499082547156</c:v>
                </c:pt>
                <c:pt idx="3">
                  <c:v>0.36162833150784957</c:v>
                </c:pt>
                <c:pt idx="4">
                  <c:v>0.26845032316248307</c:v>
                </c:pt>
              </c:numCache>
            </c:numRef>
          </c:val>
          <c:smooth val="0"/>
          <c:extLst>
            <c:ext xmlns:c16="http://schemas.microsoft.com/office/drawing/2014/chart" uri="{C3380CC4-5D6E-409C-BE32-E72D297353CC}">
              <c16:uniqueId val="{00000000-E79C-46D7-BBD0-0EABFCB1E143}"/>
            </c:ext>
          </c:extLst>
        </c:ser>
        <c:ser>
          <c:idx val="0"/>
          <c:order val="1"/>
          <c:tx>
            <c:strRef>
              <c:f>Model!$B$25</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Model!$C$25:$I$25</c:f>
              <c:numCache>
                <c:formatCode>0%</c:formatCode>
                <c:ptCount val="7"/>
                <c:pt idx="0">
                  <c:v>0</c:v>
                </c:pt>
                <c:pt idx="1">
                  <c:v>-2.5358038209953027E-3</c:v>
                </c:pt>
                <c:pt idx="2">
                  <c:v>1.7051052858263857E-3</c:v>
                </c:pt>
                <c:pt idx="3">
                  <c:v>1.0588507877664504</c:v>
                </c:pt>
                <c:pt idx="4">
                  <c:v>0</c:v>
                </c:pt>
              </c:numCache>
            </c:numRef>
          </c:val>
          <c:smooth val="0"/>
          <c:extLst>
            <c:ext xmlns:c16="http://schemas.microsoft.com/office/drawing/2014/chart" uri="{C3380CC4-5D6E-409C-BE32-E72D297353CC}">
              <c16:uniqueId val="{00000001-E79C-46D7-BBD0-0EABFCB1E143}"/>
            </c:ext>
          </c:extLst>
        </c:ser>
        <c:ser>
          <c:idx val="2"/>
          <c:order val="2"/>
          <c:tx>
            <c:strRef>
              <c:f>Model!$B$26</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Model!$C$26:$I$26</c:f>
              <c:numCache>
                <c:formatCode>0%</c:formatCode>
                <c:ptCount val="7"/>
                <c:pt idx="0">
                  <c:v>0</c:v>
                </c:pt>
                <c:pt idx="1">
                  <c:v>0</c:v>
                </c:pt>
                <c:pt idx="2">
                  <c:v>-1.097403401950546E-2</c:v>
                </c:pt>
                <c:pt idx="3">
                  <c:v>0.12567753531608952</c:v>
                </c:pt>
                <c:pt idx="4">
                  <c:v>0</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41"/>
  <sheetViews>
    <sheetView tabSelected="1" topLeftCell="L1" workbookViewId="0">
      <selection activeCell="L17" sqref="L17:N28"/>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6" x14ac:dyDescent="0.25">
      <c r="B2" s="34" t="s">
        <v>138</v>
      </c>
      <c r="C2" s="19"/>
      <c r="E2" s="24" t="s">
        <v>46</v>
      </c>
      <c r="F2" s="63" t="s">
        <v>47</v>
      </c>
      <c r="G2" s="25"/>
      <c r="H2" s="26" t="s">
        <v>54</v>
      </c>
      <c r="I2" s="26" t="s">
        <v>1</v>
      </c>
      <c r="J2" s="27" t="s">
        <v>47</v>
      </c>
      <c r="L2" s="30" t="s">
        <v>40</v>
      </c>
      <c r="M2" s="31" t="s">
        <v>56</v>
      </c>
      <c r="N2" s="32" t="s">
        <v>55</v>
      </c>
    </row>
    <row r="3" spans="2:16" x14ac:dyDescent="0.25">
      <c r="B3" s="5" t="s">
        <v>39</v>
      </c>
      <c r="C3" s="20">
        <v>45608</v>
      </c>
      <c r="E3" s="5" t="s">
        <v>161</v>
      </c>
      <c r="F3" s="28" t="s">
        <v>162</v>
      </c>
      <c r="I3" s="10"/>
      <c r="J3" s="38"/>
      <c r="L3" s="5" t="s">
        <v>140</v>
      </c>
      <c r="M3" t="s">
        <v>141</v>
      </c>
      <c r="N3" s="37"/>
      <c r="P3" t="s">
        <v>142</v>
      </c>
    </row>
    <row r="4" spans="2:16" x14ac:dyDescent="0.25">
      <c r="B4" s="5"/>
      <c r="C4" s="21">
        <v>0.10347222222222222</v>
      </c>
      <c r="E4" s="5" t="s">
        <v>163</v>
      </c>
      <c r="F4" s="28" t="s">
        <v>164</v>
      </c>
      <c r="I4" s="10"/>
      <c r="J4" s="38"/>
      <c r="L4" s="5" t="s">
        <v>143</v>
      </c>
      <c r="M4" t="s">
        <v>144</v>
      </c>
      <c r="N4" s="13"/>
      <c r="P4">
        <v>1960</v>
      </c>
    </row>
    <row r="5" spans="2:16" x14ac:dyDescent="0.25">
      <c r="B5" s="5"/>
      <c r="C5" s="13"/>
      <c r="E5" s="5" t="s">
        <v>165</v>
      </c>
      <c r="F5" s="28" t="s">
        <v>166</v>
      </c>
      <c r="I5" s="10"/>
      <c r="J5" s="38"/>
      <c r="L5" s="5" t="s">
        <v>145</v>
      </c>
      <c r="M5" t="s">
        <v>146</v>
      </c>
      <c r="N5" s="13"/>
      <c r="P5" t="s">
        <v>142</v>
      </c>
    </row>
    <row r="6" spans="2:16" x14ac:dyDescent="0.25">
      <c r="B6" s="5" t="s">
        <v>0</v>
      </c>
      <c r="C6" s="13">
        <v>2.64</v>
      </c>
      <c r="E6" s="5" t="s">
        <v>167</v>
      </c>
      <c r="F6" s="28" t="s">
        <v>168</v>
      </c>
      <c r="I6" s="10"/>
      <c r="J6" s="38"/>
      <c r="L6" s="5" t="s">
        <v>147</v>
      </c>
      <c r="M6" t="s">
        <v>148</v>
      </c>
      <c r="N6" s="13"/>
      <c r="P6">
        <v>1986</v>
      </c>
    </row>
    <row r="7" spans="2:16" x14ac:dyDescent="0.25">
      <c r="B7" s="5" t="s">
        <v>1</v>
      </c>
      <c r="C7" s="15"/>
      <c r="E7" s="5" t="s">
        <v>169</v>
      </c>
      <c r="F7" s="28" t="s">
        <v>170</v>
      </c>
      <c r="I7" s="10"/>
      <c r="J7" s="38"/>
      <c r="L7" s="5" t="s">
        <v>149</v>
      </c>
      <c r="M7" t="s">
        <v>150</v>
      </c>
      <c r="N7" s="13"/>
      <c r="P7" t="s">
        <v>142</v>
      </c>
    </row>
    <row r="8" spans="2:16" x14ac:dyDescent="0.25">
      <c r="B8" s="5" t="s">
        <v>2</v>
      </c>
      <c r="C8" s="15">
        <f>C6*C7</f>
        <v>0</v>
      </c>
      <c r="E8" s="5" t="s">
        <v>171</v>
      </c>
      <c r="F8" s="28" t="s">
        <v>172</v>
      </c>
      <c r="I8" s="10"/>
      <c r="J8" s="38"/>
      <c r="L8" s="5" t="s">
        <v>151</v>
      </c>
      <c r="M8" t="s">
        <v>152</v>
      </c>
      <c r="N8" s="13"/>
      <c r="P8">
        <v>1968</v>
      </c>
    </row>
    <row r="9" spans="2:16" x14ac:dyDescent="0.25">
      <c r="B9" s="5" t="s">
        <v>3</v>
      </c>
      <c r="C9" s="15">
        <f>Model!F22</f>
        <v>-1.2332125705619676</v>
      </c>
      <c r="E9" s="5" t="s">
        <v>173</v>
      </c>
      <c r="F9" s="28" t="s">
        <v>174</v>
      </c>
      <c r="I9" s="10"/>
      <c r="J9" s="38"/>
      <c r="L9" s="5" t="s">
        <v>153</v>
      </c>
      <c r="M9" t="s">
        <v>154</v>
      </c>
      <c r="N9" s="13"/>
      <c r="P9" t="s">
        <v>142</v>
      </c>
    </row>
    <row r="10" spans="2:16" x14ac:dyDescent="0.25">
      <c r="B10" s="5" t="s">
        <v>4</v>
      </c>
      <c r="C10" s="15">
        <f>Model!F33+Model!F38</f>
        <v>43.028999999999996</v>
      </c>
      <c r="E10" s="5" t="s">
        <v>175</v>
      </c>
      <c r="F10" s="28" t="s">
        <v>176</v>
      </c>
      <c r="I10" s="10"/>
      <c r="J10" s="38"/>
      <c r="L10" s="5" t="s">
        <v>155</v>
      </c>
      <c r="M10" t="s">
        <v>156</v>
      </c>
      <c r="N10" s="13"/>
      <c r="P10" t="s">
        <v>142</v>
      </c>
    </row>
    <row r="11" spans="2:16" x14ac:dyDescent="0.25">
      <c r="B11" s="5" t="s">
        <v>34</v>
      </c>
      <c r="C11" s="15">
        <f>C9-C10</f>
        <v>-44.262212570561964</v>
      </c>
      <c r="E11" s="5" t="s">
        <v>177</v>
      </c>
      <c r="F11" s="28" t="s">
        <v>178</v>
      </c>
      <c r="I11" s="10"/>
      <c r="J11" s="38"/>
      <c r="L11" s="5" t="s">
        <v>157</v>
      </c>
      <c r="M11" t="s">
        <v>158</v>
      </c>
      <c r="N11" s="13"/>
      <c r="P11" t="s">
        <v>142</v>
      </c>
    </row>
    <row r="12" spans="2:16" x14ac:dyDescent="0.25">
      <c r="B12" s="5" t="s">
        <v>5</v>
      </c>
      <c r="C12" s="15">
        <f>C8-C9+C10</f>
        <v>44.262212570561964</v>
      </c>
      <c r="E12" s="5" t="s">
        <v>179</v>
      </c>
      <c r="F12" s="28" t="s">
        <v>180</v>
      </c>
      <c r="J12" s="13"/>
      <c r="L12" s="5" t="s">
        <v>159</v>
      </c>
      <c r="M12" t="s">
        <v>160</v>
      </c>
      <c r="N12" s="13"/>
      <c r="P12" t="s">
        <v>142</v>
      </c>
    </row>
    <row r="13" spans="2:16" x14ac:dyDescent="0.25">
      <c r="B13" s="5" t="s">
        <v>45</v>
      </c>
      <c r="C13" s="36" t="e">
        <f>C6/Model!#REF!</f>
        <v>#REF!</v>
      </c>
      <c r="E13" s="5"/>
      <c r="J13" s="13"/>
      <c r="L13" s="5"/>
      <c r="N13" s="13"/>
    </row>
    <row r="14" spans="2:16" x14ac:dyDescent="0.25">
      <c r="B14" s="5" t="s">
        <v>43</v>
      </c>
      <c r="C14" s="36">
        <f>C6/Model!G12</f>
        <v>-3.6601089714261952E-2</v>
      </c>
      <c r="E14" s="22"/>
      <c r="F14" s="29"/>
      <c r="G14" s="29"/>
      <c r="H14" s="29"/>
      <c r="I14" s="29"/>
      <c r="J14" s="23"/>
      <c r="L14" s="22"/>
      <c r="M14" s="29"/>
      <c r="N14" s="23"/>
    </row>
    <row r="15" spans="2:16" x14ac:dyDescent="0.25">
      <c r="B15" s="5" t="s">
        <v>44</v>
      </c>
      <c r="C15" s="36" t="e">
        <f>C6/Model!H12</f>
        <v>#DIV/0!</v>
      </c>
    </row>
    <row r="16" spans="2:16" x14ac:dyDescent="0.25">
      <c r="B16" s="5" t="s">
        <v>41</v>
      </c>
      <c r="C16" s="6" t="e">
        <f>Model!G12/Model!#REF!-1</f>
        <v>#REF!</v>
      </c>
    </row>
    <row r="17" spans="2:14" x14ac:dyDescent="0.25">
      <c r="B17" s="5" t="s">
        <v>42</v>
      </c>
      <c r="C17" s="6">
        <f>Model!H12/Model!G12-1</f>
        <v>-1</v>
      </c>
      <c r="E17" s="33" t="s">
        <v>52</v>
      </c>
      <c r="L17" s="129" t="s">
        <v>139</v>
      </c>
      <c r="M17" s="130"/>
      <c r="N17" s="131"/>
    </row>
    <row r="18" spans="2:14" x14ac:dyDescent="0.25">
      <c r="B18" s="5" t="s">
        <v>66</v>
      </c>
      <c r="C18" s="50" t="e">
        <f>C14/(C16*100)</f>
        <v>#REF!</v>
      </c>
      <c r="L18" s="132"/>
      <c r="M18" s="133"/>
      <c r="N18" s="134"/>
    </row>
    <row r="19" spans="2:14" x14ac:dyDescent="0.25">
      <c r="B19" s="5" t="s">
        <v>67</v>
      </c>
      <c r="C19" s="50" t="e">
        <f>C15/(C17*100)</f>
        <v>#DIV/0!</v>
      </c>
      <c r="L19" s="132"/>
      <c r="M19" s="133"/>
      <c r="N19" s="134"/>
    </row>
    <row r="20" spans="2:14" x14ac:dyDescent="0.25">
      <c r="B20" s="5" t="s">
        <v>78</v>
      </c>
      <c r="C20" s="6" t="e">
        <f>Model!#REF!/Model!#REF!-1</f>
        <v>#REF!</v>
      </c>
      <c r="L20" s="132"/>
      <c r="M20" s="133"/>
      <c r="N20" s="134"/>
    </row>
    <row r="21" spans="2:14" x14ac:dyDescent="0.25">
      <c r="B21" s="5" t="s">
        <v>79</v>
      </c>
      <c r="C21" s="6" t="e">
        <f>Model!#REF!/Model!#REF!-1</f>
        <v>#REF!</v>
      </c>
      <c r="L21" s="132"/>
      <c r="M21" s="133"/>
      <c r="N21" s="134"/>
    </row>
    <row r="22" spans="2:14" x14ac:dyDescent="0.25">
      <c r="B22" s="5" t="s">
        <v>68</v>
      </c>
      <c r="C22" s="15" t="e">
        <f>Model!F6+Model!#REF!</f>
        <v>#REF!</v>
      </c>
      <c r="L22" s="132"/>
      <c r="M22" s="133"/>
      <c r="N22" s="134"/>
    </row>
    <row r="23" spans="2:14" x14ac:dyDescent="0.25">
      <c r="B23" s="5" t="s">
        <v>19</v>
      </c>
      <c r="C23" s="15">
        <f>Model!F6</f>
        <v>51.506</v>
      </c>
      <c r="L23" s="132"/>
      <c r="M23" s="133"/>
      <c r="N23" s="134"/>
    </row>
    <row r="24" spans="2:14" x14ac:dyDescent="0.25">
      <c r="B24" s="5" t="s">
        <v>28</v>
      </c>
      <c r="C24" s="7">
        <f>Model!F13</f>
        <v>90.965999999999994</v>
      </c>
      <c r="L24" s="132"/>
      <c r="M24" s="133"/>
      <c r="N24" s="134"/>
    </row>
    <row r="25" spans="2:14" x14ac:dyDescent="0.25">
      <c r="B25" s="5" t="s">
        <v>29</v>
      </c>
      <c r="C25" s="7" t="e">
        <f>Model!#REF!</f>
        <v>#REF!</v>
      </c>
      <c r="L25" s="132"/>
      <c r="M25" s="133"/>
      <c r="N25" s="134"/>
    </row>
    <row r="26" spans="2:14" x14ac:dyDescent="0.25">
      <c r="B26" s="5" t="s">
        <v>69</v>
      </c>
      <c r="C26" s="36">
        <f>C12/C23</f>
        <v>0.85936031861456852</v>
      </c>
      <c r="L26" s="132"/>
      <c r="M26" s="133"/>
      <c r="N26" s="134"/>
    </row>
    <row r="27" spans="2:14" x14ac:dyDescent="0.25">
      <c r="B27" s="5" t="s">
        <v>80</v>
      </c>
      <c r="C27" s="123" t="e">
        <f>Model!Q38/Model!Q46</f>
        <v>#DIV/0!</v>
      </c>
      <c r="E27" t="s">
        <v>70</v>
      </c>
      <c r="L27" s="132"/>
      <c r="M27" s="133"/>
      <c r="N27" s="134"/>
    </row>
    <row r="28" spans="2:14" x14ac:dyDescent="0.25">
      <c r="B28" s="5" t="s">
        <v>81</v>
      </c>
      <c r="C28" s="36" t="e">
        <f>C22/-Model!#REF!</f>
        <v>#REF!</v>
      </c>
      <c r="L28" s="135"/>
      <c r="M28" s="136"/>
      <c r="N28" s="137"/>
    </row>
    <row r="29" spans="2:14" x14ac:dyDescent="0.25">
      <c r="B29" s="5" t="s">
        <v>82</v>
      </c>
      <c r="C29" s="36" t="e">
        <f>Model!#REF!/Model!Q36</f>
        <v>#REF!</v>
      </c>
    </row>
    <row r="30" spans="2:14" x14ac:dyDescent="0.25">
      <c r="B30" s="5" t="s">
        <v>83</v>
      </c>
      <c r="C30" s="36" t="e">
        <f>(Model!Q22+Model!Q23)/Model!Q36</f>
        <v>#DIV/0!</v>
      </c>
    </row>
    <row r="31" spans="2:14" x14ac:dyDescent="0.25">
      <c r="B31" s="5" t="s">
        <v>84</v>
      </c>
      <c r="C31" s="6" t="e">
        <f>(Model!#REF!-Model!Q36)/Model!Q32</f>
        <v>#REF!</v>
      </c>
    </row>
    <row r="32" spans="2:14" x14ac:dyDescent="0.25">
      <c r="B32" s="5" t="s">
        <v>85</v>
      </c>
      <c r="C32" s="36" t="e">
        <f>(Model!Q32-Model!Q45)/Main!C7</f>
        <v>#DIV/0!</v>
      </c>
    </row>
    <row r="33" spans="2:7" x14ac:dyDescent="0.25">
      <c r="B33" s="5" t="s">
        <v>86</v>
      </c>
      <c r="C33" s="36" t="e">
        <f>Model!#REF!/Model!Q32</f>
        <v>#REF!</v>
      </c>
    </row>
    <row r="34" spans="2:7" x14ac:dyDescent="0.25">
      <c r="B34" s="5" t="s">
        <v>87</v>
      </c>
      <c r="C34" s="38" t="e">
        <f>Model!Q8/Model!Q32</f>
        <v>#DIV/0!</v>
      </c>
    </row>
    <row r="35" spans="2:7" x14ac:dyDescent="0.25">
      <c r="B35" s="5" t="s">
        <v>88</v>
      </c>
      <c r="C35" s="38" t="e">
        <f>Model!Q8/Model!Q46</f>
        <v>#DIV/0!</v>
      </c>
    </row>
    <row r="36" spans="2:7" x14ac:dyDescent="0.25">
      <c r="B36" s="22" t="s">
        <v>89</v>
      </c>
      <c r="C36" s="23"/>
    </row>
    <row r="41" spans="2:7" x14ac:dyDescent="0.25">
      <c r="E41" s="61"/>
      <c r="F41" s="62"/>
      <c r="G41" s="62"/>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B84"/>
  <sheetViews>
    <sheetView zoomScaleNormal="100" workbookViewId="0">
      <pane xSplit="2" ySplit="2" topLeftCell="T3" activePane="bottomRight" state="frozen"/>
      <selection pane="topRight" activeCell="B1" sqref="B1"/>
      <selection pane="bottomLeft" activeCell="A3" sqref="A3"/>
      <selection pane="bottomRight" activeCell="X24" sqref="X24"/>
    </sheetView>
  </sheetViews>
  <sheetFormatPr defaultColWidth="11.42578125" defaultRowHeight="15" x14ac:dyDescent="0.25"/>
  <cols>
    <col min="1" max="1" width="4.7109375" customWidth="1"/>
    <col min="2" max="2" width="27.28515625" customWidth="1"/>
    <col min="7" max="7" width="11.42578125" style="13"/>
    <col min="25" max="25" width="11.42578125" style="148"/>
    <col min="26" max="26" width="11.42578125" style="13"/>
  </cols>
  <sheetData>
    <row r="1" spans="1:28" x14ac:dyDescent="0.25">
      <c r="A1" s="8" t="s">
        <v>35</v>
      </c>
    </row>
    <row r="2" spans="1:28" x14ac:dyDescent="0.25">
      <c r="C2" t="s">
        <v>32</v>
      </c>
      <c r="D2" t="s">
        <v>18</v>
      </c>
      <c r="E2" t="s">
        <v>14</v>
      </c>
      <c r="F2" t="s">
        <v>15</v>
      </c>
      <c r="G2" s="13" t="s">
        <v>16</v>
      </c>
      <c r="H2" t="s">
        <v>30</v>
      </c>
      <c r="I2" t="s">
        <v>65</v>
      </c>
      <c r="L2" t="s">
        <v>31</v>
      </c>
      <c r="M2" t="s">
        <v>10</v>
      </c>
      <c r="N2" t="s">
        <v>11</v>
      </c>
      <c r="O2" t="s">
        <v>12</v>
      </c>
      <c r="P2" t="s">
        <v>13</v>
      </c>
      <c r="Q2" t="s">
        <v>6</v>
      </c>
      <c r="R2" t="s">
        <v>7</v>
      </c>
      <c r="S2" t="s">
        <v>8</v>
      </c>
      <c r="T2" t="s">
        <v>9</v>
      </c>
      <c r="U2" t="s">
        <v>33</v>
      </c>
      <c r="V2" t="s">
        <v>37</v>
      </c>
      <c r="W2" t="s">
        <v>38</v>
      </c>
      <c r="X2" t="s">
        <v>60</v>
      </c>
      <c r="Y2" s="148" t="s">
        <v>64</v>
      </c>
      <c r="Z2" s="13" t="s">
        <v>134</v>
      </c>
      <c r="AA2" t="s">
        <v>135</v>
      </c>
      <c r="AB2" t="s">
        <v>181</v>
      </c>
    </row>
    <row r="3" spans="1:28" s="1" customFormat="1" x14ac:dyDescent="0.25">
      <c r="B3" s="1" t="s">
        <v>17</v>
      </c>
      <c r="C3" s="11"/>
      <c r="D3" s="11">
        <v>34.703000000000003</v>
      </c>
      <c r="E3" s="11">
        <v>169.49100000000001</v>
      </c>
      <c r="F3" s="11">
        <v>142.428</v>
      </c>
      <c r="G3" s="14">
        <v>146.36600000000001</v>
      </c>
      <c r="H3" s="43"/>
      <c r="I3" s="43"/>
      <c r="L3" s="11"/>
      <c r="M3" s="11"/>
      <c r="N3" s="11"/>
      <c r="O3" s="11"/>
      <c r="P3" s="11"/>
      <c r="Q3" s="11"/>
      <c r="R3" s="11"/>
      <c r="S3" s="11"/>
      <c r="T3" s="11">
        <v>30.05</v>
      </c>
      <c r="U3" s="11">
        <v>35.478999999999999</v>
      </c>
      <c r="V3" s="11"/>
      <c r="W3" s="11"/>
      <c r="X3" s="11">
        <v>50.317</v>
      </c>
      <c r="Y3" s="149">
        <v>41.548000000000002</v>
      </c>
      <c r="Z3" s="14"/>
      <c r="AA3" s="11"/>
      <c r="AB3" s="11"/>
    </row>
    <row r="4" spans="1:28" x14ac:dyDescent="0.25">
      <c r="B4" s="9" t="s">
        <v>62</v>
      </c>
      <c r="C4" s="10"/>
      <c r="D4" s="10"/>
      <c r="E4" s="10"/>
      <c r="F4" s="10"/>
      <c r="G4" s="15"/>
      <c r="H4" s="42">
        <v>216.01</v>
      </c>
      <c r="I4" s="42">
        <v>507.72</v>
      </c>
      <c r="L4" s="40"/>
      <c r="M4" s="40"/>
      <c r="N4" s="40"/>
      <c r="O4" s="40"/>
      <c r="P4" s="40"/>
      <c r="Q4" s="40"/>
      <c r="R4" s="40"/>
      <c r="S4" s="40"/>
      <c r="T4" s="40"/>
      <c r="U4" s="40"/>
      <c r="V4" s="40"/>
      <c r="W4" s="40"/>
      <c r="X4" s="40"/>
      <c r="Y4" s="150"/>
      <c r="Z4" s="127"/>
      <c r="AA4" s="40"/>
    </row>
    <row r="5" spans="1:28" s="1" customFormat="1" x14ac:dyDescent="0.25">
      <c r="B5" s="1" t="s">
        <v>57</v>
      </c>
      <c r="C5" s="11"/>
      <c r="D5" s="11">
        <v>31.83</v>
      </c>
      <c r="E5" s="11">
        <v>58.371000000000002</v>
      </c>
      <c r="F5" s="11">
        <v>131.91</v>
      </c>
      <c r="G5" s="14">
        <v>167.86799999999999</v>
      </c>
      <c r="H5" s="11"/>
      <c r="I5" s="11"/>
      <c r="L5" s="11"/>
      <c r="M5" s="11"/>
      <c r="N5" s="11"/>
      <c r="O5" s="11"/>
      <c r="P5" s="11"/>
      <c r="Q5" s="11"/>
      <c r="R5" s="11"/>
      <c r="S5" s="11"/>
      <c r="T5" s="11">
        <v>38.402999999999999</v>
      </c>
      <c r="U5" s="40">
        <v>41.518999999999998</v>
      </c>
      <c r="V5" s="11"/>
      <c r="W5" s="11"/>
      <c r="X5" s="11">
        <v>60.999000000000002</v>
      </c>
      <c r="Y5" s="149">
        <v>52.823</v>
      </c>
      <c r="Z5" s="14"/>
      <c r="AA5" s="11"/>
      <c r="AB5" s="11"/>
    </row>
    <row r="6" spans="1:28" x14ac:dyDescent="0.25">
      <c r="B6" t="s">
        <v>132</v>
      </c>
      <c r="C6" s="10"/>
      <c r="D6" s="10">
        <v>8.25</v>
      </c>
      <c r="E6" s="10">
        <v>43.238</v>
      </c>
      <c r="F6" s="10">
        <v>51.506</v>
      </c>
      <c r="G6" s="15">
        <v>39.292000000000002</v>
      </c>
      <c r="H6" s="40"/>
      <c r="I6" s="40"/>
      <c r="L6" s="10"/>
      <c r="M6" s="10"/>
      <c r="N6" s="10"/>
      <c r="O6" s="10"/>
      <c r="P6" s="10"/>
      <c r="Q6" s="10"/>
      <c r="R6" s="10"/>
      <c r="S6" s="10"/>
      <c r="T6" s="10">
        <v>8.36</v>
      </c>
      <c r="U6" s="10">
        <v>9.1549999999999994</v>
      </c>
      <c r="V6" s="10"/>
      <c r="W6" s="10"/>
      <c r="X6" s="10">
        <v>13.196</v>
      </c>
      <c r="Y6" s="151">
        <v>12.401999999999999</v>
      </c>
      <c r="Z6" s="15"/>
      <c r="AA6" s="10"/>
    </row>
    <row r="7" spans="1:28" x14ac:dyDescent="0.25">
      <c r="B7" t="s">
        <v>201</v>
      </c>
      <c r="C7" s="10"/>
      <c r="D7" s="10">
        <v>-8.7999999999999995E-2</v>
      </c>
      <c r="E7" s="10">
        <v>0.28899999999999998</v>
      </c>
      <c r="F7" s="10">
        <v>150.81</v>
      </c>
      <c r="G7" s="15"/>
      <c r="H7" s="40"/>
      <c r="I7" s="40"/>
      <c r="L7" s="10"/>
      <c r="M7" s="10"/>
      <c r="N7" s="10"/>
      <c r="O7" s="10"/>
      <c r="P7" s="10"/>
      <c r="Q7" s="10"/>
      <c r="R7" s="10"/>
      <c r="S7" s="10"/>
      <c r="T7" s="10">
        <v>-0.58699999999999997</v>
      </c>
      <c r="U7" s="10"/>
      <c r="V7" s="10"/>
      <c r="W7" s="10"/>
      <c r="X7" s="10"/>
      <c r="Y7" s="151"/>
      <c r="Z7" s="15"/>
      <c r="AA7" s="10"/>
    </row>
    <row r="8" spans="1:28" x14ac:dyDescent="0.25">
      <c r="B8" t="s">
        <v>202</v>
      </c>
      <c r="C8" s="10"/>
      <c r="D8" s="10"/>
      <c r="E8" s="10">
        <v>4.8609999999999998</v>
      </c>
      <c r="F8" s="10">
        <v>-2.1659999999999999</v>
      </c>
      <c r="G8" s="15">
        <v>-2.6949999999999998</v>
      </c>
      <c r="H8" s="10"/>
      <c r="I8" s="10"/>
      <c r="L8" s="10"/>
      <c r="M8" s="10"/>
      <c r="N8" s="10"/>
      <c r="O8" s="10"/>
      <c r="P8" s="10"/>
      <c r="Q8" s="10"/>
      <c r="R8" s="10"/>
      <c r="S8" s="10"/>
      <c r="T8" s="10">
        <v>-2.6949999999999998</v>
      </c>
      <c r="U8" s="10">
        <v>-7.0000000000000001E-3</v>
      </c>
      <c r="V8" s="10"/>
      <c r="W8" s="10"/>
      <c r="X8" s="10"/>
      <c r="Y8" s="151">
        <v>9.9000000000000005E-2</v>
      </c>
      <c r="Z8" s="15"/>
      <c r="AA8" s="10"/>
    </row>
    <row r="9" spans="1:28" x14ac:dyDescent="0.25">
      <c r="B9" t="s">
        <v>203</v>
      </c>
      <c r="C9" s="10"/>
      <c r="D9" s="10">
        <v>1.4419999999999999</v>
      </c>
      <c r="E9" s="10">
        <v>-0.84799999999999998</v>
      </c>
      <c r="F9" s="10">
        <v>1.2769999999999999</v>
      </c>
      <c r="G9" s="15">
        <v>1.778</v>
      </c>
      <c r="H9" s="10"/>
      <c r="I9" s="10"/>
      <c r="L9" s="10"/>
      <c r="M9" s="10"/>
      <c r="N9" s="10"/>
      <c r="O9" s="10"/>
      <c r="P9" s="10"/>
      <c r="Q9" s="10"/>
      <c r="R9" s="10"/>
      <c r="S9" s="10"/>
      <c r="T9" s="10">
        <v>1.5660000000000001</v>
      </c>
      <c r="U9" s="10"/>
      <c r="V9" s="10"/>
      <c r="W9" s="10"/>
      <c r="X9" s="10">
        <v>0.17</v>
      </c>
      <c r="Y9" s="151"/>
      <c r="Z9" s="15"/>
      <c r="AA9" s="10"/>
    </row>
    <row r="10" spans="1:28" x14ac:dyDescent="0.25">
      <c r="B10" t="s">
        <v>204</v>
      </c>
      <c r="C10" s="10"/>
      <c r="D10" s="10"/>
      <c r="E10" s="10">
        <v>1.8</v>
      </c>
      <c r="F10" s="10">
        <v>75.212999999999994</v>
      </c>
      <c r="G10" s="15">
        <v>12.252000000000001</v>
      </c>
      <c r="H10" s="10"/>
      <c r="I10" s="10"/>
      <c r="L10" s="10"/>
      <c r="M10" s="10"/>
      <c r="N10" s="10"/>
      <c r="O10" s="10"/>
      <c r="P10" s="10"/>
      <c r="Q10" s="10"/>
      <c r="R10" s="10"/>
      <c r="S10" s="10"/>
      <c r="T10" s="10"/>
      <c r="U10" s="10">
        <v>9.9819999999999993</v>
      </c>
      <c r="V10" s="10"/>
      <c r="W10" s="10"/>
      <c r="X10" s="10"/>
      <c r="Y10" s="151"/>
      <c r="Z10" s="15"/>
      <c r="AA10" s="10"/>
    </row>
    <row r="11" spans="1:28" x14ac:dyDescent="0.25">
      <c r="B11" t="s">
        <v>205</v>
      </c>
      <c r="C11" s="10"/>
      <c r="D11" s="10"/>
      <c r="E11" s="10">
        <v>-1.86</v>
      </c>
      <c r="F11" s="10">
        <v>17.899999999999999</v>
      </c>
      <c r="G11" s="15"/>
      <c r="H11" s="40"/>
      <c r="I11" s="40"/>
      <c r="L11" s="10"/>
      <c r="M11" s="10"/>
      <c r="N11" s="10"/>
      <c r="O11" s="10"/>
      <c r="P11" s="10"/>
      <c r="Q11" s="10"/>
      <c r="R11" s="10"/>
      <c r="S11" s="10"/>
      <c r="T11" s="10"/>
      <c r="U11" s="10"/>
      <c r="V11" s="10"/>
      <c r="W11" s="10"/>
      <c r="X11" s="10"/>
      <c r="Y11" s="151"/>
      <c r="Z11" s="15"/>
      <c r="AA11" s="10"/>
    </row>
    <row r="12" spans="1:28" s="1" customFormat="1" x14ac:dyDescent="0.25">
      <c r="B12" s="1" t="s">
        <v>23</v>
      </c>
      <c r="C12" s="11">
        <f>C3-SUM(C5:C11)</f>
        <v>0</v>
      </c>
      <c r="D12" s="11">
        <f>D3-SUM(D5:D11)</f>
        <v>-6.7309999999999945</v>
      </c>
      <c r="E12" s="11">
        <f>E3-SUM(E5:E11)</f>
        <v>63.64</v>
      </c>
      <c r="F12" s="11">
        <f>F3-SUM(F5:F11)</f>
        <v>-284.02199999999993</v>
      </c>
      <c r="G12" s="14">
        <f>G3-SUM(G5:G11)</f>
        <v>-72.128999999999991</v>
      </c>
      <c r="H12" s="11">
        <f>H3-SUM(H5:H11)</f>
        <v>0</v>
      </c>
      <c r="I12" s="11">
        <f>I3-SUM(I5:I11)</f>
        <v>0</v>
      </c>
      <c r="J12" s="11"/>
      <c r="K12" s="11"/>
      <c r="L12" s="11">
        <f>L3-SUM(L5:L11)</f>
        <v>0</v>
      </c>
      <c r="M12" s="11">
        <f>M3-SUM(M5:M11)</f>
        <v>0</v>
      </c>
      <c r="N12" s="11">
        <f>N3-SUM(N5:N11)</f>
        <v>0</v>
      </c>
      <c r="O12" s="11">
        <f>O3-SUM(O5:O11)</f>
        <v>0</v>
      </c>
      <c r="P12" s="11">
        <f>P3-SUM(P5:P11)</f>
        <v>0</v>
      </c>
      <c r="Q12" s="11">
        <f>Q3-SUM(Q5:Q11)</f>
        <v>0</v>
      </c>
      <c r="R12" s="11">
        <f>R3-SUM(R5:R11)</f>
        <v>0</v>
      </c>
      <c r="S12" s="11">
        <f>S3-SUM(S5:S11)</f>
        <v>0</v>
      </c>
      <c r="T12" s="11">
        <f>T3-SUM(T5:T11)</f>
        <v>-14.996999999999996</v>
      </c>
      <c r="U12" s="11">
        <f>U3-SUM(U5:U11)</f>
        <v>-25.17</v>
      </c>
      <c r="V12" s="11">
        <f>V3-SUM(V5:V11)</f>
        <v>0</v>
      </c>
      <c r="W12" s="11">
        <f>W3-SUM(W5:W11)</f>
        <v>0</v>
      </c>
      <c r="X12" s="11">
        <f>X3-SUM(X5:X11)</f>
        <v>-24.048000000000009</v>
      </c>
      <c r="Y12" s="149">
        <f>Y3-SUM(Y5:Y11)</f>
        <v>-23.775999999999996</v>
      </c>
      <c r="Z12" s="14">
        <f>Z3-SUM(Z5:Z11)</f>
        <v>0</v>
      </c>
      <c r="AA12" s="11">
        <f>AA3-SUM(AA5:AA11)</f>
        <v>0</v>
      </c>
      <c r="AB12" s="11">
        <f>AB3-SUM(AB5:AB11)</f>
        <v>0</v>
      </c>
    </row>
    <row r="13" spans="1:28" x14ac:dyDescent="0.25">
      <c r="B13" t="s">
        <v>206</v>
      </c>
      <c r="C13" s="10"/>
      <c r="D13" s="10">
        <v>-9.3859999999999992</v>
      </c>
      <c r="E13" s="10">
        <v>-21.003</v>
      </c>
      <c r="F13" s="10">
        <v>90.965999999999994</v>
      </c>
      <c r="G13" s="15">
        <v>-32.308</v>
      </c>
      <c r="H13" s="40"/>
      <c r="I13" s="40"/>
      <c r="L13" s="10"/>
      <c r="M13" s="10"/>
      <c r="N13" s="10"/>
      <c r="O13" s="10"/>
      <c r="P13" s="10"/>
      <c r="Q13" s="10"/>
      <c r="R13" s="10"/>
      <c r="S13" s="10"/>
      <c r="T13" s="10">
        <v>10.967000000000001</v>
      </c>
      <c r="U13" s="10">
        <v>-1.0069999999999999</v>
      </c>
      <c r="V13" s="10"/>
      <c r="W13" s="10"/>
      <c r="X13" s="10">
        <v>11.443</v>
      </c>
      <c r="Y13" s="151">
        <v>-1.3169999999999999</v>
      </c>
      <c r="Z13" s="15"/>
      <c r="AA13" s="10"/>
    </row>
    <row r="14" spans="1:28" s="1" customFormat="1" x14ac:dyDescent="0.25">
      <c r="B14" s="1" t="s">
        <v>133</v>
      </c>
      <c r="C14" s="11">
        <f>C12+SUM(C13:C13)</f>
        <v>0</v>
      </c>
      <c r="D14" s="11">
        <f>D12+SUM(D13:D13)</f>
        <v>-16.116999999999994</v>
      </c>
      <c r="E14" s="11">
        <f>E12+SUM(E13:E13)</f>
        <v>42.637</v>
      </c>
      <c r="F14" s="11">
        <f>F12+SUM(F13:F13)</f>
        <v>-193.05599999999993</v>
      </c>
      <c r="G14" s="14">
        <f>G12+SUM(G13:G13)</f>
        <v>-104.43699999999998</v>
      </c>
      <c r="H14" s="11">
        <f>H12+SUM(H13:H13)</f>
        <v>0</v>
      </c>
      <c r="I14" s="11">
        <f>I12+SUM(I13:I13)</f>
        <v>0</v>
      </c>
      <c r="L14" s="11">
        <f>L12+SUM(L13:L13)</f>
        <v>0</v>
      </c>
      <c r="M14" s="11">
        <f>M12+SUM(M13:M13)</f>
        <v>0</v>
      </c>
      <c r="N14" s="11">
        <f>N12+SUM(N13:N13)</f>
        <v>0</v>
      </c>
      <c r="O14" s="11">
        <f>O12+SUM(O13:O13)</f>
        <v>0</v>
      </c>
      <c r="P14" s="11">
        <f>P12+SUM(P13:P13)</f>
        <v>0</v>
      </c>
      <c r="Q14" s="11">
        <f>Q12+SUM(Q13:Q13)</f>
        <v>0</v>
      </c>
      <c r="R14" s="11">
        <f>R12+SUM(R13:R13)</f>
        <v>0</v>
      </c>
      <c r="S14" s="11">
        <f>S12+SUM(S13:S13)</f>
        <v>0</v>
      </c>
      <c r="T14" s="11">
        <f>T12+SUM(T13:T13)</f>
        <v>-4.0299999999999958</v>
      </c>
      <c r="U14" s="11">
        <f>U12+SUM(U13:U13)</f>
        <v>-26.177000000000003</v>
      </c>
      <c r="V14" s="11">
        <f>V12+SUM(V13:V13)</f>
        <v>0</v>
      </c>
      <c r="W14" s="11">
        <f>W12+SUM(W13:W13)</f>
        <v>0</v>
      </c>
      <c r="X14" s="11">
        <f>X12+SUM(X13:X13)</f>
        <v>-12.605000000000009</v>
      </c>
      <c r="Y14" s="149">
        <f>Y12+SUM(Y13:Y13)</f>
        <v>-25.092999999999996</v>
      </c>
      <c r="Z14" s="14">
        <f>Z12+SUM(Z13:Z13)</f>
        <v>0</v>
      </c>
      <c r="AA14" s="11">
        <f>AA12+SUM(AA13:AA13)</f>
        <v>0</v>
      </c>
      <c r="AB14" s="11">
        <f>AB12+SUM(AB13:AB13)</f>
        <v>0</v>
      </c>
    </row>
    <row r="15" spans="1:28" x14ac:dyDescent="0.25">
      <c r="B15" t="s">
        <v>20</v>
      </c>
      <c r="C15" s="10"/>
      <c r="D15" s="10">
        <v>0.17199999999999999</v>
      </c>
      <c r="E15" s="10">
        <v>20.507000000000001</v>
      </c>
      <c r="F15" s="10">
        <v>-17.411999999999999</v>
      </c>
      <c r="G15" s="15">
        <v>-0.40100000000000002</v>
      </c>
      <c r="H15" s="40"/>
      <c r="I15" s="40"/>
      <c r="L15" s="10"/>
      <c r="M15" s="10"/>
      <c r="N15" s="10"/>
      <c r="O15" s="10"/>
      <c r="P15" s="10"/>
      <c r="Q15" s="10"/>
      <c r="R15" s="10"/>
      <c r="S15" s="10"/>
      <c r="T15" s="10">
        <v>0.33</v>
      </c>
      <c r="U15" s="10">
        <v>9.4E-2</v>
      </c>
      <c r="V15" s="10"/>
      <c r="W15" s="10"/>
      <c r="X15" s="10">
        <v>-6.2850000000000001</v>
      </c>
      <c r="Y15" s="151">
        <v>1.704</v>
      </c>
      <c r="Z15" s="15"/>
      <c r="AA15" s="10"/>
    </row>
    <row r="16" spans="1:28" x14ac:dyDescent="0.25">
      <c r="B16" t="s">
        <v>207</v>
      </c>
      <c r="C16" s="10"/>
      <c r="D16" s="10"/>
      <c r="E16" s="10"/>
      <c r="F16" s="10"/>
      <c r="G16" s="15">
        <v>-9.2420000000000009</v>
      </c>
      <c r="H16" s="40"/>
      <c r="I16" s="40"/>
      <c r="L16" s="10"/>
      <c r="M16" s="10"/>
      <c r="N16" s="10"/>
      <c r="O16" s="10"/>
      <c r="P16" s="10"/>
      <c r="Q16" s="10"/>
      <c r="R16" s="10"/>
      <c r="S16" s="10"/>
      <c r="T16" s="10">
        <v>-1.2250000000000001</v>
      </c>
      <c r="U16" s="10">
        <v>-0.57899999999999996</v>
      </c>
      <c r="V16" s="10"/>
      <c r="W16" s="10"/>
      <c r="X16" s="10">
        <v>-17.433</v>
      </c>
      <c r="Y16" s="151">
        <v>5.4550000000000001</v>
      </c>
      <c r="Z16" s="15"/>
      <c r="AA16" s="10"/>
    </row>
    <row r="17" spans="2:28" s="1" customFormat="1" x14ac:dyDescent="0.25">
      <c r="B17" s="1" t="s">
        <v>21</v>
      </c>
      <c r="C17" s="11">
        <f>C14-SUM(C15:C16)</f>
        <v>0</v>
      </c>
      <c r="D17" s="11">
        <f t="shared" ref="D17:G17" si="0">D14-SUM(D15:D16)</f>
        <v>-16.288999999999994</v>
      </c>
      <c r="E17" s="11">
        <f t="shared" si="0"/>
        <v>22.13</v>
      </c>
      <c r="F17" s="11">
        <f t="shared" si="0"/>
        <v>-175.64399999999992</v>
      </c>
      <c r="G17" s="14">
        <f t="shared" si="0"/>
        <v>-94.793999999999983</v>
      </c>
      <c r="H17" s="60"/>
      <c r="I17" s="60"/>
      <c r="L17" s="11">
        <f t="shared" ref="L17" si="1">L14-SUM(L15:L16)</f>
        <v>0</v>
      </c>
      <c r="M17" s="11">
        <f t="shared" ref="M17" si="2">M14-SUM(M15:M16)</f>
        <v>0</v>
      </c>
      <c r="N17" s="11">
        <f t="shared" ref="N17" si="3">N14-SUM(N15:N16)</f>
        <v>0</v>
      </c>
      <c r="O17" s="11">
        <f t="shared" ref="O17" si="4">O14-SUM(O15:O16)</f>
        <v>0</v>
      </c>
      <c r="P17" s="11">
        <f t="shared" ref="P17" si="5">P14-SUM(P15:P16)</f>
        <v>0</v>
      </c>
      <c r="Q17" s="11">
        <f t="shared" ref="Q17" si="6">Q14-SUM(Q15:Q16)</f>
        <v>0</v>
      </c>
      <c r="R17" s="11">
        <f t="shared" ref="R17" si="7">R14-SUM(R15:R16)</f>
        <v>0</v>
      </c>
      <c r="S17" s="11">
        <f t="shared" ref="S17" si="8">S14-SUM(S15:S16)</f>
        <v>0</v>
      </c>
      <c r="T17" s="11">
        <f t="shared" ref="T17" si="9">T14-SUM(T15:T16)</f>
        <v>-3.1349999999999958</v>
      </c>
      <c r="U17" s="11">
        <f t="shared" ref="U17" si="10">U14-SUM(U15:U16)</f>
        <v>-25.692000000000004</v>
      </c>
      <c r="V17" s="11">
        <f t="shared" ref="V17:AB17" si="11">V14-SUM(V15:V16)</f>
        <v>0</v>
      </c>
      <c r="W17" s="11">
        <f t="shared" si="11"/>
        <v>0</v>
      </c>
      <c r="X17" s="11">
        <f t="shared" si="11"/>
        <v>11.112999999999991</v>
      </c>
      <c r="Y17" s="149">
        <f t="shared" si="11"/>
        <v>-32.251999999999995</v>
      </c>
      <c r="Z17" s="14">
        <f t="shared" si="11"/>
        <v>0</v>
      </c>
      <c r="AA17" s="11">
        <f t="shared" si="11"/>
        <v>0</v>
      </c>
      <c r="AB17" s="11">
        <f t="shared" si="11"/>
        <v>0</v>
      </c>
    </row>
    <row r="18" spans="2:28" x14ac:dyDescent="0.25">
      <c r="B18" t="s">
        <v>1</v>
      </c>
      <c r="C18" s="10"/>
      <c r="D18" s="10">
        <v>84.91525</v>
      </c>
      <c r="E18" s="10">
        <v>169.39226500000001</v>
      </c>
      <c r="F18" s="10">
        <v>207.77600000000001</v>
      </c>
      <c r="G18" s="15">
        <v>262.23700000000002</v>
      </c>
      <c r="H18" s="40"/>
      <c r="I18" s="40"/>
      <c r="L18" s="10"/>
      <c r="M18" s="10"/>
      <c r="N18" s="10"/>
      <c r="O18" s="10"/>
      <c r="P18" s="10"/>
      <c r="Q18" s="10"/>
      <c r="R18" s="10"/>
      <c r="S18" s="10"/>
      <c r="T18" s="10">
        <v>232.541</v>
      </c>
      <c r="U18" s="10">
        <v>246.12899999999999</v>
      </c>
      <c r="V18" s="10"/>
      <c r="W18" s="10"/>
      <c r="X18" s="10">
        <v>338.745</v>
      </c>
      <c r="Y18" s="151">
        <v>401.23899999999998</v>
      </c>
      <c r="Z18" s="15"/>
      <c r="AA18" s="10"/>
    </row>
    <row r="19" spans="2:28" s="1" customFormat="1" x14ac:dyDescent="0.25">
      <c r="B19" s="1" t="s">
        <v>22</v>
      </c>
      <c r="C19" s="156" t="e">
        <f t="shared" ref="C19:F19" si="12">(C17+C16)/C18</f>
        <v>#DIV/0!</v>
      </c>
      <c r="D19" s="156">
        <f t="shared" si="12"/>
        <v>-0.19182655647837102</v>
      </c>
      <c r="E19" s="156">
        <f t="shared" si="12"/>
        <v>0.13064350960771437</v>
      </c>
      <c r="F19" s="156">
        <f t="shared" si="12"/>
        <v>-0.84535268750962533</v>
      </c>
      <c r="G19" s="56">
        <f>(G17+G16)/G18</f>
        <v>-0.39672509981429005</v>
      </c>
      <c r="H19" s="57"/>
      <c r="I19" s="58"/>
      <c r="L19" s="156" t="e">
        <f t="shared" ref="L19" si="13">(L17+L16)/L18</f>
        <v>#DIV/0!</v>
      </c>
      <c r="M19" s="156" t="e">
        <f t="shared" ref="M19" si="14">(M17+M16)/M18</f>
        <v>#DIV/0!</v>
      </c>
      <c r="N19" s="156" t="e">
        <f t="shared" ref="N19" si="15">(N17+N16)/N18</f>
        <v>#DIV/0!</v>
      </c>
      <c r="O19" s="156" t="e">
        <f t="shared" ref="O19" si="16">(O17+O16)/O18</f>
        <v>#DIV/0!</v>
      </c>
      <c r="P19" s="156" t="e">
        <f t="shared" ref="P19" si="17">(P17+P16)/P18</f>
        <v>#DIV/0!</v>
      </c>
      <c r="Q19" s="156" t="e">
        <f t="shared" ref="Q19" si="18">(Q17+Q16)/Q18</f>
        <v>#DIV/0!</v>
      </c>
      <c r="R19" s="156" t="e">
        <f t="shared" ref="R19" si="19">(R17+R16)/R18</f>
        <v>#DIV/0!</v>
      </c>
      <c r="S19" s="156" t="e">
        <f t="shared" ref="S19" si="20">(S17+S16)/S18</f>
        <v>#DIV/0!</v>
      </c>
      <c r="T19" s="156">
        <f t="shared" ref="T19" si="21">(T17+T16)/T18</f>
        <v>-1.8749381829440814E-2</v>
      </c>
      <c r="U19" s="156">
        <f t="shared" ref="U19" si="22">(U17+U16)/U18</f>
        <v>-0.10673671123679049</v>
      </c>
      <c r="V19" s="156" t="e">
        <f t="shared" ref="V19" si="23">(V17+V16)/V18</f>
        <v>#DIV/0!</v>
      </c>
      <c r="W19" s="156" t="e">
        <f t="shared" ref="W19" si="24">(W17+W16)/W18</f>
        <v>#DIV/0!</v>
      </c>
      <c r="X19" s="156">
        <f t="shared" ref="X19" si="25">(X17+X16)/X18</f>
        <v>-1.8657101949844306E-2</v>
      </c>
      <c r="Y19" s="156">
        <f t="shared" ref="Y19" si="26">(Y17+Y16)/Y18</f>
        <v>-6.6785631506408899E-2</v>
      </c>
      <c r="Z19" s="156" t="e">
        <f t="shared" ref="Z19" si="27">(Z17+Z16)/Z18</f>
        <v>#DIV/0!</v>
      </c>
      <c r="AA19" s="156" t="e">
        <f t="shared" ref="AA19" si="28">(AA17+AA16)/AA18</f>
        <v>#DIV/0!</v>
      </c>
      <c r="AB19" s="156" t="e">
        <f t="shared" ref="AB19" si="29">(AB17+AB16)/AB18</f>
        <v>#DIV/0!</v>
      </c>
    </row>
    <row r="20" spans="2:28" s="1" customFormat="1" x14ac:dyDescent="0.25">
      <c r="B20" s="9" t="s">
        <v>61</v>
      </c>
      <c r="C20" s="2"/>
      <c r="D20" s="2"/>
      <c r="E20" s="2"/>
      <c r="F20" s="2"/>
      <c r="G20" s="35"/>
      <c r="H20" s="44">
        <v>-0.24</v>
      </c>
      <c r="I20" s="45">
        <v>0.02</v>
      </c>
      <c r="L20" s="49"/>
      <c r="M20" s="49"/>
      <c r="N20" s="49"/>
      <c r="O20" s="49"/>
      <c r="P20" s="49"/>
      <c r="Q20" s="49"/>
      <c r="R20" s="49"/>
      <c r="S20" s="49"/>
      <c r="T20" s="49"/>
      <c r="U20" s="49"/>
      <c r="V20" s="49"/>
      <c r="W20" s="49"/>
      <c r="X20" s="49"/>
      <c r="Y20" s="152"/>
      <c r="Z20" s="128"/>
      <c r="AA20" s="49"/>
      <c r="AB20" s="49"/>
    </row>
    <row r="21" spans="2:28" s="1" customFormat="1" x14ac:dyDescent="0.25">
      <c r="B21" t="s">
        <v>28</v>
      </c>
      <c r="C21" s="3" t="e">
        <f>1-C5/C3</f>
        <v>#DIV/0!</v>
      </c>
      <c r="D21" s="3">
        <f>1-D5/D3</f>
        <v>8.2788231564994486E-2</v>
      </c>
      <c r="E21" s="3">
        <f>1-E5/E3</f>
        <v>0.65561003239110049</v>
      </c>
      <c r="F21" s="3">
        <f>1-F5/F3</f>
        <v>7.3847838908079888E-2</v>
      </c>
      <c r="G21" s="6">
        <f>1-G5/G3</f>
        <v>-0.14690570214394039</v>
      </c>
      <c r="H21" s="46"/>
      <c r="I21" s="46"/>
      <c r="L21" s="3" t="e">
        <f>1-L5/L3</f>
        <v>#DIV/0!</v>
      </c>
      <c r="M21" s="3" t="e">
        <f>1-M5/M3</f>
        <v>#DIV/0!</v>
      </c>
      <c r="N21" s="3" t="e">
        <f>1-N5/N3</f>
        <v>#DIV/0!</v>
      </c>
      <c r="O21" s="3" t="e">
        <f>1-O5/O3</f>
        <v>#DIV/0!</v>
      </c>
      <c r="P21" s="3" t="e">
        <f>1-P5/P3</f>
        <v>#DIV/0!</v>
      </c>
      <c r="Q21" s="3" t="e">
        <f>1-Q5/Q3</f>
        <v>#DIV/0!</v>
      </c>
      <c r="R21" s="3" t="e">
        <f>1-R5/R3</f>
        <v>#DIV/0!</v>
      </c>
      <c r="S21" s="3" t="e">
        <f>1-S5/S3</f>
        <v>#DIV/0!</v>
      </c>
      <c r="T21" s="3">
        <f>1-T5/T3</f>
        <v>-0.27797004991680518</v>
      </c>
      <c r="U21" s="3">
        <f>1-U5/U3</f>
        <v>-0.17024155134022934</v>
      </c>
      <c r="V21" s="3" t="e">
        <f>1-V5/V3</f>
        <v>#DIV/0!</v>
      </c>
      <c r="W21" s="3" t="e">
        <f>1-W5/W3</f>
        <v>#DIV/0!</v>
      </c>
      <c r="X21" s="3">
        <f>1-X5/X3</f>
        <v>-0.21229405568694482</v>
      </c>
      <c r="Y21" s="39">
        <f>1-Y5/Y3</f>
        <v>-0.27137286993357068</v>
      </c>
      <c r="Z21" s="6" t="e">
        <f>1-Z5/Z3</f>
        <v>#DIV/0!</v>
      </c>
      <c r="AA21" s="3" t="e">
        <f>1-AA5/AA3</f>
        <v>#DIV/0!</v>
      </c>
      <c r="AB21" s="3" t="e">
        <f>1-AB5/AB3</f>
        <v>#DIV/0!</v>
      </c>
    </row>
    <row r="22" spans="2:28" x14ac:dyDescent="0.25">
      <c r="B22" t="s">
        <v>29</v>
      </c>
      <c r="C22" s="4" t="e">
        <f>C17/C3</f>
        <v>#DIV/0!</v>
      </c>
      <c r="D22" s="4">
        <f>D17/D3</f>
        <v>-0.46938305045673262</v>
      </c>
      <c r="E22" s="4">
        <f>E17/E3</f>
        <v>0.13056740475895473</v>
      </c>
      <c r="F22" s="4">
        <f>F17/F3</f>
        <v>-1.2332125705619676</v>
      </c>
      <c r="G22" s="7">
        <f>G17/G3</f>
        <v>-0.6476504106144868</v>
      </c>
      <c r="H22" s="47">
        <f>H17/H4</f>
        <v>0</v>
      </c>
      <c r="I22" s="47">
        <f>I17/I4</f>
        <v>0</v>
      </c>
      <c r="L22" s="4" t="e">
        <f>L17/L3</f>
        <v>#DIV/0!</v>
      </c>
      <c r="M22" s="4" t="e">
        <f>M17/M3</f>
        <v>#DIV/0!</v>
      </c>
      <c r="N22" s="4" t="e">
        <f>N17/N3</f>
        <v>#DIV/0!</v>
      </c>
      <c r="O22" s="4" t="e">
        <f>O17/O3</f>
        <v>#DIV/0!</v>
      </c>
      <c r="P22" s="4" t="e">
        <f>P17/P3</f>
        <v>#DIV/0!</v>
      </c>
      <c r="Q22" s="4" t="e">
        <f>Q17/Q3</f>
        <v>#DIV/0!</v>
      </c>
      <c r="R22" s="4" t="e">
        <f>R17/R3</f>
        <v>#DIV/0!</v>
      </c>
      <c r="S22" s="4" t="e">
        <f>S17/S3</f>
        <v>#DIV/0!</v>
      </c>
      <c r="T22" s="4">
        <f>T17/T3</f>
        <v>-0.10432612312811966</v>
      </c>
      <c r="U22" s="4">
        <f>U17/U3</f>
        <v>-0.72414667831675084</v>
      </c>
      <c r="V22" s="4" t="e">
        <f>V17/V3</f>
        <v>#DIV/0!</v>
      </c>
      <c r="W22" s="4" t="e">
        <f>W17/W3</f>
        <v>#DIV/0!</v>
      </c>
      <c r="X22" s="4">
        <f>X17/X3</f>
        <v>0.22085974919013435</v>
      </c>
      <c r="Y22" s="153">
        <f>Y17/Y3</f>
        <v>-0.77625878501973611</v>
      </c>
      <c r="Z22" s="7" t="e">
        <f>Z17/Z3</f>
        <v>#DIV/0!</v>
      </c>
      <c r="AA22" s="4" t="e">
        <f>AA17/AA3</f>
        <v>#DIV/0!</v>
      </c>
      <c r="AB22" s="4" t="e">
        <f>AB17/AB3</f>
        <v>#DIV/0!</v>
      </c>
    </row>
    <row r="23" spans="2:28" x14ac:dyDescent="0.25">
      <c r="B23" t="s">
        <v>137</v>
      </c>
      <c r="C23" s="3"/>
      <c r="D23" s="3" t="e">
        <f>D3/C3-1</f>
        <v>#DIV/0!</v>
      </c>
      <c r="E23" s="3">
        <f>E3/D3-1</f>
        <v>3.8840446070944878</v>
      </c>
      <c r="F23" s="39">
        <f>F3/E3-1</f>
        <v>-0.15967219498380458</v>
      </c>
      <c r="G23" s="6">
        <f>G3/F3-1</f>
        <v>2.7649057769539853E-2</v>
      </c>
      <c r="H23" s="48">
        <f>H4/G3-1</f>
        <v>0.47582088736455175</v>
      </c>
      <c r="I23" s="48">
        <f>I4/H4-1</f>
        <v>1.3504467385769181</v>
      </c>
      <c r="L23" s="4"/>
      <c r="M23" s="4"/>
      <c r="N23" s="4"/>
      <c r="O23" s="4"/>
      <c r="P23" s="4" t="e">
        <f>P3/L3-1</f>
        <v>#DIV/0!</v>
      </c>
      <c r="Q23" s="4" t="e">
        <f>Q3/M3-1</f>
        <v>#DIV/0!</v>
      </c>
      <c r="R23" s="4" t="e">
        <f>R3/N3-1</f>
        <v>#DIV/0!</v>
      </c>
      <c r="S23" s="4" t="e">
        <f>S3/O3-1</f>
        <v>#DIV/0!</v>
      </c>
      <c r="T23" s="4" t="e">
        <f>T3/P3-1</f>
        <v>#DIV/0!</v>
      </c>
      <c r="U23" s="4" t="e">
        <f>U3/Q3-1</f>
        <v>#DIV/0!</v>
      </c>
      <c r="V23" s="4" t="e">
        <f>V3/R3-1</f>
        <v>#DIV/0!</v>
      </c>
      <c r="W23" s="4" t="e">
        <f>W3/S3-1</f>
        <v>#DIV/0!</v>
      </c>
      <c r="X23" s="4">
        <f>X3/T3-1</f>
        <v>0.67444259567387688</v>
      </c>
      <c r="Y23" s="153">
        <f>Y3/U3-1</f>
        <v>0.17105893627216107</v>
      </c>
      <c r="Z23" s="7" t="e">
        <f>Z3/V3-1</f>
        <v>#DIV/0!</v>
      </c>
      <c r="AA23" s="4" t="e">
        <f>AA3/W3-1</f>
        <v>#DIV/0!</v>
      </c>
      <c r="AB23" s="4">
        <f>AB3/X3-1</f>
        <v>-1</v>
      </c>
    </row>
    <row r="24" spans="2:28" x14ac:dyDescent="0.25">
      <c r="B24" t="s">
        <v>63</v>
      </c>
      <c r="C24" s="4" t="e">
        <f>C6/C3</f>
        <v>#DIV/0!</v>
      </c>
      <c r="D24" s="4">
        <f>D6/D3</f>
        <v>0.23773160821830963</v>
      </c>
      <c r="E24" s="4">
        <f>E6/E3</f>
        <v>0.25510499082547156</v>
      </c>
      <c r="F24" s="4">
        <f>F6/F3</f>
        <v>0.36162833150784957</v>
      </c>
      <c r="G24" s="7">
        <f>G6/G3</f>
        <v>0.26845032316248307</v>
      </c>
      <c r="H24" s="124"/>
      <c r="I24" s="124"/>
      <c r="L24" s="4" t="e">
        <f>L6/L3</f>
        <v>#DIV/0!</v>
      </c>
      <c r="M24" s="4" t="e">
        <f>M6/M3</f>
        <v>#DIV/0!</v>
      </c>
      <c r="N24" s="4" t="e">
        <f>N6/N3</f>
        <v>#DIV/0!</v>
      </c>
      <c r="O24" s="4" t="e">
        <f>O6/O3</f>
        <v>#DIV/0!</v>
      </c>
      <c r="P24" s="4" t="e">
        <f>P6/P3</f>
        <v>#DIV/0!</v>
      </c>
      <c r="Q24" s="4" t="e">
        <f>Q6/Q3</f>
        <v>#DIV/0!</v>
      </c>
      <c r="R24" s="4" t="e">
        <f>R6/R3</f>
        <v>#DIV/0!</v>
      </c>
      <c r="S24" s="4" t="e">
        <f>S6/S3</f>
        <v>#DIV/0!</v>
      </c>
      <c r="T24" s="4">
        <f>T6/T3</f>
        <v>0.27820299500831946</v>
      </c>
      <c r="U24" s="4">
        <f>U6/U3</f>
        <v>0.25803996730460271</v>
      </c>
      <c r="V24" s="4" t="e">
        <f>V6/V3</f>
        <v>#DIV/0!</v>
      </c>
      <c r="W24" s="4" t="e">
        <f>W6/W3</f>
        <v>#DIV/0!</v>
      </c>
      <c r="X24" s="4">
        <f>X6/X3</f>
        <v>0.26225728878907723</v>
      </c>
      <c r="Y24" s="153">
        <f>Y6/Y3</f>
        <v>0.2984981226533166</v>
      </c>
      <c r="Z24" s="7" t="e">
        <f>Z6/Z3</f>
        <v>#DIV/0!</v>
      </c>
      <c r="AA24" s="4" t="e">
        <f>AA6/AA3</f>
        <v>#DIV/0!</v>
      </c>
      <c r="AB24" s="4" t="e">
        <f>AB6/AB3</f>
        <v>#DIV/0!</v>
      </c>
    </row>
    <row r="25" spans="2:28" x14ac:dyDescent="0.25">
      <c r="B25" t="s">
        <v>130</v>
      </c>
      <c r="C25" s="4" t="e">
        <f>C7/C3</f>
        <v>#DIV/0!</v>
      </c>
      <c r="D25" s="4">
        <f>D7/D3</f>
        <v>-2.5358038209953027E-3</v>
      </c>
      <c r="E25" s="4">
        <f>E7/E3</f>
        <v>1.7051052858263857E-3</v>
      </c>
      <c r="F25" s="4">
        <f>F7/F3</f>
        <v>1.0588507877664504</v>
      </c>
      <c r="G25" s="7">
        <f>G7/G3</f>
        <v>0</v>
      </c>
      <c r="H25" s="124"/>
      <c r="I25" s="124"/>
      <c r="L25" s="4" t="e">
        <f>L7/L3</f>
        <v>#DIV/0!</v>
      </c>
      <c r="M25" s="4" t="e">
        <f>M7/M3</f>
        <v>#DIV/0!</v>
      </c>
      <c r="N25" s="4" t="e">
        <f>N7/N3</f>
        <v>#DIV/0!</v>
      </c>
      <c r="O25" s="4" t="e">
        <f>O7/O3</f>
        <v>#DIV/0!</v>
      </c>
      <c r="P25" s="4" t="e">
        <f>P7/P3</f>
        <v>#DIV/0!</v>
      </c>
      <c r="Q25" s="4" t="e">
        <f>Q7/Q3</f>
        <v>#DIV/0!</v>
      </c>
      <c r="R25" s="4" t="e">
        <f>R7/R3</f>
        <v>#DIV/0!</v>
      </c>
      <c r="S25" s="4" t="e">
        <f>S7/S3</f>
        <v>#DIV/0!</v>
      </c>
      <c r="T25" s="4">
        <f>T7/T3</f>
        <v>-1.9534109816971713E-2</v>
      </c>
      <c r="U25" s="4">
        <f>U7/U3</f>
        <v>0</v>
      </c>
      <c r="V25" s="4" t="e">
        <f>V7/V3</f>
        <v>#DIV/0!</v>
      </c>
      <c r="W25" s="4" t="e">
        <f>W7/W3</f>
        <v>#DIV/0!</v>
      </c>
      <c r="X25" s="4">
        <f>X7/X3</f>
        <v>0</v>
      </c>
      <c r="Y25" s="153">
        <f>Y7/Y3</f>
        <v>0</v>
      </c>
      <c r="Z25" s="7" t="e">
        <f>Z7/Z3</f>
        <v>#DIV/0!</v>
      </c>
      <c r="AA25" s="4" t="e">
        <f>AA7/AA3</f>
        <v>#DIV/0!</v>
      </c>
      <c r="AB25" s="4" t="e">
        <f>AB7/AB3</f>
        <v>#DIV/0!</v>
      </c>
    </row>
    <row r="26" spans="2:28" x14ac:dyDescent="0.25">
      <c r="B26" t="s">
        <v>131</v>
      </c>
      <c r="C26" s="4" t="e">
        <f>C11/C3</f>
        <v>#DIV/0!</v>
      </c>
      <c r="D26" s="4">
        <f>D11/D3</f>
        <v>0</v>
      </c>
      <c r="E26" s="4">
        <f>E11/E3</f>
        <v>-1.097403401950546E-2</v>
      </c>
      <c r="F26" s="4">
        <f>F11/F3</f>
        <v>0.12567753531608952</v>
      </c>
      <c r="G26" s="7">
        <f>G11/G3</f>
        <v>0</v>
      </c>
      <c r="H26" s="124"/>
      <c r="I26" s="124"/>
      <c r="L26" s="4" t="e">
        <f>L11/L3</f>
        <v>#DIV/0!</v>
      </c>
      <c r="M26" s="4" t="e">
        <f>M11/M3</f>
        <v>#DIV/0!</v>
      </c>
      <c r="N26" s="4" t="e">
        <f>N11/N3</f>
        <v>#DIV/0!</v>
      </c>
      <c r="O26" s="4" t="e">
        <f>O11/O3</f>
        <v>#DIV/0!</v>
      </c>
      <c r="P26" s="4" t="e">
        <f>P11/P3</f>
        <v>#DIV/0!</v>
      </c>
      <c r="Q26" s="4" t="e">
        <f>Q11/Q3</f>
        <v>#DIV/0!</v>
      </c>
      <c r="R26" s="4" t="e">
        <f>R11/R3</f>
        <v>#DIV/0!</v>
      </c>
      <c r="S26" s="4" t="e">
        <f>S11/S3</f>
        <v>#DIV/0!</v>
      </c>
      <c r="T26" s="4">
        <f>T11/T3</f>
        <v>0</v>
      </c>
      <c r="U26" s="4">
        <f>U11/U3</f>
        <v>0</v>
      </c>
      <c r="V26" s="4" t="e">
        <f>V11/V3</f>
        <v>#DIV/0!</v>
      </c>
      <c r="W26" s="4" t="e">
        <f>W11/W3</f>
        <v>#DIV/0!</v>
      </c>
      <c r="X26" s="4">
        <f>X11/X3</f>
        <v>0</v>
      </c>
      <c r="Y26" s="153">
        <f>Y11/Y3</f>
        <v>0</v>
      </c>
      <c r="Z26" s="7" t="e">
        <f>Z11/Z3</f>
        <v>#DIV/0!</v>
      </c>
      <c r="AA26" s="4" t="e">
        <f>AA11/AA3</f>
        <v>#DIV/0!</v>
      </c>
      <c r="AB26" s="4" t="e">
        <f>AB11/AB3</f>
        <v>#DIV/0!</v>
      </c>
    </row>
    <row r="27" spans="2:28" x14ac:dyDescent="0.25">
      <c r="B27" t="s">
        <v>136</v>
      </c>
      <c r="C27" s="3"/>
      <c r="D27" s="3" t="e">
        <f>-(D17/C17-1)</f>
        <v>#DIV/0!</v>
      </c>
      <c r="E27" s="3">
        <f>-(E17/D17-1)</f>
        <v>2.3585855485296827</v>
      </c>
      <c r="F27" s="39">
        <f>F19/E19-1</f>
        <v>-7.4706826236372637</v>
      </c>
      <c r="G27" s="6">
        <f>G19/F19-1</f>
        <v>-0.53069871820834202</v>
      </c>
      <c r="H27" s="59">
        <f>H19/G19-1</f>
        <v>-1</v>
      </c>
      <c r="I27" s="59" t="e">
        <f>I19/H19-1</f>
        <v>#DIV/0!</v>
      </c>
      <c r="L27" s="4"/>
      <c r="M27" s="4"/>
      <c r="N27" s="4"/>
      <c r="O27" s="4"/>
      <c r="P27" s="4" t="e">
        <f>P17/L17-1</f>
        <v>#DIV/0!</v>
      </c>
      <c r="Q27" s="4" t="e">
        <f>Q17/M17-1</f>
        <v>#DIV/0!</v>
      </c>
      <c r="R27" s="4" t="e">
        <f>R17/N17-1</f>
        <v>#DIV/0!</v>
      </c>
      <c r="S27" s="4" t="e">
        <f>S17/O17-1</f>
        <v>#DIV/0!</v>
      </c>
      <c r="T27" s="4" t="e">
        <f>T17/P17-1</f>
        <v>#DIV/0!</v>
      </c>
      <c r="U27" s="4" t="e">
        <f>U17/Q17-1</f>
        <v>#DIV/0!</v>
      </c>
      <c r="V27" s="4" t="e">
        <f>V17/R17-1</f>
        <v>#DIV/0!</v>
      </c>
      <c r="W27" s="4" t="e">
        <f>W17/S17-1</f>
        <v>#DIV/0!</v>
      </c>
      <c r="X27" s="4">
        <f>X17/T17-1</f>
        <v>-4.5448165869218524</v>
      </c>
      <c r="Y27" s="153">
        <f>Y17/U17-1</f>
        <v>0.25533239919040907</v>
      </c>
      <c r="Z27" s="7" t="e">
        <f>Z17/V17-1</f>
        <v>#DIV/0!</v>
      </c>
      <c r="AA27" s="4" t="e">
        <f>AA17/W17-1</f>
        <v>#DIV/0!</v>
      </c>
      <c r="AB27" s="4">
        <f>AB17/X17-1</f>
        <v>-1</v>
      </c>
    </row>
    <row r="28" spans="2:28" x14ac:dyDescent="0.25">
      <c r="B28" t="s">
        <v>75</v>
      </c>
      <c r="C28" s="51" t="e">
        <f>C13/C3</f>
        <v>#DIV/0!</v>
      </c>
      <c r="D28" s="51">
        <f>D13/D3</f>
        <v>-0.27046653027115808</v>
      </c>
      <c r="E28" s="51">
        <f>E13/E3</f>
        <v>-0.12391808414606084</v>
      </c>
      <c r="F28" s="51">
        <f>F13/F3</f>
        <v>0.63868059651192177</v>
      </c>
      <c r="G28" s="52">
        <f>G13/G3</f>
        <v>-0.2207343235450856</v>
      </c>
      <c r="H28" s="51">
        <f>H13/H4</f>
        <v>0</v>
      </c>
      <c r="I28" s="51">
        <f>I13/I4</f>
        <v>0</v>
      </c>
      <c r="L28" s="4"/>
      <c r="M28" s="4"/>
      <c r="N28" s="4"/>
      <c r="O28" s="4"/>
      <c r="P28" s="4"/>
      <c r="Q28" s="4"/>
      <c r="R28" s="4"/>
      <c r="S28" s="4"/>
      <c r="T28" s="4"/>
      <c r="U28" s="4"/>
      <c r="V28" s="4"/>
      <c r="W28" s="4"/>
      <c r="X28" s="4"/>
      <c r="Y28" s="153"/>
      <c r="Z28" s="7"/>
      <c r="AA28" s="4"/>
      <c r="AB28" s="4"/>
    </row>
    <row r="29" spans="2:28" x14ac:dyDescent="0.25">
      <c r="B29" t="s">
        <v>76</v>
      </c>
      <c r="C29" s="53" t="e">
        <f>-C13/C12</f>
        <v>#DIV/0!</v>
      </c>
      <c r="D29" s="53">
        <f>-D13/D12</f>
        <v>-1.3944436190759184</v>
      </c>
      <c r="E29" s="53">
        <f>-E13/E12</f>
        <v>0.33002828409805152</v>
      </c>
      <c r="F29" s="53">
        <f>-F13/F12</f>
        <v>0.32027800663328904</v>
      </c>
      <c r="G29" s="52">
        <f>-G13/G12</f>
        <v>-0.44791969942741483</v>
      </c>
      <c r="H29" s="51" t="e">
        <f>-H13/H12</f>
        <v>#DIV/0!</v>
      </c>
      <c r="I29" s="51" t="e">
        <f>-I13/I12</f>
        <v>#DIV/0!</v>
      </c>
      <c r="L29" s="4"/>
      <c r="M29" s="4"/>
      <c r="N29" s="4"/>
      <c r="O29" s="4"/>
      <c r="P29" s="4"/>
      <c r="Q29" s="4"/>
      <c r="R29" s="4"/>
      <c r="S29" s="4"/>
      <c r="T29" s="4"/>
      <c r="U29" s="4"/>
      <c r="V29" s="4"/>
      <c r="W29" s="4"/>
      <c r="X29" s="4"/>
      <c r="Y29" s="153"/>
      <c r="Z29" s="7"/>
      <c r="AA29" s="4"/>
      <c r="AB29" s="4"/>
    </row>
    <row r="32" spans="2:28" s="1" customFormat="1" x14ac:dyDescent="0.25">
      <c r="B32" s="1" t="s">
        <v>36</v>
      </c>
      <c r="C32" s="11">
        <f>C33+C34-C61-C51</f>
        <v>0</v>
      </c>
      <c r="D32" s="11">
        <f>D33+D34-D61-D51</f>
        <v>4.3539999999999992</v>
      </c>
      <c r="E32" s="11">
        <f>E33+E34-E61-E51</f>
        <v>103.70199999999998</v>
      </c>
      <c r="F32" s="11">
        <f>F33+F34-F61-F51</f>
        <v>11.047000000000001</v>
      </c>
      <c r="G32" s="14">
        <f>G33+G34-G61-G51</f>
        <v>64.012999999999991</v>
      </c>
      <c r="H32" s="11">
        <f>H33+H34-H61-H51</f>
        <v>0</v>
      </c>
      <c r="I32" s="11">
        <f>I33+I34-I61-I51</f>
        <v>0</v>
      </c>
      <c r="L32" s="11">
        <f>L33+L34-L61-L51</f>
        <v>0</v>
      </c>
      <c r="M32" s="11">
        <f>M33+M34-M61-M51</f>
        <v>0</v>
      </c>
      <c r="N32" s="11">
        <f>N33+N34-N61-N51</f>
        <v>0</v>
      </c>
      <c r="O32" s="11">
        <f>O33+O34-O61-O51</f>
        <v>0</v>
      </c>
      <c r="P32" s="11">
        <f>P33+P34-P61-P51</f>
        <v>0</v>
      </c>
      <c r="Q32" s="11">
        <f>Q33+Q34-Q61-Q51</f>
        <v>0</v>
      </c>
      <c r="R32" s="11">
        <f>R33+R34-R61-R51</f>
        <v>0</v>
      </c>
      <c r="S32" s="11">
        <f>S33+S34-S61-S51</f>
        <v>0</v>
      </c>
      <c r="T32" s="11">
        <f>T33+T34-T61-T51</f>
        <v>0</v>
      </c>
      <c r="U32" s="11">
        <f>U33+U34-U61-U51</f>
        <v>0</v>
      </c>
      <c r="V32" s="11">
        <f>V33+V34-V61-V51</f>
        <v>0</v>
      </c>
      <c r="W32" s="11">
        <f>W33+W34-W61-W51</f>
        <v>64.012999999999991</v>
      </c>
      <c r="X32" s="11">
        <f>X33+X34-X61-X51</f>
        <v>42.801999999999992</v>
      </c>
      <c r="Y32" s="149">
        <f>Y33+Y34-Y61-Y51</f>
        <v>115.12400000000001</v>
      </c>
      <c r="Z32" s="14">
        <f>Z33+Z34-Z61-Z51</f>
        <v>0</v>
      </c>
      <c r="AA32" s="11">
        <f>AA33+AA34-AA61-AA51</f>
        <v>0</v>
      </c>
      <c r="AB32" s="11">
        <f>AB33+AB34-AB61-AB51</f>
        <v>0</v>
      </c>
    </row>
    <row r="33" spans="2:28" x14ac:dyDescent="0.25">
      <c r="B33" t="s">
        <v>24</v>
      </c>
      <c r="C33" s="10"/>
      <c r="D33" s="10">
        <v>5.9470000000000001</v>
      </c>
      <c r="E33" s="10">
        <v>125.595</v>
      </c>
      <c r="F33" s="10">
        <v>30.887</v>
      </c>
      <c r="G33" s="15">
        <v>84.037999999999997</v>
      </c>
      <c r="L33" s="10"/>
      <c r="M33" s="10"/>
      <c r="N33" s="10"/>
      <c r="O33" s="10"/>
      <c r="P33" s="10"/>
      <c r="Q33" s="10"/>
      <c r="R33" s="10"/>
      <c r="S33" s="10"/>
      <c r="T33" s="10"/>
      <c r="U33" s="10"/>
      <c r="V33" s="10"/>
      <c r="W33" s="10">
        <f>G33</f>
        <v>84.037999999999997</v>
      </c>
      <c r="X33" s="10">
        <v>65.960999999999999</v>
      </c>
      <c r="Y33" s="151">
        <v>138.619</v>
      </c>
      <c r="Z33" s="15"/>
      <c r="AA33" s="10"/>
      <c r="AB33" s="10"/>
    </row>
    <row r="34" spans="2:28" x14ac:dyDescent="0.25">
      <c r="B34" t="s">
        <v>182</v>
      </c>
      <c r="C34" s="10"/>
      <c r="D34" s="10">
        <v>1.103</v>
      </c>
      <c r="E34" s="10">
        <v>1.038</v>
      </c>
      <c r="F34" s="10">
        <v>0.70099999999999996</v>
      </c>
      <c r="G34" s="15">
        <v>0.71399999999999997</v>
      </c>
      <c r="L34" s="10"/>
      <c r="M34" s="10"/>
      <c r="N34" s="10"/>
      <c r="O34" s="10"/>
      <c r="P34" s="10"/>
      <c r="Q34" s="10"/>
      <c r="R34" s="10"/>
      <c r="S34" s="10"/>
      <c r="T34" s="10"/>
      <c r="U34" s="10"/>
      <c r="V34" s="10"/>
      <c r="W34" s="10">
        <f t="shared" ref="W34:W61" si="30">G34</f>
        <v>0.71399999999999997</v>
      </c>
      <c r="X34" s="10">
        <v>0.72899999999999998</v>
      </c>
      <c r="Y34" s="151">
        <v>0.73499999999999999</v>
      </c>
      <c r="Z34" s="15"/>
      <c r="AA34" s="10"/>
      <c r="AB34" s="10"/>
    </row>
    <row r="35" spans="2:28" x14ac:dyDescent="0.25">
      <c r="B35" t="s">
        <v>183</v>
      </c>
      <c r="C35" s="10"/>
      <c r="D35" s="10">
        <v>0.66900000000000004</v>
      </c>
      <c r="E35" s="10">
        <v>3.2250000000000001</v>
      </c>
      <c r="F35" s="10">
        <v>4.5119999999999996</v>
      </c>
      <c r="G35" s="15">
        <v>2.1989999999999998</v>
      </c>
      <c r="L35" s="10"/>
      <c r="M35" s="10"/>
      <c r="N35" s="10"/>
      <c r="O35" s="10"/>
      <c r="P35" s="10"/>
      <c r="Q35" s="10"/>
      <c r="R35" s="10"/>
      <c r="S35" s="10"/>
      <c r="T35" s="10"/>
      <c r="U35" s="10"/>
      <c r="V35" s="10"/>
      <c r="W35" s="10">
        <f t="shared" si="30"/>
        <v>2.1989999999999998</v>
      </c>
      <c r="X35" s="10">
        <v>3.5920000000000001</v>
      </c>
      <c r="Y35" s="151">
        <v>17.626999999999999</v>
      </c>
      <c r="Z35" s="15"/>
      <c r="AA35" s="10"/>
      <c r="AB35" s="10"/>
    </row>
    <row r="36" spans="2:28" x14ac:dyDescent="0.25">
      <c r="B36" t="s">
        <v>184</v>
      </c>
      <c r="C36" s="10"/>
      <c r="D36" s="10"/>
      <c r="E36" s="10">
        <v>3.202</v>
      </c>
      <c r="F36" s="10">
        <v>12.920999999999999</v>
      </c>
      <c r="G36" s="15">
        <v>6.3929999999999998</v>
      </c>
      <c r="L36" s="10"/>
      <c r="M36" s="10"/>
      <c r="N36" s="10"/>
      <c r="O36" s="10"/>
      <c r="P36" s="10"/>
      <c r="Q36" s="10"/>
      <c r="R36" s="10"/>
      <c r="S36" s="10"/>
      <c r="T36" s="10"/>
      <c r="U36" s="10"/>
      <c r="V36" s="10"/>
      <c r="W36" s="10">
        <f t="shared" si="30"/>
        <v>6.3929999999999998</v>
      </c>
      <c r="X36" s="10">
        <v>4.5069999999999997</v>
      </c>
      <c r="Y36" s="151">
        <v>10.670999999999999</v>
      </c>
      <c r="Z36" s="15"/>
      <c r="AA36" s="10"/>
      <c r="AB36" s="10"/>
    </row>
    <row r="37" spans="2:28" x14ac:dyDescent="0.25">
      <c r="B37" t="s">
        <v>208</v>
      </c>
      <c r="C37" s="10"/>
      <c r="D37" s="10"/>
      <c r="E37" s="10"/>
      <c r="F37" s="10"/>
      <c r="G37" s="15"/>
      <c r="L37" s="10"/>
      <c r="M37" s="10"/>
      <c r="N37" s="10"/>
      <c r="O37" s="10"/>
      <c r="P37" s="10"/>
      <c r="Q37" s="10"/>
      <c r="R37" s="10"/>
      <c r="S37" s="10"/>
      <c r="T37" s="10"/>
      <c r="U37" s="10"/>
      <c r="V37" s="10"/>
      <c r="W37" s="10"/>
      <c r="X37" s="10"/>
      <c r="Y37" s="151">
        <v>1.0760000000000001</v>
      </c>
      <c r="Z37" s="15"/>
      <c r="AA37" s="10"/>
      <c r="AB37" s="10"/>
    </row>
    <row r="38" spans="2:28" x14ac:dyDescent="0.25">
      <c r="B38" t="s">
        <v>185</v>
      </c>
      <c r="C38" s="10"/>
      <c r="D38" s="10"/>
      <c r="E38" s="10">
        <v>0</v>
      </c>
      <c r="F38" s="10">
        <v>12.141999999999999</v>
      </c>
      <c r="G38" s="15">
        <v>0</v>
      </c>
      <c r="L38" s="10"/>
      <c r="M38" s="10"/>
      <c r="N38" s="10"/>
      <c r="O38" s="10"/>
      <c r="P38" s="10"/>
      <c r="Q38" s="10"/>
      <c r="R38" s="10"/>
      <c r="S38" s="10"/>
      <c r="T38" s="10"/>
      <c r="U38" s="10"/>
      <c r="V38" s="10"/>
      <c r="W38" s="10">
        <f t="shared" si="30"/>
        <v>0</v>
      </c>
      <c r="X38" s="10"/>
      <c r="Y38" s="151">
        <v>0.45</v>
      </c>
      <c r="Z38" s="15"/>
      <c r="AA38" s="10"/>
      <c r="AB38" s="10"/>
    </row>
    <row r="39" spans="2:28" x14ac:dyDescent="0.25">
      <c r="B39" t="s">
        <v>186</v>
      </c>
      <c r="C39" s="10"/>
      <c r="D39" s="10"/>
      <c r="E39" s="10">
        <v>66.031000000000006</v>
      </c>
      <c r="F39" s="10">
        <v>4.6349999999999998</v>
      </c>
      <c r="G39" s="15">
        <v>31.87</v>
      </c>
      <c r="L39" s="10"/>
      <c r="M39" s="10"/>
      <c r="N39" s="10"/>
      <c r="O39" s="10"/>
      <c r="P39" s="10"/>
      <c r="Q39" s="10"/>
      <c r="R39" s="10"/>
      <c r="S39" s="10"/>
      <c r="T39" s="10"/>
      <c r="U39" s="10"/>
      <c r="V39" s="10"/>
      <c r="W39" s="10">
        <f t="shared" si="30"/>
        <v>31.87</v>
      </c>
      <c r="X39" s="10">
        <v>57.542000000000002</v>
      </c>
      <c r="Y39" s="151">
        <v>56.747999999999998</v>
      </c>
      <c r="Z39" s="15"/>
      <c r="AA39" s="10"/>
      <c r="AB39" s="10"/>
    </row>
    <row r="40" spans="2:28" x14ac:dyDescent="0.25">
      <c r="B40" t="s">
        <v>187</v>
      </c>
      <c r="C40" s="10"/>
      <c r="D40" s="10"/>
      <c r="E40" s="10">
        <v>86.825000000000003</v>
      </c>
      <c r="F40" s="10">
        <v>2.0699999999999998</v>
      </c>
      <c r="G40" s="15">
        <v>2.101</v>
      </c>
      <c r="L40" s="10"/>
      <c r="M40" s="10"/>
      <c r="N40" s="10"/>
      <c r="O40" s="10"/>
      <c r="P40" s="10"/>
      <c r="Q40" s="10"/>
      <c r="R40" s="10"/>
      <c r="S40" s="10"/>
      <c r="T40" s="10"/>
      <c r="U40" s="10"/>
      <c r="V40" s="10"/>
      <c r="W40" s="10">
        <f t="shared" si="30"/>
        <v>2.101</v>
      </c>
      <c r="X40" s="10"/>
      <c r="Y40" s="151">
        <v>0</v>
      </c>
      <c r="Z40" s="15"/>
      <c r="AA40" s="10"/>
      <c r="AB40" s="10"/>
    </row>
    <row r="41" spans="2:28" x14ac:dyDescent="0.25">
      <c r="B41" t="s">
        <v>188</v>
      </c>
      <c r="C41" s="10"/>
      <c r="D41" s="10">
        <v>1.4490000000000001</v>
      </c>
      <c r="E41" s="10"/>
      <c r="F41" s="10">
        <v>0</v>
      </c>
      <c r="G41" s="15">
        <v>1.2809999999999999</v>
      </c>
      <c r="L41" s="10"/>
      <c r="M41" s="10"/>
      <c r="N41" s="10"/>
      <c r="O41" s="10"/>
      <c r="P41" s="10"/>
      <c r="Q41" s="10"/>
      <c r="R41" s="10"/>
      <c r="S41" s="10"/>
      <c r="T41" s="10"/>
      <c r="U41" s="10"/>
      <c r="V41" s="10"/>
      <c r="W41" s="10">
        <f t="shared" si="30"/>
        <v>1.2809999999999999</v>
      </c>
      <c r="X41" s="10">
        <v>3.016</v>
      </c>
      <c r="Y41" s="151">
        <v>2.2549999999999999</v>
      </c>
      <c r="Z41" s="15"/>
      <c r="AA41" s="10"/>
      <c r="AB41" s="10"/>
    </row>
    <row r="42" spans="2:28" x14ac:dyDescent="0.25">
      <c r="B42" t="s">
        <v>189</v>
      </c>
      <c r="C42" s="10"/>
      <c r="D42" s="10"/>
      <c r="E42" s="10">
        <v>1.2110000000000001</v>
      </c>
      <c r="F42" s="10">
        <v>1.22</v>
      </c>
      <c r="G42" s="15">
        <v>1.3879999999999999</v>
      </c>
      <c r="L42" s="10"/>
      <c r="M42" s="10"/>
      <c r="N42" s="10"/>
      <c r="O42" s="10"/>
      <c r="P42" s="10"/>
      <c r="Q42" s="10"/>
      <c r="R42" s="10"/>
      <c r="S42" s="10"/>
      <c r="T42" s="10"/>
      <c r="U42" s="10"/>
      <c r="V42" s="10"/>
      <c r="W42" s="10">
        <f t="shared" si="30"/>
        <v>1.3879999999999999</v>
      </c>
      <c r="X42" s="10">
        <v>1.972</v>
      </c>
      <c r="Y42" s="151">
        <v>9.1080000000000005</v>
      </c>
      <c r="Z42" s="15"/>
      <c r="AA42" s="10"/>
      <c r="AB42" s="10"/>
    </row>
    <row r="43" spans="2:28" s="1" customFormat="1" x14ac:dyDescent="0.25">
      <c r="B43" s="1" t="s">
        <v>58</v>
      </c>
      <c r="C43" s="11">
        <f t="shared" ref="C43:D43" si="31">SUM(C33:C42)</f>
        <v>0</v>
      </c>
      <c r="D43" s="11">
        <f t="shared" si="31"/>
        <v>9.1679999999999993</v>
      </c>
      <c r="E43" s="11">
        <f>SUM(E33:E42)</f>
        <v>287.12700000000001</v>
      </c>
      <c r="F43" s="11">
        <f t="shared" ref="F43:G43" si="32">SUM(F33:F42)</f>
        <v>69.087999999999994</v>
      </c>
      <c r="G43" s="14">
        <f t="shared" si="32"/>
        <v>129.98400000000001</v>
      </c>
      <c r="L43" s="11">
        <f t="shared" ref="L43:V43" si="33">SUM(L33:L42)</f>
        <v>0</v>
      </c>
      <c r="M43" s="11">
        <f t="shared" si="33"/>
        <v>0</v>
      </c>
      <c r="N43" s="11">
        <f t="shared" si="33"/>
        <v>0</v>
      </c>
      <c r="O43" s="11">
        <f t="shared" si="33"/>
        <v>0</v>
      </c>
      <c r="P43" s="11">
        <f t="shared" si="33"/>
        <v>0</v>
      </c>
      <c r="Q43" s="11">
        <f t="shared" si="33"/>
        <v>0</v>
      </c>
      <c r="R43" s="11">
        <f t="shared" si="33"/>
        <v>0</v>
      </c>
      <c r="S43" s="11">
        <f t="shared" si="33"/>
        <v>0</v>
      </c>
      <c r="T43" s="11">
        <f t="shared" si="33"/>
        <v>0</v>
      </c>
      <c r="U43" s="11">
        <f t="shared" si="33"/>
        <v>0</v>
      </c>
      <c r="V43" s="11">
        <f t="shared" si="33"/>
        <v>0</v>
      </c>
      <c r="W43" s="11">
        <f t="shared" ref="W43:AA43" si="34">SUM(W33:W42)</f>
        <v>129.98400000000001</v>
      </c>
      <c r="X43" s="11">
        <f t="shared" si="34"/>
        <v>137.31900000000002</v>
      </c>
      <c r="Y43" s="149">
        <f t="shared" si="34"/>
        <v>237.28899999999999</v>
      </c>
      <c r="Z43" s="14">
        <f t="shared" si="34"/>
        <v>0</v>
      </c>
      <c r="AA43" s="11">
        <f t="shared" si="34"/>
        <v>0</v>
      </c>
      <c r="AB43" s="11">
        <f t="shared" ref="AB43" si="35">SUM(AB33:AB42)</f>
        <v>0</v>
      </c>
    </row>
    <row r="44" spans="2:28" x14ac:dyDescent="0.25">
      <c r="B44" t="s">
        <v>71</v>
      </c>
      <c r="C44" s="10"/>
      <c r="D44" s="10">
        <v>35.792999999999999</v>
      </c>
      <c r="E44" s="10">
        <v>136.85</v>
      </c>
      <c r="F44" s="10">
        <v>219.428</v>
      </c>
      <c r="G44" s="15">
        <v>186.012</v>
      </c>
      <c r="L44" s="10"/>
      <c r="M44" s="10"/>
      <c r="N44" s="10"/>
      <c r="O44" s="10"/>
      <c r="P44" s="10"/>
      <c r="Q44" s="10"/>
      <c r="R44" s="10"/>
      <c r="S44" s="10"/>
      <c r="T44" s="10"/>
      <c r="U44" s="10"/>
      <c r="V44" s="10"/>
      <c r="W44" s="10">
        <f t="shared" si="30"/>
        <v>186.012</v>
      </c>
      <c r="X44" s="10">
        <v>177.767</v>
      </c>
      <c r="Y44" s="151">
        <v>233.29300000000001</v>
      </c>
      <c r="Z44" s="15"/>
      <c r="AA44" s="10"/>
      <c r="AB44" s="10"/>
    </row>
    <row r="45" spans="2:28" x14ac:dyDescent="0.25">
      <c r="B45" t="s">
        <v>190</v>
      </c>
      <c r="C45" s="10"/>
      <c r="D45" s="10">
        <v>5.3929999999999998</v>
      </c>
      <c r="E45" s="10">
        <v>9.3970000000000002</v>
      </c>
      <c r="F45" s="10">
        <v>16.364000000000001</v>
      </c>
      <c r="G45" s="15">
        <v>14.315</v>
      </c>
      <c r="L45" s="10"/>
      <c r="M45" s="10"/>
      <c r="N45" s="10"/>
      <c r="O45" s="10"/>
      <c r="P45" s="10"/>
      <c r="Q45" s="10"/>
      <c r="R45" s="10"/>
      <c r="S45" s="10"/>
      <c r="T45" s="10"/>
      <c r="U45" s="10"/>
      <c r="V45" s="10"/>
      <c r="W45" s="10">
        <f t="shared" si="30"/>
        <v>14.315</v>
      </c>
      <c r="X45" s="10">
        <v>13.225</v>
      </c>
      <c r="Y45" s="151">
        <v>13.183999999999999</v>
      </c>
      <c r="Z45" s="15"/>
      <c r="AA45" s="10"/>
      <c r="AB45" s="10"/>
    </row>
    <row r="46" spans="2:28" x14ac:dyDescent="0.25">
      <c r="B46" t="s">
        <v>191</v>
      </c>
      <c r="C46" s="10"/>
      <c r="D46" s="10">
        <v>0.97299999999999998</v>
      </c>
      <c r="E46" s="10">
        <v>86.680999999999997</v>
      </c>
      <c r="F46" s="10">
        <v>38.185000000000002</v>
      </c>
      <c r="G46" s="15">
        <v>44.713999999999999</v>
      </c>
      <c r="L46" s="10"/>
      <c r="M46" s="10"/>
      <c r="N46" s="10"/>
      <c r="O46" s="10"/>
      <c r="P46" s="10"/>
      <c r="Q46" s="10"/>
      <c r="R46" s="10"/>
      <c r="S46" s="10"/>
      <c r="T46" s="10"/>
      <c r="U46" s="10"/>
      <c r="V46" s="10"/>
      <c r="W46" s="10">
        <f t="shared" si="30"/>
        <v>44.713999999999999</v>
      </c>
      <c r="X46" s="10">
        <v>93.616</v>
      </c>
      <c r="Y46" s="151">
        <v>47.79</v>
      </c>
      <c r="Z46" s="15"/>
      <c r="AA46" s="10"/>
      <c r="AB46" s="10"/>
    </row>
    <row r="47" spans="2:28" x14ac:dyDescent="0.25">
      <c r="B47" t="s">
        <v>72</v>
      </c>
      <c r="C47" s="10"/>
      <c r="D47" s="10">
        <v>0.377</v>
      </c>
      <c r="E47" s="10">
        <v>1.681</v>
      </c>
      <c r="F47" s="10">
        <v>3.3000000000000002E-2</v>
      </c>
      <c r="G47" s="15">
        <v>3.7</v>
      </c>
      <c r="L47" s="10"/>
      <c r="M47" s="10"/>
      <c r="N47" s="10"/>
      <c r="O47" s="10"/>
      <c r="P47" s="10"/>
      <c r="Q47" s="10"/>
      <c r="R47" s="10"/>
      <c r="S47" s="10"/>
      <c r="T47" s="10"/>
      <c r="U47" s="10"/>
      <c r="V47" s="10"/>
      <c r="W47" s="10">
        <f t="shared" si="30"/>
        <v>3.7</v>
      </c>
      <c r="X47" s="10">
        <v>4.5460000000000003</v>
      </c>
      <c r="Y47" s="151">
        <v>4.3780000000000001</v>
      </c>
      <c r="Z47" s="15"/>
      <c r="AA47" s="10"/>
      <c r="AB47" s="10"/>
    </row>
    <row r="48" spans="2:28" s="1" customFormat="1" x14ac:dyDescent="0.25">
      <c r="B48" t="s">
        <v>25</v>
      </c>
      <c r="C48" s="10"/>
      <c r="D48" s="10"/>
      <c r="E48" s="10">
        <v>16.954999999999998</v>
      </c>
      <c r="F48" s="10">
        <v>0</v>
      </c>
      <c r="G48" s="15">
        <v>0</v>
      </c>
      <c r="L48" s="10"/>
      <c r="M48" s="10"/>
      <c r="N48" s="10"/>
      <c r="O48" s="10"/>
      <c r="P48" s="10"/>
      <c r="Q48" s="10"/>
      <c r="R48" s="10"/>
      <c r="S48" s="10"/>
      <c r="T48" s="10"/>
      <c r="U48" s="10"/>
      <c r="V48" s="10"/>
      <c r="W48" s="10">
        <f t="shared" si="30"/>
        <v>0</v>
      </c>
      <c r="X48" s="10"/>
      <c r="Y48" s="151"/>
      <c r="Z48" s="15"/>
      <c r="AA48" s="10"/>
      <c r="AB48" s="10"/>
    </row>
    <row r="49" spans="2:28" s="1" customFormat="1" x14ac:dyDescent="0.25">
      <c r="B49" t="s">
        <v>192</v>
      </c>
      <c r="C49" s="10"/>
      <c r="D49" s="10"/>
      <c r="E49" s="10">
        <v>3.8959999999999999</v>
      </c>
      <c r="F49" s="10">
        <v>0</v>
      </c>
      <c r="G49" s="15">
        <v>0</v>
      </c>
      <c r="L49" s="10"/>
      <c r="M49" s="10"/>
      <c r="N49" s="10"/>
      <c r="O49" s="10"/>
      <c r="P49" s="10"/>
      <c r="Q49" s="10"/>
      <c r="R49" s="10"/>
      <c r="S49" s="10"/>
      <c r="T49" s="10"/>
      <c r="U49" s="10"/>
      <c r="V49" s="10"/>
      <c r="W49" s="10">
        <f t="shared" si="30"/>
        <v>0</v>
      </c>
      <c r="X49" s="10"/>
      <c r="Y49" s="151"/>
      <c r="Z49" s="15"/>
      <c r="AA49" s="10"/>
      <c r="AB49" s="10"/>
    </row>
    <row r="50" spans="2:28" x14ac:dyDescent="0.25">
      <c r="B50" s="1" t="s">
        <v>26</v>
      </c>
      <c r="C50" s="11">
        <f>SUM(C43:C49)</f>
        <v>0</v>
      </c>
      <c r="D50" s="11">
        <f>SUM(D43:D49)</f>
        <v>51.704000000000001</v>
      </c>
      <c r="E50" s="11">
        <f>SUM(E43:E49)</f>
        <v>542.58699999999999</v>
      </c>
      <c r="F50" s="11">
        <f>SUM(F43:F49)</f>
        <v>343.09799999999996</v>
      </c>
      <c r="G50" s="14">
        <f>SUM(G43:G49)</f>
        <v>378.72499999999997</v>
      </c>
      <c r="L50" s="11">
        <f t="shared" ref="L50:V50" si="36">SUM(L43:L49)</f>
        <v>0</v>
      </c>
      <c r="M50" s="11">
        <f t="shared" si="36"/>
        <v>0</v>
      </c>
      <c r="N50" s="11">
        <f t="shared" si="36"/>
        <v>0</v>
      </c>
      <c r="O50" s="11">
        <f t="shared" si="36"/>
        <v>0</v>
      </c>
      <c r="P50" s="11">
        <f t="shared" si="36"/>
        <v>0</v>
      </c>
      <c r="Q50" s="11">
        <f t="shared" si="36"/>
        <v>0</v>
      </c>
      <c r="R50" s="11">
        <f t="shared" si="36"/>
        <v>0</v>
      </c>
      <c r="S50" s="11">
        <f t="shared" si="36"/>
        <v>0</v>
      </c>
      <c r="T50" s="11">
        <f t="shared" si="36"/>
        <v>0</v>
      </c>
      <c r="U50" s="11">
        <f t="shared" si="36"/>
        <v>0</v>
      </c>
      <c r="V50" s="11">
        <f t="shared" si="36"/>
        <v>0</v>
      </c>
      <c r="W50" s="11">
        <f t="shared" ref="W50:AA50" si="37">SUM(W43:W49)</f>
        <v>378.72499999999997</v>
      </c>
      <c r="X50" s="11">
        <f t="shared" si="37"/>
        <v>426.47300000000001</v>
      </c>
      <c r="Y50" s="149">
        <f t="shared" si="37"/>
        <v>535.93400000000008</v>
      </c>
      <c r="Z50" s="14">
        <f t="shared" si="37"/>
        <v>0</v>
      </c>
      <c r="AA50" s="11">
        <f t="shared" si="37"/>
        <v>0</v>
      </c>
      <c r="AB50" s="11">
        <f t="shared" ref="AB50" si="38">SUM(AB43:AB49)</f>
        <v>0</v>
      </c>
    </row>
    <row r="51" spans="2:28" x14ac:dyDescent="0.25">
      <c r="B51" t="s">
        <v>193</v>
      </c>
      <c r="C51" s="10"/>
      <c r="D51" s="10">
        <v>2.6960000000000002</v>
      </c>
      <c r="E51" s="10">
        <v>14.48</v>
      </c>
      <c r="F51" s="10">
        <v>20.541</v>
      </c>
      <c r="G51" s="15">
        <v>20.739000000000001</v>
      </c>
      <c r="L51" s="10"/>
      <c r="M51" s="10"/>
      <c r="N51" s="10"/>
      <c r="O51" s="10"/>
      <c r="P51" s="10"/>
      <c r="Q51" s="10"/>
      <c r="R51" s="10"/>
      <c r="S51" s="10"/>
      <c r="T51" s="10"/>
      <c r="U51" s="10"/>
      <c r="V51" s="10"/>
      <c r="W51" s="10">
        <f t="shared" si="30"/>
        <v>20.739000000000001</v>
      </c>
      <c r="X51" s="10">
        <v>23.888000000000002</v>
      </c>
      <c r="Y51" s="151">
        <v>24.23</v>
      </c>
      <c r="Z51" s="15"/>
      <c r="AA51" s="10"/>
      <c r="AB51" s="10"/>
    </row>
    <row r="52" spans="2:28" x14ac:dyDescent="0.25">
      <c r="B52" t="s">
        <v>194</v>
      </c>
      <c r="C52" s="10"/>
      <c r="D52" s="10">
        <v>17.170999999999999</v>
      </c>
      <c r="E52" s="10">
        <v>10.257</v>
      </c>
      <c r="F52" s="10">
        <v>43.054000000000002</v>
      </c>
      <c r="G52" s="15">
        <v>4.0220000000000002</v>
      </c>
      <c r="L52" s="10"/>
      <c r="M52" s="10"/>
      <c r="N52" s="10"/>
      <c r="O52" s="10"/>
      <c r="P52" s="10"/>
      <c r="Q52" s="10"/>
      <c r="R52" s="10"/>
      <c r="S52" s="10"/>
      <c r="T52" s="10"/>
      <c r="U52" s="10"/>
      <c r="V52" s="10"/>
      <c r="W52" s="10">
        <f t="shared" si="30"/>
        <v>4.0220000000000002</v>
      </c>
      <c r="X52" s="10">
        <v>0.151</v>
      </c>
      <c r="Y52" s="151">
        <v>0.16400000000000001</v>
      </c>
      <c r="Z52" s="15"/>
      <c r="AA52" s="10"/>
      <c r="AB52" s="10"/>
    </row>
    <row r="53" spans="2:28" x14ac:dyDescent="0.25">
      <c r="B53" t="s">
        <v>195</v>
      </c>
      <c r="C53" s="10"/>
      <c r="D53" s="10">
        <v>3.6259999999999999</v>
      </c>
      <c r="E53" s="10">
        <v>4.3460000000000001</v>
      </c>
      <c r="F53" s="10">
        <v>3.649</v>
      </c>
      <c r="G53" s="15">
        <v>2.8570000000000002</v>
      </c>
      <c r="L53" s="10"/>
      <c r="M53" s="10"/>
      <c r="N53" s="10"/>
      <c r="O53" s="10"/>
      <c r="P53" s="10"/>
      <c r="Q53" s="10"/>
      <c r="R53" s="10"/>
      <c r="S53" s="10"/>
      <c r="T53" s="10"/>
      <c r="U53" s="10"/>
      <c r="V53" s="10"/>
      <c r="W53" s="10">
        <f t="shared" si="30"/>
        <v>2.8570000000000002</v>
      </c>
      <c r="X53" s="10">
        <v>2.1259999999999999</v>
      </c>
      <c r="Y53" s="151">
        <v>2.008</v>
      </c>
      <c r="Z53" s="15"/>
      <c r="AA53" s="10"/>
      <c r="AB53" s="10"/>
    </row>
    <row r="54" spans="2:28" x14ac:dyDescent="0.25">
      <c r="B54" t="s">
        <v>196</v>
      </c>
      <c r="C54" s="10"/>
      <c r="D54" s="10">
        <v>0</v>
      </c>
      <c r="E54" s="10">
        <v>60.002000000000002</v>
      </c>
      <c r="F54" s="10"/>
      <c r="G54" s="15">
        <v>0</v>
      </c>
      <c r="L54" s="10"/>
      <c r="M54" s="10"/>
      <c r="N54" s="10"/>
      <c r="O54" s="10"/>
      <c r="P54" s="10"/>
      <c r="Q54" s="10"/>
      <c r="R54" s="10"/>
      <c r="S54" s="10"/>
      <c r="T54" s="10"/>
      <c r="U54" s="10"/>
      <c r="V54" s="10"/>
      <c r="W54" s="10">
        <f t="shared" si="30"/>
        <v>0</v>
      </c>
      <c r="X54" s="10">
        <v>0.77700000000000002</v>
      </c>
      <c r="Y54" s="151"/>
      <c r="Z54" s="15"/>
      <c r="AA54" s="10"/>
      <c r="AB54" s="10"/>
    </row>
    <row r="55" spans="2:28" x14ac:dyDescent="0.25">
      <c r="B55" t="s">
        <v>197</v>
      </c>
      <c r="C55" s="10"/>
      <c r="D55" s="10">
        <v>0.316</v>
      </c>
      <c r="E55" s="10">
        <v>12.093</v>
      </c>
      <c r="F55" s="10"/>
      <c r="G55" s="15">
        <v>1.1100000000000001</v>
      </c>
      <c r="L55" s="10"/>
      <c r="M55" s="10"/>
      <c r="N55" s="10"/>
      <c r="O55" s="10"/>
      <c r="P55" s="10"/>
      <c r="Q55" s="10"/>
      <c r="R55" s="10"/>
      <c r="S55" s="10"/>
      <c r="T55" s="10"/>
      <c r="U55" s="10"/>
      <c r="V55" s="10"/>
      <c r="W55" s="10">
        <f t="shared" si="30"/>
        <v>1.1100000000000001</v>
      </c>
      <c r="X55" s="10"/>
      <c r="Y55" s="151"/>
      <c r="Z55" s="15"/>
      <c r="AA55" s="10"/>
      <c r="AB55" s="10"/>
    </row>
    <row r="56" spans="2:28" x14ac:dyDescent="0.25">
      <c r="B56" t="s">
        <v>198</v>
      </c>
      <c r="C56" s="10"/>
      <c r="D56" s="10">
        <v>4.6680000000000001</v>
      </c>
      <c r="E56" s="10">
        <v>63.575000000000003</v>
      </c>
      <c r="F56" s="10">
        <v>0.16900000000000001</v>
      </c>
      <c r="G56" s="15">
        <v>40.426000000000002</v>
      </c>
      <c r="L56" s="10"/>
      <c r="M56" s="10"/>
      <c r="N56" s="10"/>
      <c r="O56" s="10"/>
      <c r="P56" s="10"/>
      <c r="Q56" s="10"/>
      <c r="R56" s="10"/>
      <c r="S56" s="10"/>
      <c r="T56" s="10"/>
      <c r="U56" s="10"/>
      <c r="V56" s="10"/>
      <c r="W56" s="10">
        <f t="shared" si="30"/>
        <v>40.426000000000002</v>
      </c>
      <c r="X56" s="10">
        <v>18.576000000000001</v>
      </c>
      <c r="Y56" s="151">
        <v>20.032</v>
      </c>
      <c r="Z56" s="15"/>
      <c r="AA56" s="10"/>
      <c r="AB56" s="10"/>
    </row>
    <row r="57" spans="2:28" s="1" customFormat="1" x14ac:dyDescent="0.25">
      <c r="B57" s="1" t="s">
        <v>59</v>
      </c>
      <c r="C57" s="11">
        <f>SUM(C51:C56)</f>
        <v>0</v>
      </c>
      <c r="D57" s="11">
        <f>SUM(D51:D56)</f>
        <v>28.477</v>
      </c>
      <c r="E57" s="11">
        <f>SUM(E51:E56)</f>
        <v>164.75300000000001</v>
      </c>
      <c r="F57" s="11">
        <f>SUM(F51:F56)</f>
        <v>67.412999999999997</v>
      </c>
      <c r="G57" s="14">
        <f>SUM(G51:G56)</f>
        <v>69.153999999999996</v>
      </c>
      <c r="L57" s="11">
        <f>SUM(L51:L56)</f>
        <v>0</v>
      </c>
      <c r="M57" s="11">
        <f>SUM(M51:M56)</f>
        <v>0</v>
      </c>
      <c r="N57" s="11">
        <f>SUM(N51:N56)</f>
        <v>0</v>
      </c>
      <c r="O57" s="11">
        <f>SUM(O51:O56)</f>
        <v>0</v>
      </c>
      <c r="P57" s="11">
        <f>SUM(P51:P56)</f>
        <v>0</v>
      </c>
      <c r="Q57" s="11">
        <f>SUM(Q51:Q56)</f>
        <v>0</v>
      </c>
      <c r="R57" s="11">
        <f>SUM(R51:R56)</f>
        <v>0</v>
      </c>
      <c r="S57" s="11">
        <f>SUM(S51:S56)</f>
        <v>0</v>
      </c>
      <c r="T57" s="11">
        <f>SUM(T51:T56)</f>
        <v>0</v>
      </c>
      <c r="U57" s="11">
        <f>SUM(U51:U56)</f>
        <v>0</v>
      </c>
      <c r="V57" s="11">
        <f>SUM(V51:V56)</f>
        <v>0</v>
      </c>
      <c r="W57" s="11">
        <f>SUM(W51:W56)</f>
        <v>69.153999999999996</v>
      </c>
      <c r="X57" s="11">
        <f>SUM(X51:X56)</f>
        <v>45.518000000000001</v>
      </c>
      <c r="Y57" s="149">
        <f>SUM(Y51:Y56)</f>
        <v>46.433999999999997</v>
      </c>
      <c r="Z57" s="14">
        <f>SUM(Z51:Z56)</f>
        <v>0</v>
      </c>
      <c r="AA57" s="11">
        <f>SUM(AA51:AA56)</f>
        <v>0</v>
      </c>
      <c r="AB57" s="11">
        <f>SUM(AB51:AB56)</f>
        <v>0</v>
      </c>
    </row>
    <row r="58" spans="2:28" x14ac:dyDescent="0.25">
      <c r="B58" t="s">
        <v>73</v>
      </c>
      <c r="C58" s="10"/>
      <c r="D58" s="10">
        <v>0.17399999999999999</v>
      </c>
      <c r="E58" s="10">
        <v>0.91</v>
      </c>
      <c r="F58" s="10">
        <v>4.093</v>
      </c>
      <c r="G58" s="15">
        <v>0</v>
      </c>
      <c r="L58" s="10"/>
      <c r="M58" s="10"/>
      <c r="N58" s="10"/>
      <c r="O58" s="10"/>
      <c r="P58" s="10"/>
      <c r="Q58" s="10"/>
      <c r="R58" s="10"/>
      <c r="S58" s="10"/>
      <c r="T58" s="10"/>
      <c r="U58" s="10"/>
      <c r="V58" s="10"/>
      <c r="W58" s="10">
        <f t="shared" si="30"/>
        <v>0</v>
      </c>
      <c r="X58" s="10">
        <v>1.4910000000000001</v>
      </c>
      <c r="Y58" s="151">
        <v>1.4870000000000001</v>
      </c>
      <c r="Z58" s="15"/>
      <c r="AA58" s="10"/>
      <c r="AB58" s="10"/>
    </row>
    <row r="59" spans="2:28" x14ac:dyDescent="0.25">
      <c r="B59" t="s">
        <v>199</v>
      </c>
      <c r="C59" s="10"/>
      <c r="D59" s="10">
        <v>7.3970000000000002</v>
      </c>
      <c r="E59" s="10">
        <v>9.2270000000000003</v>
      </c>
      <c r="F59" s="10">
        <v>14.215</v>
      </c>
      <c r="G59" s="15">
        <v>12.993</v>
      </c>
      <c r="L59" s="10"/>
      <c r="M59" s="10"/>
      <c r="N59" s="10"/>
      <c r="O59" s="10"/>
      <c r="P59" s="10"/>
      <c r="Q59" s="10"/>
      <c r="R59" s="10"/>
      <c r="S59" s="10"/>
      <c r="T59" s="10"/>
      <c r="U59" s="10"/>
      <c r="V59" s="10"/>
      <c r="W59" s="10">
        <f t="shared" si="30"/>
        <v>12.993</v>
      </c>
      <c r="X59" s="10">
        <v>12.183</v>
      </c>
      <c r="Y59" s="151">
        <v>12.208</v>
      </c>
      <c r="Z59" s="15"/>
      <c r="AA59" s="10"/>
      <c r="AB59" s="10"/>
    </row>
    <row r="60" spans="2:28" x14ac:dyDescent="0.25">
      <c r="B60" t="s">
        <v>200</v>
      </c>
      <c r="C60" s="10"/>
      <c r="D60" s="10">
        <v>0.20899999999999999</v>
      </c>
      <c r="E60" s="10">
        <v>0.23899999999999999</v>
      </c>
      <c r="F60" s="10">
        <v>1.9790000000000001</v>
      </c>
      <c r="G60" s="15">
        <v>1.8160000000000001</v>
      </c>
      <c r="L60" s="10"/>
      <c r="M60" s="10"/>
      <c r="N60" s="10"/>
      <c r="O60" s="10"/>
      <c r="P60" s="10"/>
      <c r="Q60" s="10"/>
      <c r="R60" s="10"/>
      <c r="S60" s="10"/>
      <c r="T60" s="10"/>
      <c r="U60" s="10"/>
      <c r="V60" s="10"/>
      <c r="W60" s="10">
        <f t="shared" si="30"/>
        <v>1.8160000000000001</v>
      </c>
      <c r="X60" s="10">
        <v>1.867</v>
      </c>
      <c r="Y60" s="151">
        <v>1.9279999999999999</v>
      </c>
      <c r="Z60" s="15"/>
      <c r="AA60" s="10"/>
      <c r="AB60" s="10"/>
    </row>
    <row r="61" spans="2:28" x14ac:dyDescent="0.25">
      <c r="B61" t="s">
        <v>192</v>
      </c>
      <c r="C61" s="10"/>
      <c r="D61" s="10"/>
      <c r="E61" s="10">
        <v>8.4510000000000005</v>
      </c>
      <c r="F61" s="10">
        <v>0</v>
      </c>
      <c r="G61" s="15">
        <v>0</v>
      </c>
      <c r="L61" s="10"/>
      <c r="M61" s="10"/>
      <c r="N61" s="10"/>
      <c r="O61" s="10"/>
      <c r="P61" s="10"/>
      <c r="Q61" s="10"/>
      <c r="R61" s="10"/>
      <c r="S61" s="10"/>
      <c r="T61" s="10"/>
      <c r="U61" s="10"/>
      <c r="V61" s="10"/>
      <c r="W61" s="10">
        <f t="shared" si="30"/>
        <v>0</v>
      </c>
      <c r="X61" s="10"/>
      <c r="Y61" s="151"/>
      <c r="Z61" s="15"/>
      <c r="AA61" s="10"/>
      <c r="AB61" s="10"/>
    </row>
    <row r="62" spans="2:28" x14ac:dyDescent="0.25">
      <c r="B62" s="1" t="s">
        <v>27</v>
      </c>
      <c r="C62" s="11">
        <f>SUM(C57:C61)</f>
        <v>0</v>
      </c>
      <c r="D62" s="11">
        <f>SUM(D57:D61)</f>
        <v>36.257000000000005</v>
      </c>
      <c r="E62" s="11">
        <f>SUM(E57:E61)</f>
        <v>183.58</v>
      </c>
      <c r="F62" s="11">
        <f>SUM(F57:F61)</f>
        <v>87.7</v>
      </c>
      <c r="G62" s="14">
        <f>SUM(G57:G61)</f>
        <v>83.962999999999994</v>
      </c>
      <c r="L62" s="11">
        <f t="shared" ref="L62:V62" si="39">SUM(L57:L61)</f>
        <v>0</v>
      </c>
      <c r="M62" s="11">
        <f t="shared" si="39"/>
        <v>0</v>
      </c>
      <c r="N62" s="11">
        <f t="shared" si="39"/>
        <v>0</v>
      </c>
      <c r="O62" s="11">
        <f t="shared" si="39"/>
        <v>0</v>
      </c>
      <c r="P62" s="11">
        <f t="shared" si="39"/>
        <v>0</v>
      </c>
      <c r="Q62" s="11">
        <f t="shared" si="39"/>
        <v>0</v>
      </c>
      <c r="R62" s="11">
        <f t="shared" si="39"/>
        <v>0</v>
      </c>
      <c r="S62" s="11">
        <f t="shared" si="39"/>
        <v>0</v>
      </c>
      <c r="T62" s="11">
        <f t="shared" si="39"/>
        <v>0</v>
      </c>
      <c r="U62" s="11">
        <f t="shared" si="39"/>
        <v>0</v>
      </c>
      <c r="V62" s="11">
        <f t="shared" si="39"/>
        <v>0</v>
      </c>
      <c r="W62" s="11">
        <f t="shared" ref="W62:AA62" si="40">SUM(W57:W61)</f>
        <v>83.962999999999994</v>
      </c>
      <c r="X62" s="11">
        <f t="shared" si="40"/>
        <v>61.058999999999997</v>
      </c>
      <c r="Y62" s="149">
        <f t="shared" si="40"/>
        <v>62.056999999999995</v>
      </c>
      <c r="Z62" s="14">
        <f t="shared" si="40"/>
        <v>0</v>
      </c>
      <c r="AA62" s="11">
        <f t="shared" si="40"/>
        <v>0</v>
      </c>
      <c r="AB62" s="11">
        <f t="shared" ref="AB62" si="41">SUM(AB57:AB61)</f>
        <v>0</v>
      </c>
    </row>
    <row r="63" spans="2:28" x14ac:dyDescent="0.25">
      <c r="B63" t="s">
        <v>74</v>
      </c>
      <c r="C63" s="10">
        <f>C50-C62</f>
        <v>0</v>
      </c>
      <c r="D63" s="10">
        <f>D50-D62</f>
        <v>15.446999999999996</v>
      </c>
      <c r="E63" s="10">
        <f>E50-E62</f>
        <v>359.00699999999995</v>
      </c>
      <c r="F63" s="10">
        <f>F50-F62</f>
        <v>255.39799999999997</v>
      </c>
      <c r="G63" s="15">
        <f>G50-G62</f>
        <v>294.76199999999994</v>
      </c>
      <c r="L63" s="10">
        <f>L50-L62</f>
        <v>0</v>
      </c>
      <c r="M63" s="10">
        <f>M50-M62</f>
        <v>0</v>
      </c>
      <c r="N63" s="10">
        <f>N50-N62</f>
        <v>0</v>
      </c>
      <c r="O63" s="10">
        <f>O50-O62</f>
        <v>0</v>
      </c>
      <c r="P63" s="10">
        <f>P50-P62</f>
        <v>0</v>
      </c>
      <c r="Q63" s="10">
        <f>Q50-Q62</f>
        <v>0</v>
      </c>
      <c r="R63" s="10">
        <f>R50-R62</f>
        <v>0</v>
      </c>
      <c r="S63" s="10">
        <f>S50-S62</f>
        <v>0</v>
      </c>
      <c r="T63" s="10">
        <f>T50-T62</f>
        <v>0</v>
      </c>
      <c r="U63" s="10">
        <f>U50-U62</f>
        <v>0</v>
      </c>
      <c r="V63" s="10">
        <f>V50-V62</f>
        <v>0</v>
      </c>
      <c r="W63" s="10">
        <f>W50-W62</f>
        <v>294.76199999999994</v>
      </c>
      <c r="X63" s="10">
        <f>X50-X62</f>
        <v>365.41399999999999</v>
      </c>
      <c r="Y63" s="151">
        <f>Y50-Y62</f>
        <v>473.87700000000007</v>
      </c>
      <c r="Z63" s="15">
        <f>Z50-Z62</f>
        <v>0</v>
      </c>
      <c r="AA63" s="10">
        <f>AA50-AA62</f>
        <v>0</v>
      </c>
      <c r="AB63" s="10">
        <f>AB50-AB62</f>
        <v>0</v>
      </c>
    </row>
    <row r="65" spans="2:26" s="1" customFormat="1" x14ac:dyDescent="0.25">
      <c r="B65" s="1" t="s">
        <v>77</v>
      </c>
      <c r="C65" s="54"/>
      <c r="D65" s="54"/>
      <c r="E65" s="54"/>
      <c r="F65" s="54"/>
      <c r="G65" s="55"/>
      <c r="Y65" s="154"/>
      <c r="Z65" s="16"/>
    </row>
    <row r="83" spans="7:26" s="9" customFormat="1" x14ac:dyDescent="0.25">
      <c r="G83" s="41"/>
      <c r="Y83" s="155"/>
      <c r="Z83" s="41"/>
    </row>
    <row r="84" spans="7:26" s="1" customFormat="1" x14ac:dyDescent="0.25">
      <c r="G84" s="16"/>
      <c r="Y84" s="154"/>
      <c r="Z84"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9" sqref="W49"/>
    </sheetView>
  </sheetViews>
  <sheetFormatPr defaultRowHeight="15" x14ac:dyDescent="0.25"/>
  <sheetData>
    <row r="1" spans="1:1" x14ac:dyDescent="0.25">
      <c r="A1" s="8" t="s">
        <v>35</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35</v>
      </c>
      <c r="B1" t="s">
        <v>48</v>
      </c>
      <c r="C1" s="17" t="s">
        <v>49</v>
      </c>
    </row>
    <row r="2" spans="1:13" x14ac:dyDescent="0.25">
      <c r="B2" s="12"/>
      <c r="C2" s="18"/>
      <c r="E2" t="s">
        <v>48</v>
      </c>
      <c r="F2" t="s">
        <v>50</v>
      </c>
      <c r="M2" t="s">
        <v>51</v>
      </c>
    </row>
    <row r="3" spans="1:13" x14ac:dyDescent="0.25">
      <c r="B3" s="12"/>
      <c r="C3" s="18"/>
      <c r="E3" s="12">
        <v>45328</v>
      </c>
      <c r="F3" t="s">
        <v>53</v>
      </c>
      <c r="M3" s="12"/>
    </row>
    <row r="4" spans="1:13" x14ac:dyDescent="0.25">
      <c r="B4" s="12"/>
      <c r="C4" s="18"/>
      <c r="E4" s="12">
        <v>45302</v>
      </c>
      <c r="F4" t="s">
        <v>53</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35</v>
      </c>
      <c r="B1" s="1" t="s">
        <v>48</v>
      </c>
      <c r="C1" s="1" t="s">
        <v>0</v>
      </c>
      <c r="D1" s="1" t="s">
        <v>90</v>
      </c>
      <c r="H1" s="138" t="s">
        <v>91</v>
      </c>
      <c r="I1" s="139"/>
      <c r="J1" s="139"/>
      <c r="K1" s="139"/>
      <c r="L1" s="139"/>
      <c r="M1" s="140"/>
    </row>
    <row r="2" spans="1:13" ht="15.75" thickBot="1" x14ac:dyDescent="0.3">
      <c r="D2" t="e">
        <f>C2/C3-1</f>
        <v>#DIV/0!</v>
      </c>
      <c r="H2" s="64"/>
      <c r="I2" s="65"/>
      <c r="J2" s="65"/>
      <c r="K2" s="65"/>
      <c r="L2" s="65"/>
      <c r="M2" s="66"/>
    </row>
    <row r="3" spans="1:13" ht="15.75" thickBot="1" x14ac:dyDescent="0.3">
      <c r="D3" t="e">
        <f t="shared" ref="D3:D66" si="0">C3/C4-1</f>
        <v>#DIV/0!</v>
      </c>
      <c r="H3" s="67" t="s">
        <v>92</v>
      </c>
      <c r="I3" s="68" t="s">
        <v>93</v>
      </c>
      <c r="J3" s="69" t="s">
        <v>94</v>
      </c>
      <c r="K3" s="70" t="s">
        <v>95</v>
      </c>
      <c r="L3" s="70" t="s">
        <v>96</v>
      </c>
      <c r="M3" s="71" t="s">
        <v>97</v>
      </c>
    </row>
    <row r="4" spans="1:13" x14ac:dyDescent="0.25">
      <c r="D4" t="e">
        <f t="shared" si="0"/>
        <v>#DIV/0!</v>
      </c>
      <c r="H4" s="72" t="e">
        <f>$I$19-3*$I$23</f>
        <v>#DIV/0!</v>
      </c>
      <c r="I4" s="73" t="e">
        <f>H4</f>
        <v>#DIV/0!</v>
      </c>
      <c r="J4" s="74">
        <f>COUNTIF(D:D,"&lt;="&amp;H4)</f>
        <v>67</v>
      </c>
      <c r="K4" s="74" t="e">
        <f>"Less than "&amp;TEXT(H4,"0,00%")</f>
        <v>#DIV/0!</v>
      </c>
      <c r="L4" s="75" t="e">
        <f>J4/$I$31</f>
        <v>#DIV/0!</v>
      </c>
      <c r="M4" s="76" t="e">
        <f>L4</f>
        <v>#DIV/0!</v>
      </c>
    </row>
    <row r="5" spans="1:13" x14ac:dyDescent="0.25">
      <c r="D5" t="e">
        <f t="shared" si="0"/>
        <v>#DIV/0!</v>
      </c>
      <c r="H5" s="77" t="e">
        <f>$I$19-2.4*$I$23</f>
        <v>#DIV/0!</v>
      </c>
      <c r="I5" s="78" t="e">
        <f>H5</f>
        <v>#DIV/0!</v>
      </c>
      <c r="J5" s="79">
        <f>COUNTIFS(D:D,"&lt;="&amp;H5,D:D,"&gt;"&amp;H4)</f>
        <v>67</v>
      </c>
      <c r="K5" s="80" t="e">
        <f t="shared" ref="K5:K14" si="1">TEXT(H4,"0,00%")&amp;" to "&amp;TEXT(H5,"0,00%")</f>
        <v>#DIV/0!</v>
      </c>
      <c r="L5" s="81" t="e">
        <f>J5/$I$31</f>
        <v>#DIV/0!</v>
      </c>
      <c r="M5" s="82" t="e">
        <f>M4+L5</f>
        <v>#DIV/0!</v>
      </c>
    </row>
    <row r="6" spans="1:13" x14ac:dyDescent="0.25">
      <c r="D6" t="e">
        <f t="shared" si="0"/>
        <v>#DIV/0!</v>
      </c>
      <c r="H6" s="77" t="e">
        <f>$I$19-1.8*$I$23</f>
        <v>#DIV/0!</v>
      </c>
      <c r="I6" s="78" t="e">
        <f t="shared" ref="I6:I14" si="2">H6</f>
        <v>#DIV/0!</v>
      </c>
      <c r="J6" s="79">
        <f t="shared" ref="J6:J14" si="3">COUNTIFS(D:D,"&lt;="&amp;H6,D:D,"&gt;"&amp;H5)</f>
        <v>67</v>
      </c>
      <c r="K6" s="80" t="e">
        <f t="shared" si="1"/>
        <v>#DIV/0!</v>
      </c>
      <c r="L6" s="81" t="e">
        <f t="shared" ref="L6:L15" si="4">J6/$I$31</f>
        <v>#DIV/0!</v>
      </c>
      <c r="M6" s="82" t="e">
        <f t="shared" ref="M6:M15" si="5">M5+L6</f>
        <v>#DIV/0!</v>
      </c>
    </row>
    <row r="7" spans="1:13" x14ac:dyDescent="0.25">
      <c r="D7" t="e">
        <f t="shared" si="0"/>
        <v>#DIV/0!</v>
      </c>
      <c r="H7" s="77" t="e">
        <f>$I$19-1.2*$I$23</f>
        <v>#DIV/0!</v>
      </c>
      <c r="I7" s="78" t="e">
        <f t="shared" si="2"/>
        <v>#DIV/0!</v>
      </c>
      <c r="J7" s="79">
        <f t="shared" si="3"/>
        <v>67</v>
      </c>
      <c r="K7" s="80" t="e">
        <f t="shared" si="1"/>
        <v>#DIV/0!</v>
      </c>
      <c r="L7" s="81" t="e">
        <f t="shared" si="4"/>
        <v>#DIV/0!</v>
      </c>
      <c r="M7" s="82" t="e">
        <f t="shared" si="5"/>
        <v>#DIV/0!</v>
      </c>
    </row>
    <row r="8" spans="1:13" x14ac:dyDescent="0.25">
      <c r="D8" t="e">
        <f t="shared" si="0"/>
        <v>#DIV/0!</v>
      </c>
      <c r="H8" s="77" t="e">
        <f>$I$19-0.6*$I$23</f>
        <v>#DIV/0!</v>
      </c>
      <c r="I8" s="78" t="e">
        <f t="shared" si="2"/>
        <v>#DIV/0!</v>
      </c>
      <c r="J8" s="79">
        <f t="shared" si="3"/>
        <v>67</v>
      </c>
      <c r="K8" s="80" t="e">
        <f t="shared" si="1"/>
        <v>#DIV/0!</v>
      </c>
      <c r="L8" s="81" t="e">
        <f t="shared" si="4"/>
        <v>#DIV/0!</v>
      </c>
      <c r="M8" s="82" t="e">
        <f t="shared" si="5"/>
        <v>#DIV/0!</v>
      </c>
    </row>
    <row r="9" spans="1:13" x14ac:dyDescent="0.25">
      <c r="D9" t="e">
        <f t="shared" si="0"/>
        <v>#DIV/0!</v>
      </c>
      <c r="H9" s="77" t="e">
        <f>$I$19</f>
        <v>#DIV/0!</v>
      </c>
      <c r="I9" s="78" t="e">
        <f t="shared" si="2"/>
        <v>#DIV/0!</v>
      </c>
      <c r="J9" s="79">
        <f t="shared" si="3"/>
        <v>67</v>
      </c>
      <c r="K9" s="80" t="e">
        <f t="shared" si="1"/>
        <v>#DIV/0!</v>
      </c>
      <c r="L9" s="81" t="e">
        <f t="shared" si="4"/>
        <v>#DIV/0!</v>
      </c>
      <c r="M9" s="82" t="e">
        <f t="shared" si="5"/>
        <v>#DIV/0!</v>
      </c>
    </row>
    <row r="10" spans="1:13" x14ac:dyDescent="0.25">
      <c r="D10" t="e">
        <f t="shared" si="0"/>
        <v>#DIV/0!</v>
      </c>
      <c r="H10" s="77" t="e">
        <f>$I$19+0.6*$I$23</f>
        <v>#DIV/0!</v>
      </c>
      <c r="I10" s="78" t="e">
        <f t="shared" si="2"/>
        <v>#DIV/0!</v>
      </c>
      <c r="J10" s="79">
        <f t="shared" si="3"/>
        <v>67</v>
      </c>
      <c r="K10" s="80" t="e">
        <f t="shared" si="1"/>
        <v>#DIV/0!</v>
      </c>
      <c r="L10" s="81" t="e">
        <f t="shared" si="4"/>
        <v>#DIV/0!</v>
      </c>
      <c r="M10" s="82" t="e">
        <f t="shared" si="5"/>
        <v>#DIV/0!</v>
      </c>
    </row>
    <row r="11" spans="1:13" x14ac:dyDescent="0.25">
      <c r="D11" t="e">
        <f t="shared" si="0"/>
        <v>#DIV/0!</v>
      </c>
      <c r="H11" s="77" t="e">
        <f>$I$19+1.2*$I$23</f>
        <v>#DIV/0!</v>
      </c>
      <c r="I11" s="78" t="e">
        <f t="shared" si="2"/>
        <v>#DIV/0!</v>
      </c>
      <c r="J11" s="79">
        <f t="shared" si="3"/>
        <v>67</v>
      </c>
      <c r="K11" s="80" t="e">
        <f t="shared" si="1"/>
        <v>#DIV/0!</v>
      </c>
      <c r="L11" s="81" t="e">
        <f t="shared" si="4"/>
        <v>#DIV/0!</v>
      </c>
      <c r="M11" s="82" t="e">
        <f t="shared" si="5"/>
        <v>#DIV/0!</v>
      </c>
    </row>
    <row r="12" spans="1:13" x14ac:dyDescent="0.25">
      <c r="D12" t="e">
        <f t="shared" si="0"/>
        <v>#DIV/0!</v>
      </c>
      <c r="H12" s="77" t="e">
        <f>$I$19+1.8*$I$23</f>
        <v>#DIV/0!</v>
      </c>
      <c r="I12" s="78" t="e">
        <f t="shared" si="2"/>
        <v>#DIV/0!</v>
      </c>
      <c r="J12" s="79">
        <f t="shared" si="3"/>
        <v>67</v>
      </c>
      <c r="K12" s="80" t="e">
        <f t="shared" si="1"/>
        <v>#DIV/0!</v>
      </c>
      <c r="L12" s="81" t="e">
        <f t="shared" si="4"/>
        <v>#DIV/0!</v>
      </c>
      <c r="M12" s="82" t="e">
        <f t="shared" si="5"/>
        <v>#DIV/0!</v>
      </c>
    </row>
    <row r="13" spans="1:13" x14ac:dyDescent="0.25">
      <c r="D13" t="e">
        <f t="shared" si="0"/>
        <v>#DIV/0!</v>
      </c>
      <c r="H13" s="77" t="e">
        <f>$I$19+2.4*$I$23</f>
        <v>#DIV/0!</v>
      </c>
      <c r="I13" s="78" t="e">
        <f t="shared" si="2"/>
        <v>#DIV/0!</v>
      </c>
      <c r="J13" s="79">
        <f t="shared" si="3"/>
        <v>67</v>
      </c>
      <c r="K13" s="80" t="e">
        <f t="shared" si="1"/>
        <v>#DIV/0!</v>
      </c>
      <c r="L13" s="81" t="e">
        <f t="shared" si="4"/>
        <v>#DIV/0!</v>
      </c>
      <c r="M13" s="82" t="e">
        <f t="shared" si="5"/>
        <v>#DIV/0!</v>
      </c>
    </row>
    <row r="14" spans="1:13" x14ac:dyDescent="0.25">
      <c r="D14" t="e">
        <f t="shared" si="0"/>
        <v>#DIV/0!</v>
      </c>
      <c r="H14" s="77" t="e">
        <f>$I$19+3*$I$23</f>
        <v>#DIV/0!</v>
      </c>
      <c r="I14" s="78" t="e">
        <f t="shared" si="2"/>
        <v>#DIV/0!</v>
      </c>
      <c r="J14" s="79">
        <f t="shared" si="3"/>
        <v>67</v>
      </c>
      <c r="K14" s="80" t="e">
        <f t="shared" si="1"/>
        <v>#DIV/0!</v>
      </c>
      <c r="L14" s="81" t="e">
        <f t="shared" si="4"/>
        <v>#DIV/0!</v>
      </c>
      <c r="M14" s="82" t="e">
        <f t="shared" si="5"/>
        <v>#DIV/0!</v>
      </c>
    </row>
    <row r="15" spans="1:13" ht="15.75" thickBot="1" x14ac:dyDescent="0.3">
      <c r="D15" t="e">
        <f t="shared" si="0"/>
        <v>#DIV/0!</v>
      </c>
      <c r="H15" s="83"/>
      <c r="I15" s="84" t="s">
        <v>98</v>
      </c>
      <c r="J15" s="84">
        <f>COUNTIF(D:D,"&gt;"&amp;H14)</f>
        <v>67</v>
      </c>
      <c r="K15" s="84" t="e">
        <f>"Greater than "&amp;TEXT(H14,"0,00%")</f>
        <v>#DIV/0!</v>
      </c>
      <c r="L15" s="85" t="e">
        <f t="shared" si="4"/>
        <v>#DIV/0!</v>
      </c>
      <c r="M15" s="85" t="e">
        <f t="shared" si="5"/>
        <v>#DIV/0!</v>
      </c>
    </row>
    <row r="16" spans="1:13" ht="15.75" thickBot="1" x14ac:dyDescent="0.3">
      <c r="D16" t="e">
        <f t="shared" si="0"/>
        <v>#DIV/0!</v>
      </c>
      <c r="H16" s="86"/>
      <c r="M16" s="87"/>
    </row>
    <row r="17" spans="4:13" x14ac:dyDescent="0.25">
      <c r="D17" t="e">
        <f t="shared" si="0"/>
        <v>#DIV/0!</v>
      </c>
      <c r="H17" s="141" t="s">
        <v>129</v>
      </c>
      <c r="I17" s="142"/>
      <c r="M17" s="87"/>
    </row>
    <row r="18" spans="4:13" x14ac:dyDescent="0.25">
      <c r="D18" t="e">
        <f t="shared" si="0"/>
        <v>#DIV/0!</v>
      </c>
      <c r="H18" s="143"/>
      <c r="I18" s="144"/>
      <c r="M18" s="87"/>
    </row>
    <row r="19" spans="4:13" x14ac:dyDescent="0.25">
      <c r="D19" t="e">
        <f t="shared" si="0"/>
        <v>#DIV/0!</v>
      </c>
      <c r="H19" s="88" t="s">
        <v>99</v>
      </c>
      <c r="I19" s="125" t="e">
        <f>AVERAGE(D:D)</f>
        <v>#DIV/0!</v>
      </c>
      <c r="M19" s="87"/>
    </row>
    <row r="20" spans="4:13" x14ac:dyDescent="0.25">
      <c r="D20" t="e">
        <f t="shared" si="0"/>
        <v>#DIV/0!</v>
      </c>
      <c r="H20" s="88" t="s">
        <v>100</v>
      </c>
      <c r="I20" s="125" t="e">
        <f>_xlfn.STDEV.S(D:D)/SQRT(COUNT(D:D))</f>
        <v>#DIV/0!</v>
      </c>
      <c r="M20" s="87"/>
    </row>
    <row r="21" spans="4:13" x14ac:dyDescent="0.25">
      <c r="D21" t="e">
        <f t="shared" si="0"/>
        <v>#DIV/0!</v>
      </c>
      <c r="H21" s="88" t="s">
        <v>101</v>
      </c>
      <c r="I21" s="125" t="e">
        <f>MEDIAN(D:D)</f>
        <v>#DIV/0!</v>
      </c>
      <c r="M21" s="87"/>
    </row>
    <row r="22" spans="4:13" x14ac:dyDescent="0.25">
      <c r="D22" t="e">
        <f t="shared" si="0"/>
        <v>#DIV/0!</v>
      </c>
      <c r="H22" s="88" t="s">
        <v>102</v>
      </c>
      <c r="I22" s="125" t="e">
        <f>MODE(D:D)</f>
        <v>#DIV/0!</v>
      </c>
      <c r="M22" s="87"/>
    </row>
    <row r="23" spans="4:13" x14ac:dyDescent="0.25">
      <c r="D23" t="e">
        <f t="shared" si="0"/>
        <v>#DIV/0!</v>
      </c>
      <c r="H23" s="88" t="s">
        <v>103</v>
      </c>
      <c r="I23" s="125" t="e">
        <f>_xlfn.STDEV.S(D:D)</f>
        <v>#DIV/0!</v>
      </c>
      <c r="M23" s="87"/>
    </row>
    <row r="24" spans="4:13" x14ac:dyDescent="0.25">
      <c r="D24" t="e">
        <f t="shared" si="0"/>
        <v>#DIV/0!</v>
      </c>
      <c r="H24" s="88" t="s">
        <v>104</v>
      </c>
      <c r="I24" s="125" t="e">
        <f>_xlfn.VAR.S(D:D)</f>
        <v>#DIV/0!</v>
      </c>
      <c r="M24" s="87"/>
    </row>
    <row r="25" spans="4:13" x14ac:dyDescent="0.25">
      <c r="D25" t="e">
        <f t="shared" si="0"/>
        <v>#DIV/0!</v>
      </c>
      <c r="H25" s="88" t="s">
        <v>105</v>
      </c>
      <c r="I25" s="126" t="e">
        <f>KURT(D:D)</f>
        <v>#DIV/0!</v>
      </c>
      <c r="M25" s="87"/>
    </row>
    <row r="26" spans="4:13" x14ac:dyDescent="0.25">
      <c r="D26" t="e">
        <f t="shared" si="0"/>
        <v>#DIV/0!</v>
      </c>
      <c r="H26" s="88" t="s">
        <v>106</v>
      </c>
      <c r="I26" s="126" t="e">
        <f>SKEW(D:D)</f>
        <v>#DIV/0!</v>
      </c>
      <c r="M26" s="87"/>
    </row>
    <row r="27" spans="4:13" x14ac:dyDescent="0.25">
      <c r="D27" t="e">
        <f t="shared" si="0"/>
        <v>#DIV/0!</v>
      </c>
      <c r="H27" s="88" t="s">
        <v>95</v>
      </c>
      <c r="I27" s="125" t="e">
        <f>I29-I28</f>
        <v>#DIV/0!</v>
      </c>
      <c r="M27" s="87"/>
    </row>
    <row r="28" spans="4:13" x14ac:dyDescent="0.25">
      <c r="D28" t="e">
        <f t="shared" si="0"/>
        <v>#DIV/0!</v>
      </c>
      <c r="H28" s="88" t="s">
        <v>107</v>
      </c>
      <c r="I28" s="125" t="e">
        <f>MIN(D:D)</f>
        <v>#DIV/0!</v>
      </c>
      <c r="M28" s="87"/>
    </row>
    <row r="29" spans="4:13" x14ac:dyDescent="0.25">
      <c r="D29" t="e">
        <f t="shared" si="0"/>
        <v>#DIV/0!</v>
      </c>
      <c r="H29" s="88" t="s">
        <v>108</v>
      </c>
      <c r="I29" s="125" t="e">
        <f>MAX(D:D)</f>
        <v>#DIV/0!</v>
      </c>
      <c r="M29" s="87"/>
    </row>
    <row r="30" spans="4:13" x14ac:dyDescent="0.25">
      <c r="D30" t="e">
        <f t="shared" si="0"/>
        <v>#DIV/0!</v>
      </c>
      <c r="H30" s="88" t="s">
        <v>109</v>
      </c>
      <c r="I30" s="126" t="e">
        <f>SUM(D:D)</f>
        <v>#DIV/0!</v>
      </c>
      <c r="M30" s="87"/>
    </row>
    <row r="31" spans="4:13" ht="15.75" thickBot="1" x14ac:dyDescent="0.3">
      <c r="D31" t="e">
        <f t="shared" si="0"/>
        <v>#DIV/0!</v>
      </c>
      <c r="H31" s="89" t="s">
        <v>110</v>
      </c>
      <c r="I31" s="66">
        <f>COUNT(D:D)</f>
        <v>0</v>
      </c>
      <c r="M31" s="87"/>
    </row>
    <row r="32" spans="4:13" ht="15.75" thickBot="1" x14ac:dyDescent="0.3">
      <c r="D32" t="e">
        <f t="shared" si="0"/>
        <v>#DIV/0!</v>
      </c>
      <c r="H32" s="91"/>
      <c r="M32" s="87"/>
    </row>
    <row r="33" spans="4:13" x14ac:dyDescent="0.25">
      <c r="D33" t="e">
        <f t="shared" si="0"/>
        <v>#DIV/0!</v>
      </c>
      <c r="H33" s="92"/>
      <c r="I33" s="93" t="s">
        <v>111</v>
      </c>
      <c r="J33" s="93" t="s">
        <v>110</v>
      </c>
      <c r="K33" s="93" t="s">
        <v>112</v>
      </c>
      <c r="L33" s="94" t="s">
        <v>113</v>
      </c>
      <c r="M33" s="87"/>
    </row>
    <row r="34" spans="4:13" x14ac:dyDescent="0.25">
      <c r="D34" t="e">
        <f t="shared" si="0"/>
        <v>#DIV/0!</v>
      </c>
      <c r="H34" s="95" t="s">
        <v>114</v>
      </c>
      <c r="I34" s="81" t="e">
        <f>AVERAGEIF(D:D,"&gt;0")</f>
        <v>#DIV/0!</v>
      </c>
      <c r="J34" s="79">
        <f>COUNTIF(D:D,"&gt;0")</f>
        <v>0</v>
      </c>
      <c r="K34" s="81" t="e">
        <f>J34/$I$31</f>
        <v>#DIV/0!</v>
      </c>
      <c r="L34" s="82" t="e">
        <f>K34*I34</f>
        <v>#DIV/0!</v>
      </c>
      <c r="M34" s="87"/>
    </row>
    <row r="35" spans="4:13" x14ac:dyDescent="0.25">
      <c r="D35" t="e">
        <f t="shared" si="0"/>
        <v>#DIV/0!</v>
      </c>
      <c r="H35" s="95" t="s">
        <v>115</v>
      </c>
      <c r="I35" s="81" t="e">
        <f>AVERAGEIF(D:D,"&lt;0")</f>
        <v>#DIV/0!</v>
      </c>
      <c r="J35" s="79">
        <f>COUNTIF(D:D,"&lt;0")</f>
        <v>0</v>
      </c>
      <c r="K35" s="81" t="e">
        <f>J35/$I$31</f>
        <v>#DIV/0!</v>
      </c>
      <c r="L35" s="82" t="e">
        <f t="shared" ref="L35:L36" si="6">K35*I35</f>
        <v>#DIV/0!</v>
      </c>
      <c r="M35" s="87"/>
    </row>
    <row r="36" spans="4:13" ht="15.75" thickBot="1" x14ac:dyDescent="0.3">
      <c r="D36" t="e">
        <f t="shared" si="0"/>
        <v>#DIV/0!</v>
      </c>
      <c r="H36" s="96" t="s">
        <v>116</v>
      </c>
      <c r="I36" s="84">
        <v>0</v>
      </c>
      <c r="J36" s="84">
        <f>COUNTIF(D:D,"0")</f>
        <v>0</v>
      </c>
      <c r="K36" s="97" t="e">
        <f>J36/$I$31</f>
        <v>#DIV/0!</v>
      </c>
      <c r="L36" s="85" t="e">
        <f t="shared" si="6"/>
        <v>#DIV/0!</v>
      </c>
      <c r="M36" s="87"/>
    </row>
    <row r="37" spans="4:13" ht="15.75" thickBot="1" x14ac:dyDescent="0.3">
      <c r="D37" t="e">
        <f t="shared" si="0"/>
        <v>#DIV/0!</v>
      </c>
      <c r="H37" s="91"/>
      <c r="I37" s="98"/>
      <c r="J37" s="98"/>
      <c r="K37" s="98"/>
      <c r="L37" s="98"/>
      <c r="M37" s="87"/>
    </row>
    <row r="38" spans="4:13" x14ac:dyDescent="0.25">
      <c r="D38" t="e">
        <f t="shared" si="0"/>
        <v>#DIV/0!</v>
      </c>
      <c r="H38" s="72" t="s">
        <v>117</v>
      </c>
      <c r="I38" s="93" t="s">
        <v>118</v>
      </c>
      <c r="J38" s="93" t="s">
        <v>119</v>
      </c>
      <c r="K38" s="93" t="s">
        <v>120</v>
      </c>
      <c r="L38" s="93" t="s">
        <v>121</v>
      </c>
      <c r="M38" s="94" t="s">
        <v>122</v>
      </c>
    </row>
    <row r="39" spans="4:13" x14ac:dyDescent="0.25">
      <c r="D39" t="e">
        <f t="shared" si="0"/>
        <v>#DIV/0!</v>
      </c>
      <c r="H39" s="99">
        <v>1</v>
      </c>
      <c r="I39" s="81" t="e">
        <f>$I$19+($H39*$I$23)</f>
        <v>#DIV/0!</v>
      </c>
      <c r="J39" s="81" t="e">
        <f>$I$19-($H39*$I$23)</f>
        <v>#DIV/0!</v>
      </c>
      <c r="K39" s="79">
        <f>COUNTIFS(D:D,"&lt;"&amp;I39,D:D,"&gt;"&amp;J39)</f>
        <v>67</v>
      </c>
      <c r="L39" s="81" t="e">
        <f>K39/$I$31</f>
        <v>#DIV/0!</v>
      </c>
      <c r="M39" s="82">
        <v>0.68269999999999997</v>
      </c>
    </row>
    <row r="40" spans="4:13" x14ac:dyDescent="0.25">
      <c r="D40" t="e">
        <f t="shared" si="0"/>
        <v>#DIV/0!</v>
      </c>
      <c r="H40" s="99">
        <v>2</v>
      </c>
      <c r="I40" s="81" t="e">
        <f>$I$19+($H40*$I$23)</f>
        <v>#DIV/0!</v>
      </c>
      <c r="J40" s="81" t="e">
        <f>$I$19-($H40*$I$23)</f>
        <v>#DIV/0!</v>
      </c>
      <c r="K40" s="79">
        <f>COUNTIFS(D:D,"&lt;"&amp;I40,D:D,"&gt;"&amp;J40)</f>
        <v>67</v>
      </c>
      <c r="L40" s="81" t="e">
        <f>K40/$I$31</f>
        <v>#DIV/0!</v>
      </c>
      <c r="M40" s="82">
        <v>0.95450000000000002</v>
      </c>
    </row>
    <row r="41" spans="4:13" x14ac:dyDescent="0.25">
      <c r="D41" t="e">
        <f t="shared" si="0"/>
        <v>#DIV/0!</v>
      </c>
      <c r="H41" s="99">
        <v>3</v>
      </c>
      <c r="I41" s="81" t="e">
        <f>$I$19+($H41*$I$23)</f>
        <v>#DIV/0!</v>
      </c>
      <c r="J41" s="81" t="e">
        <f>$I$19-($H41*$I$23)</f>
        <v>#DIV/0!</v>
      </c>
      <c r="K41" s="79">
        <f>COUNTIFS(D:D,"&lt;"&amp;I41,D:D,"&gt;"&amp;J41)</f>
        <v>67</v>
      </c>
      <c r="L41" s="81" t="e">
        <f>K41/$I$31</f>
        <v>#DIV/0!</v>
      </c>
      <c r="M41" s="100">
        <v>0.99729999999999996</v>
      </c>
    </row>
    <row r="42" spans="4:13" ht="15.75" thickBot="1" x14ac:dyDescent="0.3">
      <c r="D42" t="e">
        <f t="shared" si="0"/>
        <v>#DIV/0!</v>
      </c>
      <c r="H42" s="77"/>
      <c r="M42" s="100"/>
    </row>
    <row r="43" spans="4:13" ht="15.75" thickBot="1" x14ac:dyDescent="0.3">
      <c r="D43" t="e">
        <f t="shared" si="0"/>
        <v>#DIV/0!</v>
      </c>
      <c r="H43" s="145" t="s">
        <v>123</v>
      </c>
      <c r="I43" s="146"/>
      <c r="J43" s="146"/>
      <c r="K43" s="146"/>
      <c r="L43" s="146"/>
      <c r="M43" s="147"/>
    </row>
    <row r="44" spans="4:13" x14ac:dyDescent="0.25">
      <c r="D44" t="e">
        <f t="shared" si="0"/>
        <v>#DIV/0!</v>
      </c>
      <c r="H44" s="101">
        <v>0.01</v>
      </c>
      <c r="I44" s="102" t="e">
        <f t="shared" ref="I44:I58" si="7">_xlfn.PERCENTILE.INC(D:D,H44)</f>
        <v>#DIV/0!</v>
      </c>
      <c r="J44" s="103">
        <v>0.2</v>
      </c>
      <c r="K44" s="102" t="e">
        <f t="shared" ref="K44:K56" si="8">_xlfn.PERCENTILE.INC(D:D,J44)</f>
        <v>#DIV/0!</v>
      </c>
      <c r="L44" s="103">
        <v>0.85</v>
      </c>
      <c r="M44" s="104" t="e">
        <f t="shared" ref="M44:M58" si="9">_xlfn.PERCENTILE.INC(D:D,L44)</f>
        <v>#DIV/0!</v>
      </c>
    </row>
    <row r="45" spans="4:13" x14ac:dyDescent="0.25">
      <c r="D45" t="e">
        <f t="shared" si="0"/>
        <v>#DIV/0!</v>
      </c>
      <c r="H45" s="105">
        <v>0.02</v>
      </c>
      <c r="I45" s="106" t="e">
        <f t="shared" si="7"/>
        <v>#DIV/0!</v>
      </c>
      <c r="J45" s="107">
        <v>0.25</v>
      </c>
      <c r="K45" s="106" t="e">
        <f t="shared" si="8"/>
        <v>#DIV/0!</v>
      </c>
      <c r="L45" s="107">
        <v>0.86</v>
      </c>
      <c r="M45" s="108" t="e">
        <f t="shared" si="9"/>
        <v>#DIV/0!</v>
      </c>
    </row>
    <row r="46" spans="4:13" x14ac:dyDescent="0.25">
      <c r="D46" t="e">
        <f t="shared" si="0"/>
        <v>#DIV/0!</v>
      </c>
      <c r="H46" s="105">
        <v>0.03</v>
      </c>
      <c r="I46" s="106" t="e">
        <f t="shared" si="7"/>
        <v>#DIV/0!</v>
      </c>
      <c r="J46" s="107">
        <v>0.3</v>
      </c>
      <c r="K46" s="106" t="e">
        <f t="shared" si="8"/>
        <v>#DIV/0!</v>
      </c>
      <c r="L46" s="107">
        <v>0.87</v>
      </c>
      <c r="M46" s="108" t="e">
        <f t="shared" si="9"/>
        <v>#DIV/0!</v>
      </c>
    </row>
    <row r="47" spans="4:13" x14ac:dyDescent="0.25">
      <c r="D47" t="e">
        <f t="shared" si="0"/>
        <v>#DIV/0!</v>
      </c>
      <c r="H47" s="105">
        <v>0.04</v>
      </c>
      <c r="I47" s="106" t="e">
        <f t="shared" si="7"/>
        <v>#DIV/0!</v>
      </c>
      <c r="J47" s="107">
        <v>0.35</v>
      </c>
      <c r="K47" s="106" t="e">
        <f t="shared" si="8"/>
        <v>#DIV/0!</v>
      </c>
      <c r="L47" s="107">
        <v>0.88</v>
      </c>
      <c r="M47" s="108" t="e">
        <f t="shared" si="9"/>
        <v>#DIV/0!</v>
      </c>
    </row>
    <row r="48" spans="4:13" x14ac:dyDescent="0.25">
      <c r="D48" t="e">
        <f t="shared" si="0"/>
        <v>#DIV/0!</v>
      </c>
      <c r="H48" s="105">
        <v>0.05</v>
      </c>
      <c r="I48" s="106" t="e">
        <f t="shared" si="7"/>
        <v>#DIV/0!</v>
      </c>
      <c r="J48" s="107">
        <v>0.4</v>
      </c>
      <c r="K48" s="106" t="e">
        <f t="shared" si="8"/>
        <v>#DIV/0!</v>
      </c>
      <c r="L48" s="107">
        <v>0.89</v>
      </c>
      <c r="M48" s="108" t="e">
        <f t="shared" si="9"/>
        <v>#DIV/0!</v>
      </c>
    </row>
    <row r="49" spans="4:13" x14ac:dyDescent="0.25">
      <c r="D49" t="e">
        <f t="shared" si="0"/>
        <v>#DIV/0!</v>
      </c>
      <c r="H49" s="105">
        <v>0.06</v>
      </c>
      <c r="I49" s="106" t="e">
        <f t="shared" si="7"/>
        <v>#DIV/0!</v>
      </c>
      <c r="J49" s="107">
        <v>0.45</v>
      </c>
      <c r="K49" s="106" t="e">
        <f t="shared" si="8"/>
        <v>#DIV/0!</v>
      </c>
      <c r="L49" s="107">
        <v>0.9</v>
      </c>
      <c r="M49" s="108" t="e">
        <f t="shared" si="9"/>
        <v>#DIV/0!</v>
      </c>
    </row>
    <row r="50" spans="4:13" x14ac:dyDescent="0.25">
      <c r="D50" t="e">
        <f t="shared" si="0"/>
        <v>#DIV/0!</v>
      </c>
      <c r="H50" s="105">
        <v>7.0000000000000007E-2</v>
      </c>
      <c r="I50" s="106" t="e">
        <f t="shared" si="7"/>
        <v>#DIV/0!</v>
      </c>
      <c r="J50" s="107">
        <v>0.5</v>
      </c>
      <c r="K50" s="106" t="e">
        <f t="shared" si="8"/>
        <v>#DIV/0!</v>
      </c>
      <c r="L50" s="107">
        <v>0.91</v>
      </c>
      <c r="M50" s="108" t="e">
        <f t="shared" si="9"/>
        <v>#DIV/0!</v>
      </c>
    </row>
    <row r="51" spans="4:13" x14ac:dyDescent="0.25">
      <c r="D51" t="e">
        <f t="shared" si="0"/>
        <v>#DIV/0!</v>
      </c>
      <c r="H51" s="105">
        <v>0.08</v>
      </c>
      <c r="I51" s="106" t="e">
        <f t="shared" si="7"/>
        <v>#DIV/0!</v>
      </c>
      <c r="J51" s="107">
        <v>0.55000000000000004</v>
      </c>
      <c r="K51" s="106" t="e">
        <f t="shared" si="8"/>
        <v>#DIV/0!</v>
      </c>
      <c r="L51" s="107">
        <v>0.92</v>
      </c>
      <c r="M51" s="108" t="e">
        <f t="shared" si="9"/>
        <v>#DIV/0!</v>
      </c>
    </row>
    <row r="52" spans="4:13" x14ac:dyDescent="0.25">
      <c r="D52" t="e">
        <f t="shared" si="0"/>
        <v>#DIV/0!</v>
      </c>
      <c r="H52" s="105">
        <v>0.09</v>
      </c>
      <c r="I52" s="106" t="e">
        <f t="shared" si="7"/>
        <v>#DIV/0!</v>
      </c>
      <c r="J52" s="107">
        <v>0.6</v>
      </c>
      <c r="K52" s="106" t="e">
        <f t="shared" si="8"/>
        <v>#DIV/0!</v>
      </c>
      <c r="L52" s="107">
        <v>0.93</v>
      </c>
      <c r="M52" s="108" t="e">
        <f t="shared" si="9"/>
        <v>#DIV/0!</v>
      </c>
    </row>
    <row r="53" spans="4:13" x14ac:dyDescent="0.25">
      <c r="D53" t="e">
        <f t="shared" si="0"/>
        <v>#DIV/0!</v>
      </c>
      <c r="H53" s="105">
        <v>0.1</v>
      </c>
      <c r="I53" s="106" t="e">
        <f t="shared" si="7"/>
        <v>#DIV/0!</v>
      </c>
      <c r="J53" s="107">
        <v>0.65</v>
      </c>
      <c r="K53" s="106" t="e">
        <f t="shared" si="8"/>
        <v>#DIV/0!</v>
      </c>
      <c r="L53" s="107">
        <v>0.94</v>
      </c>
      <c r="M53" s="108" t="e">
        <f t="shared" si="9"/>
        <v>#DIV/0!</v>
      </c>
    </row>
    <row r="54" spans="4:13" x14ac:dyDescent="0.25">
      <c r="D54" t="e">
        <f t="shared" si="0"/>
        <v>#DIV/0!</v>
      </c>
      <c r="H54" s="105">
        <v>0.11</v>
      </c>
      <c r="I54" s="106" t="e">
        <f t="shared" si="7"/>
        <v>#DIV/0!</v>
      </c>
      <c r="J54" s="107">
        <v>0.7</v>
      </c>
      <c r="K54" s="106" t="e">
        <f t="shared" si="8"/>
        <v>#DIV/0!</v>
      </c>
      <c r="L54" s="107">
        <v>0.95</v>
      </c>
      <c r="M54" s="108" t="e">
        <f t="shared" si="9"/>
        <v>#DIV/0!</v>
      </c>
    </row>
    <row r="55" spans="4:13" x14ac:dyDescent="0.25">
      <c r="D55" t="e">
        <f t="shared" si="0"/>
        <v>#DIV/0!</v>
      </c>
      <c r="H55" s="105">
        <v>0.12</v>
      </c>
      <c r="I55" s="106" t="e">
        <f t="shared" si="7"/>
        <v>#DIV/0!</v>
      </c>
      <c r="J55" s="107">
        <v>0.75</v>
      </c>
      <c r="K55" s="106" t="e">
        <f t="shared" si="8"/>
        <v>#DIV/0!</v>
      </c>
      <c r="L55" s="107">
        <v>0.96</v>
      </c>
      <c r="M55" s="108" t="e">
        <f t="shared" si="9"/>
        <v>#DIV/0!</v>
      </c>
    </row>
    <row r="56" spans="4:13" x14ac:dyDescent="0.25">
      <c r="D56" t="e">
        <f t="shared" si="0"/>
        <v>#DIV/0!</v>
      </c>
      <c r="H56" s="105">
        <v>0.13</v>
      </c>
      <c r="I56" s="106" t="e">
        <f t="shared" si="7"/>
        <v>#DIV/0!</v>
      </c>
      <c r="J56" s="107">
        <v>0.8</v>
      </c>
      <c r="K56" s="106" t="e">
        <f t="shared" si="8"/>
        <v>#DIV/0!</v>
      </c>
      <c r="L56" s="107">
        <v>0.97</v>
      </c>
      <c r="M56" s="108" t="e">
        <f t="shared" si="9"/>
        <v>#DIV/0!</v>
      </c>
    </row>
    <row r="57" spans="4:13" x14ac:dyDescent="0.25">
      <c r="D57" t="e">
        <f t="shared" si="0"/>
        <v>#DIV/0!</v>
      </c>
      <c r="H57" s="105">
        <v>0.14000000000000001</v>
      </c>
      <c r="I57" s="106" t="e">
        <f t="shared" si="7"/>
        <v>#DIV/0!</v>
      </c>
      <c r="J57" s="107"/>
      <c r="K57" s="106"/>
      <c r="L57" s="107">
        <v>0.98</v>
      </c>
      <c r="M57" s="108" t="e">
        <f t="shared" si="9"/>
        <v>#DIV/0!</v>
      </c>
    </row>
    <row r="58" spans="4:13" ht="15.75" thickBot="1" x14ac:dyDescent="0.3">
      <c r="D58" t="e">
        <f t="shared" si="0"/>
        <v>#DIV/0!</v>
      </c>
      <c r="H58" s="109">
        <v>0.15</v>
      </c>
      <c r="I58" s="110" t="e">
        <f t="shared" si="7"/>
        <v>#DIV/0!</v>
      </c>
      <c r="J58" s="111"/>
      <c r="K58" s="90"/>
      <c r="L58" s="112">
        <v>0.99</v>
      </c>
      <c r="M58" s="113" t="e">
        <f t="shared" si="9"/>
        <v>#DIV/0!</v>
      </c>
    </row>
    <row r="59" spans="4:13" ht="15.75" thickBot="1" x14ac:dyDescent="0.3">
      <c r="D59" t="e">
        <f t="shared" si="0"/>
        <v>#DIV/0!</v>
      </c>
    </row>
    <row r="60" spans="4:13" x14ac:dyDescent="0.25">
      <c r="D60" t="e">
        <f t="shared" si="0"/>
        <v>#DIV/0!</v>
      </c>
      <c r="H60" s="114" t="s">
        <v>124</v>
      </c>
      <c r="I60" s="115"/>
    </row>
    <row r="61" spans="4:13" ht="15.75" thickBot="1" x14ac:dyDescent="0.3">
      <c r="D61" t="e">
        <f t="shared" si="0"/>
        <v>#DIV/0!</v>
      </c>
      <c r="H61" s="116" t="s">
        <v>125</v>
      </c>
      <c r="I61" s="117"/>
    </row>
    <row r="62" spans="4:13" ht="15.75" thickBot="1" x14ac:dyDescent="0.3">
      <c r="D62" t="e">
        <f t="shared" si="0"/>
        <v>#DIV/0!</v>
      </c>
      <c r="H62" s="118"/>
    </row>
    <row r="63" spans="4:13" x14ac:dyDescent="0.25">
      <c r="D63" t="e">
        <f t="shared" si="0"/>
        <v>#DIV/0!</v>
      </c>
      <c r="H63" s="114" t="s">
        <v>126</v>
      </c>
      <c r="I63" s="119"/>
    </row>
    <row r="64" spans="4:13" x14ac:dyDescent="0.25">
      <c r="D64" t="e">
        <f t="shared" si="0"/>
        <v>#DIV/0!</v>
      </c>
      <c r="H64" s="120" t="s">
        <v>127</v>
      </c>
      <c r="I64" s="121">
        <f>I63*(1-I60)</f>
        <v>0</v>
      </c>
    </row>
    <row r="65" spans="4:9" ht="15.75" thickBot="1" x14ac:dyDescent="0.3">
      <c r="D65" t="e">
        <f t="shared" si="0"/>
        <v>#DIV/0!</v>
      </c>
      <c r="H65" s="116" t="s">
        <v>128</v>
      </c>
      <c r="I65" s="122">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2024-11-12T02:26:04Z</dcterms:modified>
</cp:coreProperties>
</file>