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05D2CBE4-70DB-45B2-8EB2-A7631A8D70A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Model!$B$24</definedName>
    <definedName name="_xlchart.v1.1" hidden="1">Model!$B$25</definedName>
    <definedName name="_xlchart.v1.10" hidden="1">Model!$L$24:$X$24</definedName>
    <definedName name="_xlchart.v1.11" hidden="1">Model!$L$25:$X$25</definedName>
    <definedName name="_xlchart.v1.12" hidden="1">Model!$L$2:$X$2</definedName>
    <definedName name="_xlchart.v1.13" hidden="1">Model!$P$24:$Z$24</definedName>
    <definedName name="_xlchart.v1.14" hidden="1">Model!$P$25:$Z$25</definedName>
    <definedName name="_xlchart.v1.15" hidden="1">Model!$P$2:$Z$2</definedName>
    <definedName name="_xlchart.v1.16" hidden="1">Model!$B$24</definedName>
    <definedName name="_xlchart.v1.17" hidden="1">Model!$B$25</definedName>
    <definedName name="_xlchart.v1.18" hidden="1">Model!$L$24:$X$24</definedName>
    <definedName name="_xlchart.v1.19" hidden="1">Model!$L$25:$X$25</definedName>
    <definedName name="_xlchart.v1.2" hidden="1">Model!$L$24:$X$24</definedName>
    <definedName name="_xlchart.v1.20" hidden="1">Model!$L$2:$X$2</definedName>
    <definedName name="_xlchart.v1.21" hidden="1">Model!$P$24:$Z$24</definedName>
    <definedName name="_xlchart.v1.22" hidden="1">Model!$P$25:$Z$25</definedName>
    <definedName name="_xlchart.v1.23" hidden="1">Model!$P$2:$Z$2</definedName>
    <definedName name="_xlchart.v1.24" hidden="1">Model!$B$5</definedName>
    <definedName name="_xlchart.v1.25" hidden="1">Model!$B$6</definedName>
    <definedName name="_xlchart.v1.26" hidden="1">Model!$L$2:$X$2</definedName>
    <definedName name="_xlchart.v1.27" hidden="1">Model!$L$5:$X$5</definedName>
    <definedName name="_xlchart.v1.28" hidden="1">Model!$L$6:$X$6</definedName>
    <definedName name="_xlchart.v1.29" hidden="1">Model!$P$2:$Z$2</definedName>
    <definedName name="_xlchart.v1.3" hidden="1">Model!$L$25:$X$25</definedName>
    <definedName name="_xlchart.v1.30" hidden="1">Model!$P$5:$Z$5</definedName>
    <definedName name="_xlchart.v1.31" hidden="1">Model!$P$6:$Z$6</definedName>
    <definedName name="_xlchart.v1.32" hidden="1">Model!$B$24</definedName>
    <definedName name="_xlchart.v1.33" hidden="1">Model!$B$25</definedName>
    <definedName name="_xlchart.v1.34" hidden="1">Model!$B$26</definedName>
    <definedName name="_xlchart.v1.35" hidden="1">Model!$L$24:$X$24</definedName>
    <definedName name="_xlchart.v1.36" hidden="1">Model!$L$26:$X$26</definedName>
    <definedName name="_xlchart.v1.37" hidden="1">Model!$L$2:$X$2</definedName>
    <definedName name="_xlchart.v1.38" hidden="1">Model!$P$24:$Z$24</definedName>
    <definedName name="_xlchart.v1.39" hidden="1">Model!$P$25:$Y$25</definedName>
    <definedName name="_xlchart.v1.4" hidden="1">Model!$L$2:$X$2</definedName>
    <definedName name="_xlchart.v1.40" hidden="1">Model!$P$25:$Z$25</definedName>
    <definedName name="_xlchart.v1.41" hidden="1">Model!$P$26:$Z$26</definedName>
    <definedName name="_xlchart.v1.42" hidden="1">Model!$P$2:$Z$2</definedName>
    <definedName name="_xlchart.v1.43" hidden="1">Model!$B$24</definedName>
    <definedName name="_xlchart.v1.44" hidden="1">Model!$B$25</definedName>
    <definedName name="_xlchart.v1.45" hidden="1">Model!$L$24:$X$24</definedName>
    <definedName name="_xlchart.v1.46" hidden="1">Model!$L$25:$X$25</definedName>
    <definedName name="_xlchart.v1.47" hidden="1">Model!$L$2:$X$2</definedName>
    <definedName name="_xlchart.v1.48" hidden="1">Model!$P$24:$Z$24</definedName>
    <definedName name="_xlchart.v1.49" hidden="1">Model!$P$25:$Z$25</definedName>
    <definedName name="_xlchart.v1.5" hidden="1">Model!$P$24:$Z$24</definedName>
    <definedName name="_xlchart.v1.50" hidden="1">Model!$P$2:$Z$2</definedName>
    <definedName name="_xlchart.v1.51" hidden="1">Model!$B$5</definedName>
    <definedName name="_xlchart.v1.52" hidden="1">Model!$B$6</definedName>
    <definedName name="_xlchart.v1.53" hidden="1">Model!$L$2:$X$2</definedName>
    <definedName name="_xlchart.v1.54" hidden="1">Model!$L$5:$X$5</definedName>
    <definedName name="_xlchart.v1.55" hidden="1">Model!$L$6:$X$6</definedName>
    <definedName name="_xlchart.v1.6" hidden="1">Model!$P$25:$Z$25</definedName>
    <definedName name="_xlchart.v1.7" hidden="1">Model!$P$2:$Z$2</definedName>
    <definedName name="_xlchart.v1.8" hidden="1">Model!$B$24</definedName>
    <definedName name="_xlchart.v1.9" hidden="1">Model!$B$25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2" l="1"/>
  <c r="P50" i="2"/>
  <c r="P43" i="2"/>
  <c r="Q50" i="2"/>
  <c r="Q43" i="2"/>
  <c r="Q42" i="2"/>
  <c r="Q49" i="2" s="1"/>
  <c r="U50" i="2"/>
  <c r="U43" i="2"/>
  <c r="U42" i="2"/>
  <c r="R50" i="2"/>
  <c r="R43" i="2"/>
  <c r="R42" i="2"/>
  <c r="R49" i="2" s="1"/>
  <c r="V50" i="2"/>
  <c r="V43" i="2"/>
  <c r="V42" i="2"/>
  <c r="S50" i="2"/>
  <c r="S22" i="2"/>
  <c r="S19" i="2"/>
  <c r="S16" i="2"/>
  <c r="S11" i="2"/>
  <c r="S5" i="2"/>
  <c r="W50" i="2"/>
  <c r="W43" i="2"/>
  <c r="S43" i="2"/>
  <c r="W22" i="2"/>
  <c r="W19" i="2"/>
  <c r="W16" i="2"/>
  <c r="W11" i="2"/>
  <c r="T25" i="2"/>
  <c r="X25" i="2"/>
  <c r="T43" i="2"/>
  <c r="V49" i="2"/>
  <c r="U49" i="2"/>
  <c r="P49" i="2"/>
  <c r="X43" i="2"/>
  <c r="P25" i="2" l="1"/>
  <c r="Q25" i="2"/>
  <c r="U25" i="2"/>
  <c r="R25" i="2"/>
  <c r="V25" i="2"/>
  <c r="Y22" i="2"/>
  <c r="X32" i="2"/>
  <c r="X31" i="2"/>
  <c r="X11" i="2"/>
  <c r="X5" i="2"/>
  <c r="X30" i="2" s="1"/>
  <c r="X70" i="2"/>
  <c r="X75" i="2" s="1"/>
  <c r="X59" i="2"/>
  <c r="X64" i="2" s="1"/>
  <c r="X53" i="2"/>
  <c r="P19" i="6"/>
  <c r="P23" i="6" s="1"/>
  <c r="Q23" i="6"/>
  <c r="Q22" i="6"/>
  <c r="Q20" i="6"/>
  <c r="Q19" i="6"/>
  <c r="Q9" i="6"/>
  <c r="D483" i="5"/>
  <c r="C21" i="1"/>
  <c r="C17" i="1"/>
  <c r="C15" i="1"/>
  <c r="C14" i="1"/>
  <c r="C10" i="1"/>
  <c r="C9" i="1"/>
  <c r="C7" i="1"/>
  <c r="C11" i="2"/>
  <c r="E78" i="2"/>
  <c r="F79" i="2"/>
  <c r="I33" i="2"/>
  <c r="P2" i="6"/>
  <c r="I20" i="6"/>
  <c r="I19" i="6"/>
  <c r="O9" i="6"/>
  <c r="N9" i="6"/>
  <c r="M9" i="6"/>
  <c r="P9" i="6"/>
  <c r="Q11" i="2"/>
  <c r="P22" i="6"/>
  <c r="M22" i="6"/>
  <c r="N22" i="6"/>
  <c r="O22" i="6"/>
  <c r="J19" i="6"/>
  <c r="J20" i="6" s="1"/>
  <c r="Q5" i="2"/>
  <c r="P5" i="2"/>
  <c r="U5" i="2"/>
  <c r="T5" i="2"/>
  <c r="R5" i="2"/>
  <c r="U32" i="2"/>
  <c r="T32" i="2"/>
  <c r="U31" i="2"/>
  <c r="T31" i="2"/>
  <c r="V32" i="2"/>
  <c r="V31" i="2"/>
  <c r="V5" i="2"/>
  <c r="W74" i="2"/>
  <c r="W73" i="2"/>
  <c r="W72" i="2"/>
  <c r="W71" i="2"/>
  <c r="W69" i="2"/>
  <c r="W68" i="2"/>
  <c r="W67" i="2"/>
  <c r="W66" i="2"/>
  <c r="W65" i="2"/>
  <c r="W63" i="2"/>
  <c r="W62" i="2"/>
  <c r="W61" i="2"/>
  <c r="W60" i="2"/>
  <c r="W58" i="2"/>
  <c r="W57" i="2"/>
  <c r="W56" i="2"/>
  <c r="W55" i="2"/>
  <c r="W54" i="2"/>
  <c r="M53" i="2"/>
  <c r="N53" i="2"/>
  <c r="O53" i="2"/>
  <c r="P53" i="2"/>
  <c r="Q53" i="2"/>
  <c r="R53" i="2"/>
  <c r="T53" i="2"/>
  <c r="U53" i="2"/>
  <c r="V53" i="2"/>
  <c r="L53" i="2"/>
  <c r="S74" i="2"/>
  <c r="S73" i="2"/>
  <c r="S72" i="2"/>
  <c r="S71" i="2"/>
  <c r="S69" i="2"/>
  <c r="S68" i="2"/>
  <c r="S67" i="2"/>
  <c r="S66" i="2"/>
  <c r="S65" i="2"/>
  <c r="S63" i="2"/>
  <c r="S62" i="2"/>
  <c r="S61" i="2"/>
  <c r="S60" i="2"/>
  <c r="S58" i="2"/>
  <c r="S57" i="2"/>
  <c r="S56" i="2"/>
  <c r="S55" i="2"/>
  <c r="S54" i="2"/>
  <c r="N19" i="6"/>
  <c r="N20" i="6" s="1"/>
  <c r="M19" i="6"/>
  <c r="M20" i="6" s="1"/>
  <c r="L19" i="6"/>
  <c r="K19" i="6"/>
  <c r="K20" i="6" s="1"/>
  <c r="O19" i="6"/>
  <c r="O20" i="6" s="1"/>
  <c r="G32" i="2"/>
  <c r="G78" i="2"/>
  <c r="C78" i="2"/>
  <c r="D78" i="2"/>
  <c r="F78" i="2"/>
  <c r="E53" i="2"/>
  <c r="D53" i="2"/>
  <c r="C53" i="2"/>
  <c r="F53" i="2"/>
  <c r="G53" i="2"/>
  <c r="G79" i="2"/>
  <c r="H53" i="2"/>
  <c r="F19" i="6"/>
  <c r="F20" i="6" s="1"/>
  <c r="E19" i="6"/>
  <c r="E20" i="6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9" i="2" s="1"/>
  <c r="M22" i="2" s="1"/>
  <c r="N11" i="2"/>
  <c r="N16" i="2" s="1"/>
  <c r="N19" i="2" s="1"/>
  <c r="N22" i="2" s="1"/>
  <c r="O11" i="2"/>
  <c r="O16" i="2" s="1"/>
  <c r="O19" i="2" s="1"/>
  <c r="O22" i="2" s="1"/>
  <c r="P11" i="2"/>
  <c r="P16" i="2" s="1"/>
  <c r="P19" i="2" s="1"/>
  <c r="P22" i="2" s="1"/>
  <c r="P24" i="2" s="1"/>
  <c r="R11" i="2"/>
  <c r="T11" i="2"/>
  <c r="U11" i="2"/>
  <c r="V11" i="2"/>
  <c r="Y11" i="2"/>
  <c r="Y16" i="2" s="1"/>
  <c r="Y19" i="2" s="1"/>
  <c r="L11" i="2"/>
  <c r="L16" i="2" s="1"/>
  <c r="L19" i="2" s="1"/>
  <c r="L22" i="2" s="1"/>
  <c r="D11" i="2"/>
  <c r="E11" i="2"/>
  <c r="F11" i="2"/>
  <c r="G11" i="2"/>
  <c r="H11" i="2"/>
  <c r="H16" i="2" s="1"/>
  <c r="H19" i="2" s="1"/>
  <c r="I11" i="2"/>
  <c r="I16" i="2" s="1"/>
  <c r="I19" i="2" s="1"/>
  <c r="C19" i="1" l="1"/>
  <c r="V38" i="2"/>
  <c r="T36" i="2"/>
  <c r="U36" i="2"/>
  <c r="T38" i="2"/>
  <c r="X29" i="2"/>
  <c r="U38" i="2"/>
  <c r="T39" i="2"/>
  <c r="V37" i="2"/>
  <c r="U37" i="2"/>
  <c r="V39" i="2"/>
  <c r="T37" i="2"/>
  <c r="U39" i="2"/>
  <c r="V36" i="2"/>
  <c r="W5" i="2"/>
  <c r="X37" i="2"/>
  <c r="X39" i="2"/>
  <c r="X27" i="2"/>
  <c r="X38" i="2"/>
  <c r="X36" i="2"/>
  <c r="X76" i="2"/>
  <c r="X16" i="2"/>
  <c r="P20" i="6"/>
  <c r="W31" i="2"/>
  <c r="W53" i="2"/>
  <c r="S53" i="2"/>
  <c r="R16" i="2"/>
  <c r="U16" i="2"/>
  <c r="T16" i="2"/>
  <c r="W32" i="2"/>
  <c r="L20" i="6"/>
  <c r="N23" i="6"/>
  <c r="M23" i="6"/>
  <c r="O23" i="6"/>
  <c r="Q16" i="2"/>
  <c r="V16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37" i="2" l="1"/>
  <c r="W39" i="2"/>
  <c r="W38" i="2"/>
  <c r="W36" i="2"/>
  <c r="X19" i="2"/>
  <c r="X22" i="2" s="1"/>
  <c r="U19" i="2"/>
  <c r="U22" i="2" s="1"/>
  <c r="U24" i="2" s="1"/>
  <c r="R19" i="2"/>
  <c r="R22" i="2" s="1"/>
  <c r="R24" i="2" s="1"/>
  <c r="Q19" i="2"/>
  <c r="Q22" i="2" s="1"/>
  <c r="Q24" i="2" s="1"/>
  <c r="T19" i="2"/>
  <c r="T22" i="2" s="1"/>
  <c r="T42" i="2" s="1"/>
  <c r="T49" i="2" s="1"/>
  <c r="T50" i="2" s="1"/>
  <c r="V19" i="2"/>
  <c r="V22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6" i="2" s="1"/>
  <c r="D5" i="2"/>
  <c r="E5" i="2"/>
  <c r="F5" i="2"/>
  <c r="G5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T29" i="2"/>
  <c r="U29" i="2"/>
  <c r="V29" i="2"/>
  <c r="W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59" i="2"/>
  <c r="L64" i="2" s="1"/>
  <c r="M59" i="2"/>
  <c r="M64" i="2" s="1"/>
  <c r="N59" i="2"/>
  <c r="N64" i="2" s="1"/>
  <c r="O59" i="2"/>
  <c r="O64" i="2" s="1"/>
  <c r="P59" i="2"/>
  <c r="P64" i="2" s="1"/>
  <c r="Q59" i="2"/>
  <c r="Q64" i="2" s="1"/>
  <c r="R59" i="2"/>
  <c r="R64" i="2" s="1"/>
  <c r="S59" i="2"/>
  <c r="S64" i="2" s="1"/>
  <c r="T59" i="2"/>
  <c r="T64" i="2" s="1"/>
  <c r="U59" i="2"/>
  <c r="U64" i="2" s="1"/>
  <c r="V59" i="2"/>
  <c r="V64" i="2" s="1"/>
  <c r="W59" i="2"/>
  <c r="W64" i="2" s="1"/>
  <c r="L70" i="2"/>
  <c r="L75" i="2" s="1"/>
  <c r="M70" i="2"/>
  <c r="M75" i="2" s="1"/>
  <c r="N70" i="2"/>
  <c r="N75" i="2" s="1"/>
  <c r="O70" i="2"/>
  <c r="O75" i="2" s="1"/>
  <c r="P70" i="2"/>
  <c r="P75" i="2" s="1"/>
  <c r="Q70" i="2"/>
  <c r="Q75" i="2" s="1"/>
  <c r="R70" i="2"/>
  <c r="R75" i="2" s="1"/>
  <c r="S70" i="2"/>
  <c r="S75" i="2" s="1"/>
  <c r="T70" i="2"/>
  <c r="T75" i="2" s="1"/>
  <c r="U70" i="2"/>
  <c r="U75" i="2" s="1"/>
  <c r="V70" i="2"/>
  <c r="V75" i="2" s="1"/>
  <c r="W70" i="2"/>
  <c r="W75" i="2" s="1"/>
  <c r="C59" i="2"/>
  <c r="C64" i="2" s="1"/>
  <c r="D59" i="2"/>
  <c r="D64" i="2" s="1"/>
  <c r="E59" i="2"/>
  <c r="E64" i="2" s="1"/>
  <c r="I28" i="2"/>
  <c r="H28" i="2"/>
  <c r="I29" i="2"/>
  <c r="E32" i="2"/>
  <c r="F32" i="2"/>
  <c r="E31" i="2"/>
  <c r="F31" i="2"/>
  <c r="G31" i="2"/>
  <c r="S24" i="2" l="1"/>
  <c r="S42" i="2"/>
  <c r="S49" i="2" s="1"/>
  <c r="S25" i="2" s="1"/>
  <c r="W24" i="2"/>
  <c r="W42" i="2"/>
  <c r="W49" i="2" s="1"/>
  <c r="W25" i="2" s="1"/>
  <c r="X24" i="2"/>
  <c r="X42" i="2"/>
  <c r="X49" i="2" s="1"/>
  <c r="X50" i="2" s="1"/>
  <c r="T24" i="2"/>
  <c r="G38" i="2"/>
  <c r="G39" i="2"/>
  <c r="G37" i="2"/>
  <c r="G36" i="2"/>
  <c r="C20" i="1"/>
  <c r="F39" i="2"/>
  <c r="F37" i="2"/>
  <c r="F38" i="2"/>
  <c r="F36" i="2"/>
  <c r="E37" i="2"/>
  <c r="E39" i="2"/>
  <c r="E36" i="2"/>
  <c r="E38" i="2"/>
  <c r="D16" i="2"/>
  <c r="D19" i="2" s="1"/>
  <c r="D22" i="2" s="1"/>
  <c r="D36" i="2"/>
  <c r="D39" i="2"/>
  <c r="D38" i="2"/>
  <c r="D37" i="2"/>
  <c r="X33" i="2"/>
  <c r="X28" i="2"/>
  <c r="P76" i="2"/>
  <c r="S76" i="2"/>
  <c r="R76" i="2"/>
  <c r="G16" i="2"/>
  <c r="C22" i="1" s="1"/>
  <c r="Q76" i="2"/>
  <c r="F16" i="2"/>
  <c r="V24" i="2"/>
  <c r="V33" i="2"/>
  <c r="C19" i="2"/>
  <c r="C22" i="2" s="1"/>
  <c r="T76" i="2"/>
  <c r="U76" i="2"/>
  <c r="V76" i="2"/>
  <c r="W76" i="2"/>
  <c r="E16" i="2"/>
  <c r="E30" i="2"/>
  <c r="K11" i="5"/>
  <c r="L28" i="2"/>
  <c r="G30" i="2"/>
  <c r="D30" i="2"/>
  <c r="C3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3" i="2"/>
  <c r="P28" i="2"/>
  <c r="S28" i="2"/>
  <c r="W33" i="2"/>
  <c r="W28" i="2"/>
  <c r="V28" i="2"/>
  <c r="U28" i="2"/>
  <c r="U33" i="2"/>
  <c r="R28" i="2"/>
  <c r="Q28" i="2"/>
  <c r="C27" i="2"/>
  <c r="H29" i="2"/>
  <c r="F27" i="2"/>
  <c r="F30" i="2"/>
  <c r="E27" i="2"/>
  <c r="D27" i="2"/>
  <c r="G27" i="2"/>
  <c r="C24" i="1" s="1"/>
  <c r="G29" i="2"/>
  <c r="G70" i="2"/>
  <c r="G59" i="2"/>
  <c r="E29" i="2"/>
  <c r="F29" i="2"/>
  <c r="D29" i="2"/>
  <c r="D70" i="2"/>
  <c r="D75" i="2" s="1"/>
  <c r="D76" i="2" s="1"/>
  <c r="E70" i="2"/>
  <c r="F59" i="2"/>
  <c r="F64" i="2" s="1"/>
  <c r="G64" i="2" l="1"/>
  <c r="C31" i="1" s="1"/>
  <c r="C29" i="1"/>
  <c r="G75" i="2"/>
  <c r="C30" i="1"/>
  <c r="F19" i="2"/>
  <c r="F22" i="2" s="1"/>
  <c r="G19" i="2"/>
  <c r="E19" i="2"/>
  <c r="E22" i="2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70" i="2"/>
  <c r="F75" i="2" s="1"/>
  <c r="F76" i="2" s="1"/>
  <c r="E75" i="2"/>
  <c r="E76" i="2" s="1"/>
  <c r="C70" i="2"/>
  <c r="C75" i="2" s="1"/>
  <c r="G76" i="2" l="1"/>
  <c r="C27" i="1" s="1"/>
  <c r="C32" i="1"/>
  <c r="C33" i="1"/>
  <c r="G22" i="2"/>
  <c r="G28" i="2" s="1"/>
  <c r="C25" i="1" s="1"/>
  <c r="C23" i="1"/>
  <c r="F33" i="2"/>
  <c r="C24" i="2"/>
  <c r="E24" i="2"/>
  <c r="D28" i="2"/>
  <c r="C34" i="1" l="1"/>
  <c r="C35" i="1"/>
  <c r="C28" i="1"/>
  <c r="G24" i="2"/>
  <c r="C28" i="2"/>
  <c r="D33" i="2"/>
  <c r="E28" i="2"/>
  <c r="F24" i="2"/>
  <c r="E33" i="2"/>
  <c r="D24" i="2"/>
  <c r="F28" i="2"/>
  <c r="C11" i="1" s="1"/>
  <c r="H33" i="2" l="1"/>
  <c r="C16" i="1"/>
  <c r="C18" i="1" s="1"/>
  <c r="C13" i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<sst xmlns="http://schemas.openxmlformats.org/spreadsheetml/2006/main" count="273" uniqueCount="240">
  <si>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</si>
  <si>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</si>
  <si>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</si>
  <si>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</si>
  <si>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</si>
  <si>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</si>
  <si>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</si>
  <si>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</si>
  <si>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</si>
  <si>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</si>
  <si>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</si>
  <si>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</si>
  <si>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</si>
  <si>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</si>
  <si>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</si>
  <si>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</si>
  <si>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</si>
  <si>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</si>
  <si>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</si>
  <si>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</si>
  <si>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</si>
  <si>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</si>
  <si>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</si>
  <si>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</si>
  <si>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</si>
  <si>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</si>
  <si>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</si>
  <si>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</si>
  <si>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</si>
  <si>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</si>
  <si>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</si>
  <si>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</si>
  <si>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</si>
  <si>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</si>
  <si>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</si>
  <si>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</si>
  <si>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</si>
  <si>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</si>
  <si>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</si>
  <si>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</si>
  <si>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</si>
  <si>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</si>
  <si>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</si>
  <si>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</si>
  <si>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</si>
  <si>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</si>
  <si>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</si>
  <si>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</si>
  <si>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</si>
  <si>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</si>
  <si>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</si>
  <si>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</si>
  <si>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</si>
  <si>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</si>
  <si>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</si>
  <si>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</si>
  <si>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</si>
  <si>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</si>
  <si>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</si>
  <si>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</si>
  <si>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</si>
  <si>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</si>
  <si>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</si>
  <si>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</si>
  <si>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</si>
  <si>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</si>
  <si>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</si>
  <si>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</si>
  <si>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</si>
  <si>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</si>
  <si>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</si>
  <si>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</si>
  <si>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</si>
  <si>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</si>
  <si>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</si>
  <si>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</si>
  <si>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</si>
  <si>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</si>
  <si>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</si>
  <si>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</si>
  <si>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</si>
  <si>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</si>
  <si>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</si>
  <si>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</si>
  <si>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</si>
  <si>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</si>
  <si>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</si>
  <si>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</si>
  <si>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</si>
  <si>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</si>
  <si>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</si>
  <si>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</si>
  <si>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</si>
  <si>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</si>
  <si>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</si>
  <si>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</si>
  <si>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</si>
  <si>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</si>
  <si>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</si>
  <si>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</si>
  <si>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</si>
  <si>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</si>
  <si>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</si>
  <si>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</si>
  <si>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</si>
  <si>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</si>
  <si>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</si>
  <si>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</si>
  <si>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</si>
  <si>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</si>
  <si>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</si>
  <si>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</si>
  <si>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</si>
  <si>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</si>
  <si>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</si>
  <si>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</si>
  <si>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</si>
  <si>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</si>
  <si>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</si>
  <si>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</si>
  <si>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</si>
  <si>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</si>
  <si>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</si>
  <si>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</si>
  <si>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</si>
  <si>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</si>
  <si>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</si>
  <si>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</si>
  <si>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</si>
  <si>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</si>
  <si>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</si>
  <si>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</si>
  <si>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</si>
  <si>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</si>
  <si>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</si>
  <si>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</si>
  <si>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Mr. Daniel Harris Meyer</t>
  </si>
  <si>
    <t>Founder &amp; Chairman of the Board of Directors</t>
  </si>
  <si>
    <t>Mr. Randall J. Garutti</t>
  </si>
  <si>
    <t>CEO &amp; Director</t>
  </si>
  <si>
    <t>Ms. Katherine Irene Fogertey</t>
  </si>
  <si>
    <t>Chief Financial Officer</t>
  </si>
  <si>
    <t>Mr. Dave Harris</t>
  </si>
  <si>
    <t>Chief Information Officer</t>
  </si>
  <si>
    <t>Mr. Michael Oriolo</t>
  </si>
  <si>
    <t>Senior Director of FP&amp;A and IR</t>
  </si>
  <si>
    <t>Mr. Ronald Palmese Jr., Esq.</t>
  </si>
  <si>
    <t>Chief Legal Officer</t>
  </si>
  <si>
    <t>Mr. Jay Livingston</t>
  </si>
  <si>
    <t>Chief Marketing Officer</t>
  </si>
  <si>
    <t>Ms. Diane Neville</t>
  </si>
  <si>
    <t>Chief People Officer</t>
  </si>
  <si>
    <t>Mr. Michael Kark</t>
  </si>
  <si>
    <t>President of Global Licensing</t>
  </si>
  <si>
    <t>Mr. Andrew McCaughan</t>
  </si>
  <si>
    <t>Chief Development Officer</t>
  </si>
  <si>
    <t>Blackrock Inc.</t>
  </si>
  <si>
    <t>15.57%</t>
  </si>
  <si>
    <t>Vanguard Group Inc</t>
  </si>
  <si>
    <t>11.32%</t>
  </si>
  <si>
    <t>12 West Capital Management Lp</t>
  </si>
  <si>
    <t>4.98%</t>
  </si>
  <si>
    <t>Gilder, Gagnon, Howe &amp; Co.</t>
  </si>
  <si>
    <t>4.32%</t>
  </si>
  <si>
    <t>Engaged Capital, LLC</t>
  </si>
  <si>
    <t>3.46%</t>
  </si>
  <si>
    <t>State Street Corporation</t>
  </si>
  <si>
    <t>3.44%</t>
  </si>
  <si>
    <t>Invesco Ltd.</t>
  </si>
  <si>
    <t>3.34%</t>
  </si>
  <si>
    <t>Champlain Investment Partners, LLC</t>
  </si>
  <si>
    <t>3.16%</t>
  </si>
  <si>
    <t>Van Berkom &amp; Associates Inc.</t>
  </si>
  <si>
    <t>2.80%</t>
  </si>
  <si>
    <t>Wellington Management Group, LLP</t>
  </si>
  <si>
    <t>2.47%</t>
  </si>
  <si>
    <t>CHAPMAN CHARLES J III</t>
  </si>
  <si>
    <t>FLUG JEFFREY S</t>
  </si>
  <si>
    <t>FOGERTEY KATHERINE IRENE</t>
  </si>
  <si>
    <t>GARUTTI RANDALL J</t>
  </si>
  <si>
    <t>LAWRENCE JEFFREY D</t>
  </si>
  <si>
    <t>LYONS JENNA</t>
  </si>
  <si>
    <t>MEYER DANIEL HARRIS</t>
  </si>
  <si>
    <t>SILVERMAN JOSHUA G</t>
  </si>
  <si>
    <t>SOKOLOFF JONATHAN D</t>
  </si>
  <si>
    <t>VIVIAN ROBERT THOMAS</t>
  </si>
  <si>
    <t>Opening of new Shacks</t>
  </si>
  <si>
    <t>Same-Shack Sales (SSS)</t>
  </si>
  <si>
    <t>Average Weekly Sales (AWS)</t>
  </si>
  <si>
    <t>500 global units</t>
  </si>
  <si>
    <t>System-wide Sales</t>
  </si>
  <si>
    <t>Planning to open 80 shacks in FY24</t>
  </si>
  <si>
    <t>Company or Licensing/Franchising</t>
  </si>
  <si>
    <t>Average Weekly Sales</t>
  </si>
  <si>
    <t>Same-Shack Sales</t>
  </si>
  <si>
    <t>Q324</t>
  </si>
  <si>
    <t>Q424</t>
  </si>
  <si>
    <t>Licensed Sales</t>
  </si>
  <si>
    <t>Locations</t>
  </si>
  <si>
    <t>Shacks comparable Base</t>
  </si>
  <si>
    <t>Company operated</t>
  </si>
  <si>
    <t>Licensed</t>
  </si>
  <si>
    <t>Domestic</t>
  </si>
  <si>
    <t>International</t>
  </si>
  <si>
    <t>Total</t>
  </si>
  <si>
    <t>Shack Sales</t>
  </si>
  <si>
    <t>Licensing Revenue</t>
  </si>
  <si>
    <t>Food &amp; Paper</t>
  </si>
  <si>
    <t>Labor &amp; related</t>
  </si>
  <si>
    <t>Occupancy</t>
  </si>
  <si>
    <t>Pre-opening Cost</t>
  </si>
  <si>
    <t>Impairment</t>
  </si>
  <si>
    <t>Other income</t>
  </si>
  <si>
    <t>Interest Expense</t>
  </si>
  <si>
    <t>Marketable Securities</t>
  </si>
  <si>
    <t>Deferred income tax</t>
  </si>
  <si>
    <t>Accrued Expense</t>
  </si>
  <si>
    <t>Accrued Wages</t>
  </si>
  <si>
    <t>Operating lease</t>
  </si>
  <si>
    <t>Long-term debt</t>
  </si>
  <si>
    <t>Long-term operating lease</t>
  </si>
  <si>
    <t>Liab under tax</t>
  </si>
  <si>
    <t>Debt y/y</t>
  </si>
  <si>
    <t>Other opex</t>
  </si>
  <si>
    <t>Shack Sales y/y</t>
  </si>
  <si>
    <t>Licensing Revenue y/y</t>
  </si>
  <si>
    <t>Company Operated y/y</t>
  </si>
  <si>
    <t>Licensing y/y</t>
  </si>
  <si>
    <t>Licensed Sales y/y</t>
  </si>
  <si>
    <t>COGS Breakdown</t>
  </si>
  <si>
    <t>Labor</t>
  </si>
  <si>
    <t>Adjusted EBITDA</t>
  </si>
  <si>
    <t>Net income before Tax</t>
  </si>
  <si>
    <t>Legal</t>
  </si>
  <si>
    <t>adj. EPS</t>
  </si>
  <si>
    <t>Reacc Non-control</t>
  </si>
  <si>
    <t>Resatement Cost</t>
  </si>
  <si>
    <t>CEO Transition</t>
  </si>
  <si>
    <t>Tax Impact</t>
  </si>
  <si>
    <t>Adj.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</si>
</sst>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8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0" fontId="0" fillId="6" borderId="0" xfId="0" applyFill="1"/>
    <xf numFmtId="10" fontId="0" fillId="0" borderId="2" xfId="1" applyNumberFormat="1" applyFont="1" applyBorder="1"/>
    <xf numFmtId="10" fontId="2" fillId="0" borderId="0" xfId="1" applyNumberFormat="1" applyFont="1" applyBorder="1"/>
    <xf numFmtId="10" fontId="0" fillId="0" borderId="0" xfId="1" applyNumberFormat="1" applyFont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12" borderId="0" xfId="0" applyFill="1"/>
    <xf numFmtId="0" fontId="0" fillId="12" borderId="1" xfId="0" applyFill="1" applyBorder="1"/>
    <xf numFmtId="9" fontId="0" fillId="12" borderId="2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9" fontId="0" fillId="0" borderId="0" xfId="1" applyFont="1" applyFill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2" fontId="0" fillId="0" borderId="0" xfId="0" applyNumberFormat="1" applyFont="1" applyAlignment="1">
      <alignment horizontal="right"/>
    </xf>
    <xf numFmtId="3" fontId="5" fillId="7" borderId="2" xfId="0" applyNumberFormat="1" applyFont="1" applyFill="1" applyBorder="1"/>
    <xf numFmtId="3" fontId="5" fillId="7" borderId="0" xfId="0" applyNumberFormat="1" applyFont="1" applyFill="1"/>
    <xf numFmtId="3" fontId="0" fillId="3" borderId="0" xfId="0" applyNumberFormat="1" applyFill="1" applyBorder="1"/>
    <xf numFmtId="3" fontId="5" fillId="3" borderId="0" xfId="0" applyNumberFormat="1" applyFont="1" applyFill="1"/>
    <xf numFmtId="9" fontId="2" fillId="0" borderId="0" xfId="1" applyFont="1"/>
    <xf numFmtId="9" fontId="2" fillId="0" borderId="2" xfId="1" applyFont="1" applyBorder="1"/>
    <xf numFmtId="0" fontId="0" fillId="0" borderId="0" xfId="0" applyFont="1"/>
    <xf numFmtId="9" fontId="1" fillId="0" borderId="0" xfId="1" applyFont="1"/>
    <xf numFmtId="9" fontId="1" fillId="0" borderId="2" xfId="1" applyFont="1" applyBorder="1"/>
    <xf numFmtId="2" fontId="0" fillId="0" borderId="0" xfId="0" applyNumberFormat="1" applyFont="1"/>
    <xf numFmtId="2" fontId="0" fillId="3" borderId="2" xfId="0" applyNumberFormat="1" applyFont="1" applyFill="1" applyBorder="1"/>
    <xf numFmtId="2" fontId="0" fillId="0" borderId="0" xfId="0" applyNumberFormat="1" applyFont="1" applyBorder="1"/>
    <xf numFmtId="2" fontId="0" fillId="0" borderId="2" xfId="0" applyNumberFormat="1" applyFont="1" applyFill="1" applyBorder="1"/>
    <xf numFmtId="2" fontId="5" fillId="0" borderId="0" xfId="0" applyNumberFormat="1" applyFont="1" applyFill="1"/>
    <xf numFmtId="0" fontId="5" fillId="0" borderId="0" xfId="0" applyFont="1" applyFill="1"/>
    <xf numFmtId="9" fontId="5" fillId="0" borderId="0" xfId="1" applyFont="1" applyFill="1"/>
    <xf numFmtId="9" fontId="5" fillId="0" borderId="0" xfId="0" applyNumberFormat="1" applyFont="1" applyFill="1"/>
    <xf numFmtId="2" fontId="0" fillId="3" borderId="0" xfId="0" applyNumberFormat="1" applyFont="1" applyFill="1" applyBorder="1"/>
    <xf numFmtId="2" fontId="0" fillId="7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5" fillId="0" borderId="2" xfId="0" applyNumberFormat="1" applyFont="1" applyFill="1" applyBorder="1"/>
    <xf numFmtId="2" fontId="0" fillId="2" borderId="0" xfId="1" applyNumberFormat="1" applyFont="1" applyFill="1" applyBorder="1"/>
    <xf numFmtId="2" fontId="0" fillId="2" borderId="2" xfId="1" applyNumberFormat="1" applyFont="1" applyFill="1" applyBorder="1"/>
    <xf numFmtId="2" fontId="1" fillId="2" borderId="0" xfId="1" applyNumberFormat="1" applyFont="1" applyFill="1" applyBorder="1"/>
    <xf numFmtId="2" fontId="1" fillId="2" borderId="2" xfId="1" applyNumberFormat="1" applyFont="1" applyFill="1" applyBorder="1"/>
    <xf numFmtId="2" fontId="2" fillId="2" borderId="0" xfId="1" applyNumberFormat="1" applyFont="1" applyFill="1" applyBorder="1"/>
    <xf numFmtId="2" fontId="2" fillId="2" borderId="2" xfId="1" applyNumberFormat="1" applyFont="1" applyFill="1" applyBorder="1"/>
    <xf numFmtId="2" fontId="2" fillId="2" borderId="0" xfId="1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F4-4205-8A2C-8C09108AF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Model!$P$2:$Z$2</c15:sqref>
                  </c15:fullRef>
                </c:ext>
              </c:extLst>
              <c:f>Model!$P$2:$Y$2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Model!$P$5:$Z$5</c15:sqref>
                  </c15:fullRef>
                </c:ext>
              </c:extLst>
              <c:f>Model!$P$5:$Y$5</c:f>
              <c:numCache>
                <c:formatCode>#,##0</c:formatCode>
                <c:ptCount val="10"/>
                <c:pt idx="0">
                  <c:v>203.39099999999999</c:v>
                </c:pt>
                <c:pt idx="1">
                  <c:v>230.75200000000001</c:v>
                </c:pt>
                <c:pt idx="2">
                  <c:v>227.81399999999999</c:v>
                </c:pt>
                <c:pt idx="3">
                  <c:v>238.529</c:v>
                </c:pt>
                <c:pt idx="4">
                  <c:v>253.27799999999999</c:v>
                </c:pt>
                <c:pt idx="5">
                  <c:v>271.80500000000001</c:v>
                </c:pt>
                <c:pt idx="6">
                  <c:v>276.20699999999999</c:v>
                </c:pt>
                <c:pt idx="7">
                  <c:v>286.24299999999999</c:v>
                </c:pt>
                <c:pt idx="8">
                  <c:v>290.50400000000002</c:v>
                </c:pt>
                <c:pt idx="9">
                  <c:v>312.69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Model!$P$29:$Z$29</c15:sqref>
                  </c15:fullRef>
                </c:ext>
              </c:extLst>
              <c:f>Model!$P$29:$Y$29</c:f>
              <c:numCache>
                <c:formatCode>0%</c:formatCode>
                <c:ptCount val="10"/>
                <c:pt idx="4">
                  <c:v>0.24527633966104689</c:v>
                </c:pt>
                <c:pt idx="5">
                  <c:v>0.1779096172514214</c:v>
                </c:pt>
                <c:pt idx="6">
                  <c:v>0.21242329268613869</c:v>
                </c:pt>
                <c:pt idx="7">
                  <c:v>0.20003437737130492</c:v>
                </c:pt>
                <c:pt idx="8">
                  <c:v>0.14697683967814035</c:v>
                </c:pt>
                <c:pt idx="9">
                  <c:v>0.15042033811004218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594.51900000000001</c:v>
                </c:pt>
                <c:pt idx="1">
                  <c:v>522.86699999999996</c:v>
                </c:pt>
                <c:pt idx="2">
                  <c:v>739.89300000000003</c:v>
                </c:pt>
                <c:pt idx="3">
                  <c:v>900.48599999999999</c:v>
                </c:pt>
                <c:pt idx="4">
                  <c:v>1087.5329999999999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-0.12052095896010062</c:v>
                </c:pt>
                <c:pt idx="2">
                  <c:v>0.41506922410479152</c:v>
                </c:pt>
                <c:pt idx="3">
                  <c:v>0.21704895167274185</c:v>
                </c:pt>
                <c:pt idx="4">
                  <c:v>0.20771783237051977</c:v>
                </c:pt>
                <c:pt idx="5">
                  <c:v>0.14939040930252245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D9-4A4A-B7B1-1FFF2BCD3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Model!$P$2:$Z$2</c15:sqref>
                  </c15:fullRef>
                </c:ext>
              </c:extLst>
              <c:f>Model!$P$2:$Y$2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Model!$P$22:$Z$22</c15:sqref>
                  </c15:fullRef>
                </c:ext>
              </c:extLst>
              <c:f>Model!$P$22:$Y$22</c:f>
              <c:numCache>
                <c:formatCode>#,##0</c:formatCode>
                <c:ptCount val="10"/>
                <c:pt idx="0">
                  <c:v>-10.162000000000003</c:v>
                </c:pt>
                <c:pt idx="1">
                  <c:v>-1.1879999999999882</c:v>
                </c:pt>
                <c:pt idx="2">
                  <c:v>-2.0240000000000218</c:v>
                </c:pt>
                <c:pt idx="3">
                  <c:v>-7.7619999999999649</c:v>
                </c:pt>
                <c:pt idx="4">
                  <c:v>-1.5339999999999927</c:v>
                </c:pt>
                <c:pt idx="5">
                  <c:v>6.9479999999999906</c:v>
                </c:pt>
                <c:pt idx="6">
                  <c:v>7.6269999999999243</c:v>
                </c:pt>
                <c:pt idx="7">
                  <c:v>6.765999999999984</c:v>
                </c:pt>
                <c:pt idx="8">
                  <c:v>2.0400000000000489</c:v>
                </c:pt>
                <c:pt idx="9">
                  <c:v>10.273900000000001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Model!$P$27:$Z$27</c15:sqref>
                  </c15:fullRef>
                </c:ext>
              </c:extLst>
              <c:f>Model!$P$27:$Y$27</c:f>
              <c:numCache>
                <c:formatCode>0%</c:formatCode>
                <c:ptCount val="10"/>
                <c:pt idx="0">
                  <c:v>0.17992438210146944</c:v>
                </c:pt>
                <c:pt idx="1">
                  <c:v>0.21714221328525862</c:v>
                </c:pt>
                <c:pt idx="2">
                  <c:v>0.19482999288893565</c:v>
                </c:pt>
                <c:pt idx="3">
                  <c:v>0.21926055112795517</c:v>
                </c:pt>
                <c:pt idx="4">
                  <c:v>0.2121108031491088</c:v>
                </c:pt>
                <c:pt idx="5">
                  <c:v>0.23891024815584705</c:v>
                </c:pt>
                <c:pt idx="6">
                  <c:v>0.2360077767761134</c:v>
                </c:pt>
                <c:pt idx="7">
                  <c:v>0.22741516823118813</c:v>
                </c:pt>
                <c:pt idx="8">
                  <c:v>0.22270949797593165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Model!$C$22:$H$22</c:f>
              <c:numCache>
                <c:formatCode>#,##0</c:formatCode>
                <c:ptCount val="6"/>
                <c:pt idx="0">
                  <c:v>19.827000000000059</c:v>
                </c:pt>
                <c:pt idx="1">
                  <c:v>-42.158000000000087</c:v>
                </c:pt>
                <c:pt idx="2">
                  <c:v>-4.560999999999952</c:v>
                </c:pt>
                <c:pt idx="3">
                  <c:v>-21.229000000000003</c:v>
                </c:pt>
                <c:pt idx="4">
                  <c:v>20.263999999999591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Model!$C$33:$H$33</c:f>
              <c:numCache>
                <c:formatCode>0%</c:formatCode>
                <c:ptCount val="6"/>
                <c:pt idx="1">
                  <c:v>3.1262924295153054</c:v>
                </c:pt>
                <c:pt idx="2">
                  <c:v>0.891811755775892</c:v>
                </c:pt>
                <c:pt idx="3">
                  <c:v>-5.6544617408463553</c:v>
                </c:pt>
                <c:pt idx="4">
                  <c:v>1</c:v>
                </c:pt>
                <c:pt idx="5">
                  <c:v>0.3227852348993554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Model!$P$2:$Z$2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Model!$P$30:$Z$30</c:f>
              <c:numCache>
                <c:formatCode>0%</c:formatCode>
                <c:ptCount val="11"/>
                <c:pt idx="0">
                  <c:v>0.154313612696727</c:v>
                </c:pt>
                <c:pt idx="1">
                  <c:v>0.12778654139509082</c:v>
                </c:pt>
                <c:pt idx="2">
                  <c:v>0.11821485949063711</c:v>
                </c:pt>
                <c:pt idx="3">
                  <c:v>0.13501502961904002</c:v>
                </c:pt>
                <c:pt idx="4">
                  <c:v>0.1236230545092744</c:v>
                </c:pt>
                <c:pt idx="5">
                  <c:v>0.11580360920512867</c:v>
                </c:pt>
                <c:pt idx="6">
                  <c:v>0.11201381572516265</c:v>
                </c:pt>
                <c:pt idx="7">
                  <c:v>0.12512445719196627</c:v>
                </c:pt>
                <c:pt idx="8">
                  <c:v>0.12372979373777986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-21,50%</c:v>
                </c:pt>
                <c:pt idx="1">
                  <c:v>-21,50% to -17,11%</c:v>
                </c:pt>
                <c:pt idx="2">
                  <c:v>-17,11% to -12,73%</c:v>
                </c:pt>
                <c:pt idx="3">
                  <c:v>-12,73% to -8,35%</c:v>
                </c:pt>
                <c:pt idx="4">
                  <c:v>-8,35% to -3,96%</c:v>
                </c:pt>
                <c:pt idx="5">
                  <c:v>-3,96% to 0,42%</c:v>
                </c:pt>
                <c:pt idx="6">
                  <c:v>0,42% to 4,81%</c:v>
                </c:pt>
                <c:pt idx="7">
                  <c:v>4,81% to 9,19%</c:v>
                </c:pt>
                <c:pt idx="8">
                  <c:v>9,19% to 13,57%</c:v>
                </c:pt>
                <c:pt idx="9">
                  <c:v>13,57% to 17,96%</c:v>
                </c:pt>
                <c:pt idx="10">
                  <c:v>17,96% to 22,34%</c:v>
                </c:pt>
                <c:pt idx="11">
                  <c:v>Greater than 22,34%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69</c:v>
                </c:pt>
                <c:pt idx="5">
                  <c:v>153</c:v>
                </c:pt>
                <c:pt idx="6">
                  <c:v>125</c:v>
                </c:pt>
                <c:pt idx="7">
                  <c:v>53</c:v>
                </c:pt>
                <c:pt idx="8">
                  <c:v>26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_xlchart.v1.42</cx:f>
      </cx:strDim>
      <cx:numDim type="val">
        <cx:f dir="row">_xlchart.v1.41</cx:f>
      </cx:numDim>
    </cx:data>
    <cx:data id="1">
      <cx:strDim type="cat">
        <cx:f dir="row">_xlchart.v1.42</cx:f>
      </cx:strDim>
      <cx:numDim type="val">
        <cx:f dir="row">_xlchart.v1.40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_xlchart.v1.34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_xlchart.v1.33</cx:f>
              <cx:v>adj.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_xlchart.v1.31</cx:f>
      </cx:numDim>
    </cx:data>
    <cx:data id="1">
      <cx:strDim type="cat">
        <cx:f dir="row">_xlchart.v1.29</cx:f>
      </cx:strDim>
      <cx:numDim type="val">
        <cx:f dir="row">_xlchart.v1.30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_xlchart.v1.25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_xlchart.v1.24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G23" sqref="G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56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45400</v>
      </c>
      <c r="E3" s="5" t="s">
        <v>156</v>
      </c>
      <c r="F3" s="28" t="s">
        <v>157</v>
      </c>
      <c r="H3" t="s">
        <v>176</v>
      </c>
      <c r="I3" s="10">
        <v>1619</v>
      </c>
      <c r="J3" s="39"/>
      <c r="L3" s="5" t="s">
        <v>136</v>
      </c>
      <c r="M3" t="s">
        <v>137</v>
      </c>
      <c r="N3" s="38"/>
    </row>
    <row r="4" spans="2:14" x14ac:dyDescent="0.25">
      <c r="B4" s="5"/>
      <c r="C4" s="21">
        <v>0.75763888888888886</v>
      </c>
      <c r="E4" s="5" t="s">
        <v>158</v>
      </c>
      <c r="F4" s="28" t="s">
        <v>159</v>
      </c>
      <c r="H4" t="s">
        <v>177</v>
      </c>
      <c r="I4" s="10">
        <v>3754</v>
      </c>
      <c r="J4" s="39"/>
      <c r="L4" s="5" t="s">
        <v>138</v>
      </c>
      <c r="M4" t="s">
        <v>139</v>
      </c>
      <c r="N4" s="13"/>
    </row>
    <row r="5" spans="2:14" x14ac:dyDescent="0.25">
      <c r="B5" s="5"/>
      <c r="C5" s="13"/>
      <c r="E5" s="5" t="s">
        <v>160</v>
      </c>
      <c r="F5" s="28" t="s">
        <v>161</v>
      </c>
      <c r="H5" t="s">
        <v>178</v>
      </c>
      <c r="I5" s="10">
        <v>40664</v>
      </c>
      <c r="J5" s="39"/>
      <c r="L5" s="5" t="s">
        <v>140</v>
      </c>
      <c r="M5" t="s">
        <v>141</v>
      </c>
      <c r="N5" s="13"/>
    </row>
    <row r="6" spans="2:14" x14ac:dyDescent="0.25">
      <c r="B6" s="5" t="s">
        <v>0</v>
      </c>
      <c r="C6" s="13">
        <v>96.53</v>
      </c>
      <c r="E6" s="5" t="s">
        <v>162</v>
      </c>
      <c r="F6" s="28" t="s">
        <v>163</v>
      </c>
      <c r="H6" t="s">
        <v>179</v>
      </c>
      <c r="I6" s="10">
        <v>293523</v>
      </c>
      <c r="J6" s="39"/>
      <c r="L6" s="5" t="s">
        <v>142</v>
      </c>
      <c r="M6" t="s">
        <v>143</v>
      </c>
      <c r="N6" s="13"/>
    </row>
    <row r="7" spans="2:14" x14ac:dyDescent="0.25">
      <c r="B7" s="5" t="s">
        <v>1</v>
      </c>
      <c r="C7" s="15">
        <f>Model!G23</f>
        <v>39.418999999999997</v>
      </c>
      <c r="E7" s="5" t="s">
        <v>164</v>
      </c>
      <c r="F7" s="28" t="s">
        <v>165</v>
      </c>
      <c r="H7" t="s">
        <v>180</v>
      </c>
      <c r="I7" s="10">
        <v>1610</v>
      </c>
      <c r="J7" s="39"/>
      <c r="L7" s="5" t="s">
        <v>144</v>
      </c>
      <c r="M7" t="s">
        <v>145</v>
      </c>
      <c r="N7" s="13"/>
    </row>
    <row r="8" spans="2:14" x14ac:dyDescent="0.25">
      <c r="B8" s="5" t="s">
        <v>2</v>
      </c>
      <c r="C8" s="15">
        <f>C6*C7</f>
        <v>3805.1160699999996</v>
      </c>
      <c r="E8" s="5" t="s">
        <v>166</v>
      </c>
      <c r="F8" s="28" t="s">
        <v>167</v>
      </c>
      <c r="H8" t="s">
        <v>181</v>
      </c>
      <c r="I8" s="10">
        <v>8273</v>
      </c>
      <c r="J8" s="39"/>
      <c r="L8" s="5" t="s">
        <v>146</v>
      </c>
      <c r="M8" t="s">
        <v>147</v>
      </c>
      <c r="N8" s="13"/>
    </row>
    <row r="9" spans="2:14" x14ac:dyDescent="0.25">
      <c r="B9" s="5" t="s">
        <v>3</v>
      </c>
      <c r="C9" s="15">
        <f>Model!G54+Model!G55</f>
        <v>293.214</v>
      </c>
      <c r="E9" s="5" t="s">
        <v>168</v>
      </c>
      <c r="F9" s="28" t="s">
        <v>169</v>
      </c>
      <c r="H9" t="s">
        <v>182</v>
      </c>
      <c r="I9" s="10">
        <v>0</v>
      </c>
      <c r="J9" s="39"/>
      <c r="L9" s="5" t="s">
        <v>148</v>
      </c>
      <c r="M9" t="s">
        <v>149</v>
      </c>
      <c r="N9" s="13"/>
    </row>
    <row r="10" spans="2:14" x14ac:dyDescent="0.25">
      <c r="B10" s="5" t="s">
        <v>4</v>
      </c>
      <c r="C10" s="15">
        <f>Model!G71</f>
        <v>245.636</v>
      </c>
      <c r="E10" s="5" t="s">
        <v>170</v>
      </c>
      <c r="F10" s="28" t="s">
        <v>171</v>
      </c>
      <c r="H10" t="s">
        <v>183</v>
      </c>
      <c r="I10" s="10">
        <v>7865</v>
      </c>
      <c r="J10" s="39"/>
      <c r="L10" s="5" t="s">
        <v>150</v>
      </c>
      <c r="M10" t="s">
        <v>151</v>
      </c>
      <c r="N10" s="13"/>
    </row>
    <row r="11" spans="2:14" x14ac:dyDescent="0.25">
      <c r="B11" s="5" t="s">
        <v>39</v>
      </c>
      <c r="C11" s="15">
        <f>C9-C10</f>
        <v>47.578000000000003</v>
      </c>
      <c r="E11" s="5" t="s">
        <v>172</v>
      </c>
      <c r="F11" s="28" t="s">
        <v>173</v>
      </c>
      <c r="H11" t="s">
        <v>184</v>
      </c>
      <c r="I11" s="10">
        <v>5616</v>
      </c>
      <c r="J11" s="39"/>
      <c r="L11" s="5" t="s">
        <v>152</v>
      </c>
      <c r="M11" t="s">
        <v>153</v>
      </c>
      <c r="N11" s="13"/>
    </row>
    <row r="12" spans="2:14" x14ac:dyDescent="0.25">
      <c r="B12" s="5" t="s">
        <v>5</v>
      </c>
      <c r="C12" s="15">
        <f>C8-C9+C10</f>
        <v>3757.5380699999996</v>
      </c>
      <c r="E12" s="5" t="s">
        <v>174</v>
      </c>
      <c r="F12" s="28" t="s">
        <v>175</v>
      </c>
      <c r="H12" t="s">
        <v>185</v>
      </c>
      <c r="I12" s="10">
        <v>33487</v>
      </c>
      <c r="J12" s="13"/>
      <c r="L12" s="5" t="s">
        <v>154</v>
      </c>
      <c r="M12" t="s">
        <v>155</v>
      </c>
      <c r="N12" s="13"/>
    </row>
    <row r="13" spans="2:14" x14ac:dyDescent="0.25">
      <c r="B13" s="5" t="s">
        <v>50</v>
      </c>
      <c r="C13" s="36">
        <f>C6/Model!G24</f>
        <v>187.77714518358056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C6/Model!H26</f>
        <v>141.95588235294116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C6/Model!I26</f>
        <v>101.61052631578949</v>
      </c>
    </row>
    <row r="16" spans="2:14" x14ac:dyDescent="0.25">
      <c r="B16" s="5" t="s">
        <v>46</v>
      </c>
      <c r="C16" s="6">
        <f>Model!H26/Model!G24-1</f>
        <v>0.3227852348993554</v>
      </c>
    </row>
    <row r="17" spans="2:14" x14ac:dyDescent="0.25">
      <c r="B17" s="5" t="s">
        <v>47</v>
      </c>
      <c r="C17" s="6">
        <f>Model!I26/Model!H26-1</f>
        <v>0.39705882352941169</v>
      </c>
      <c r="E17" s="33" t="s">
        <v>57</v>
      </c>
      <c r="L17" s="130"/>
      <c r="M17" s="131"/>
      <c r="N17" s="132"/>
    </row>
    <row r="18" spans="2:14" x14ac:dyDescent="0.25">
      <c r="B18" s="5" t="s">
        <v>71</v>
      </c>
      <c r="C18" s="49">
        <f>C14/(C16*100)</f>
        <v>4.3978431168700478</v>
      </c>
      <c r="E18" t="s">
        <v>186</v>
      </c>
      <c r="L18" s="133"/>
      <c r="M18" s="134"/>
      <c r="N18" s="135"/>
    </row>
    <row r="19" spans="2:14" x14ac:dyDescent="0.25">
      <c r="B19" s="5" t="s">
        <v>72</v>
      </c>
      <c r="C19" s="49">
        <f>C15/(C17*100)</f>
        <v>2.5590799220272915</v>
      </c>
      <c r="E19" t="s">
        <v>187</v>
      </c>
      <c r="L19" s="133"/>
      <c r="M19" s="134"/>
      <c r="N19" s="135"/>
    </row>
    <row r="20" spans="2:14" x14ac:dyDescent="0.25">
      <c r="B20" s="5" t="s">
        <v>82</v>
      </c>
      <c r="C20" s="6">
        <f>Model!H6/Model!G5-1</f>
        <v>0.14939040930252245</v>
      </c>
      <c r="E20" t="s">
        <v>188</v>
      </c>
      <c r="L20" s="133"/>
      <c r="M20" s="134"/>
      <c r="N20" s="135"/>
    </row>
    <row r="21" spans="2:14" x14ac:dyDescent="0.25">
      <c r="B21" s="5" t="s">
        <v>83</v>
      </c>
      <c r="C21" s="6">
        <f>Model!I6/Model!H6-1</f>
        <v>0.15199999999999991</v>
      </c>
      <c r="L21" s="133"/>
      <c r="M21" s="134"/>
      <c r="N21" s="135"/>
    </row>
    <row r="22" spans="2:14" x14ac:dyDescent="0.25">
      <c r="B22" s="5" t="s">
        <v>73</v>
      </c>
      <c r="C22" s="15">
        <f>Model!G16+Model!G13</f>
        <v>97.162999999999599</v>
      </c>
      <c r="L22" s="133"/>
      <c r="M22" s="134"/>
      <c r="N22" s="135"/>
    </row>
    <row r="23" spans="2:14" x14ac:dyDescent="0.25">
      <c r="B23" s="5" t="s">
        <v>19</v>
      </c>
      <c r="C23" s="15">
        <f>Model!G19</f>
        <v>16.979999999999592</v>
      </c>
      <c r="L23" s="133"/>
      <c r="M23" s="134"/>
      <c r="N23" s="135"/>
    </row>
    <row r="24" spans="2:14" x14ac:dyDescent="0.25">
      <c r="B24" s="5" t="s">
        <v>31</v>
      </c>
      <c r="C24" s="7">
        <f>Model!G27</f>
        <v>0.2289061573303981</v>
      </c>
      <c r="L24" s="133"/>
      <c r="M24" s="134"/>
      <c r="N24" s="135"/>
    </row>
    <row r="25" spans="2:14" x14ac:dyDescent="0.25">
      <c r="B25" s="5" t="s">
        <v>32</v>
      </c>
      <c r="C25" s="7">
        <f>Model!G28</f>
        <v>1.8632997803284677E-2</v>
      </c>
      <c r="L25" s="133"/>
      <c r="M25" s="134"/>
      <c r="N25" s="135"/>
    </row>
    <row r="26" spans="2:14" x14ac:dyDescent="0.25">
      <c r="B26" s="5" t="s">
        <v>74</v>
      </c>
      <c r="C26" s="36">
        <f>C12/C23</f>
        <v>221.29199469965195</v>
      </c>
      <c r="L26" s="133"/>
      <c r="M26" s="134"/>
      <c r="N26" s="135"/>
    </row>
    <row r="27" spans="2:14" x14ac:dyDescent="0.25">
      <c r="B27" s="5" t="s">
        <v>84</v>
      </c>
      <c r="C27" s="116">
        <f>Model!G71/Model!G76</f>
        <v>0.52333127383514055</v>
      </c>
      <c r="E27" t="s">
        <v>76</v>
      </c>
      <c r="L27" s="133"/>
      <c r="M27" s="134"/>
      <c r="N27" s="135"/>
    </row>
    <row r="28" spans="2:14" x14ac:dyDescent="0.25">
      <c r="B28" s="5" t="s">
        <v>85</v>
      </c>
      <c r="C28" s="36">
        <f>Model!G22/-Model!G18</f>
        <v>11.801980198019564</v>
      </c>
      <c r="E28" t="s">
        <v>189</v>
      </c>
      <c r="L28" s="136"/>
      <c r="M28" s="137"/>
      <c r="N28" s="138"/>
    </row>
    <row r="29" spans="2:14" x14ac:dyDescent="0.25">
      <c r="B29" s="5" t="s">
        <v>86</v>
      </c>
      <c r="C29" s="36">
        <f>Model!G59/Model!G70</f>
        <v>2.038386756629913</v>
      </c>
      <c r="E29" t="s">
        <v>191</v>
      </c>
    </row>
    <row r="30" spans="2:14" x14ac:dyDescent="0.25">
      <c r="B30" s="5" t="s">
        <v>87</v>
      </c>
      <c r="C30" s="36">
        <f>(Model!G54+Model!G55+Model!G56)/Model!G70</f>
        <v>1.8898437833324189</v>
      </c>
      <c r="E30" t="s">
        <v>192</v>
      </c>
    </row>
    <row r="31" spans="2:14" x14ac:dyDescent="0.25">
      <c r="B31" s="128" t="s">
        <v>88</v>
      </c>
      <c r="C31" s="129">
        <f>(Model!G59-Model!G70)/Model!G64</f>
        <v>0.10608977013519881</v>
      </c>
    </row>
    <row r="32" spans="2:14" x14ac:dyDescent="0.25">
      <c r="B32" s="5" t="s">
        <v>89</v>
      </c>
      <c r="C32" s="36">
        <f>(Model!G64-Model!G75)/Main!C7</f>
        <v>11.907202110657302</v>
      </c>
    </row>
    <row r="33" spans="2:3" x14ac:dyDescent="0.25">
      <c r="B33" s="5" t="s">
        <v>90</v>
      </c>
      <c r="C33" s="36">
        <f>Model!G5/Model!G64</f>
        <v>0.67722904343288348</v>
      </c>
    </row>
    <row r="34" spans="2:3" x14ac:dyDescent="0.25">
      <c r="B34" s="5" t="s">
        <v>91</v>
      </c>
      <c r="C34" s="39">
        <f>Model!G22/Model!G64</f>
        <v>1.2618807278605499E-2</v>
      </c>
    </row>
    <row r="35" spans="2:3" x14ac:dyDescent="0.25">
      <c r="B35" s="5" t="s">
        <v>92</v>
      </c>
      <c r="C35" s="39">
        <f>Model!G22/Model!G76</f>
        <v>4.3172763491487708E-2</v>
      </c>
    </row>
    <row r="36" spans="2:3" x14ac:dyDescent="0.25">
      <c r="B36" s="22" t="s">
        <v>93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97"/>
  <sheetViews>
    <sheetView zoomScaleNormal="100" workbookViewId="0">
      <pane xSplit="2" ySplit="2" topLeftCell="J3" activePane="bottomRight" state="frozen"/>
      <selection pane="topRight" activeCell="B1" sqref="B1"/>
      <selection pane="bottomLeft" activeCell="A3" sqref="A3"/>
      <selection pane="bottomRight" activeCell="A30" sqref="A30:XFD30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0"/>
    <col min="24" max="24" width="11.42578125" style="13"/>
  </cols>
  <sheetData>
    <row r="1" spans="1:26" x14ac:dyDescent="0.25">
      <c r="A1" s="8" t="s">
        <v>40</v>
      </c>
    </row>
    <row r="2" spans="1:26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70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50" t="s">
        <v>43</v>
      </c>
      <c r="X2" s="13" t="s">
        <v>66</v>
      </c>
      <c r="Y2" t="s">
        <v>69</v>
      </c>
      <c r="Z2" t="s">
        <v>195</v>
      </c>
    </row>
    <row r="3" spans="1:26" x14ac:dyDescent="0.25">
      <c r="B3" s="9" t="s">
        <v>205</v>
      </c>
      <c r="C3" s="10">
        <v>574.625</v>
      </c>
      <c r="D3" s="10">
        <v>506.339</v>
      </c>
      <c r="E3" s="10">
        <v>714.98900000000003</v>
      </c>
      <c r="F3" s="10">
        <v>869.27</v>
      </c>
      <c r="G3" s="15">
        <v>1046.819</v>
      </c>
      <c r="P3" s="10">
        <v>196.791</v>
      </c>
      <c r="Q3" s="10">
        <v>223.054</v>
      </c>
      <c r="R3" s="10">
        <v>219.501</v>
      </c>
      <c r="S3" s="10">
        <v>229.92400000000001</v>
      </c>
      <c r="T3" s="10">
        <v>244.25399999999999</v>
      </c>
      <c r="U3" s="10">
        <v>261.81</v>
      </c>
      <c r="V3" s="10">
        <v>264.98</v>
      </c>
      <c r="W3" s="151">
        <v>275.77499999999998</v>
      </c>
      <c r="X3" s="15">
        <v>280.55200000000002</v>
      </c>
    </row>
    <row r="4" spans="1:26" x14ac:dyDescent="0.25">
      <c r="B4" s="9" t="s">
        <v>206</v>
      </c>
      <c r="C4" s="10">
        <v>19.893999999999998</v>
      </c>
      <c r="D4" s="10">
        <v>16.527999999999999</v>
      </c>
      <c r="E4" s="10">
        <v>24.904</v>
      </c>
      <c r="F4" s="10">
        <v>31.216000000000001</v>
      </c>
      <c r="G4" s="15">
        <v>40.713999999999999</v>
      </c>
      <c r="P4" s="10">
        <v>6.6</v>
      </c>
      <c r="Q4" s="10">
        <v>7.6980000000000004</v>
      </c>
      <c r="R4" s="10">
        <v>8.3130000000000006</v>
      </c>
      <c r="S4" s="10">
        <v>8.6050000000000004</v>
      </c>
      <c r="T4" s="10">
        <v>9.0239999999999991</v>
      </c>
      <c r="U4" s="10">
        <v>9.9949999999999992</v>
      </c>
      <c r="V4" s="10">
        <v>11.227</v>
      </c>
      <c r="W4" s="151">
        <v>10.468</v>
      </c>
      <c r="X4" s="15">
        <v>9.952</v>
      </c>
    </row>
    <row r="5" spans="1:26" s="1" customFormat="1" x14ac:dyDescent="0.25">
      <c r="B5" s="1" t="s">
        <v>17</v>
      </c>
      <c r="C5" s="11">
        <f>SUM(C3:C4)</f>
        <v>594.51900000000001</v>
      </c>
      <c r="D5" s="11">
        <f>SUM(D3:D4)</f>
        <v>522.86699999999996</v>
      </c>
      <c r="E5" s="11">
        <f>SUM(E3:E4)</f>
        <v>739.89300000000003</v>
      </c>
      <c r="F5" s="11">
        <f>SUM(F3:F4)</f>
        <v>900.48599999999999</v>
      </c>
      <c r="G5" s="14">
        <f>SUM(G3:G4)</f>
        <v>1087.5329999999999</v>
      </c>
      <c r="H5" s="44"/>
      <c r="I5" s="44"/>
      <c r="L5" s="11"/>
      <c r="M5" s="11"/>
      <c r="N5" s="11"/>
      <c r="O5" s="11"/>
      <c r="P5" s="11">
        <f t="shared" ref="P5:Q5" si="0">SUM(P3:P4)</f>
        <v>203.39099999999999</v>
      </c>
      <c r="Q5" s="11">
        <f t="shared" si="0"/>
        <v>230.75200000000001</v>
      </c>
      <c r="R5" s="11">
        <f>SUM(R3:R4)</f>
        <v>227.81399999999999</v>
      </c>
      <c r="S5" s="11">
        <f>SUM(S3:S4)</f>
        <v>238.529</v>
      </c>
      <c r="T5" s="11">
        <f t="shared" ref="S5:U5" si="1">SUM(T3:T4)</f>
        <v>253.27799999999999</v>
      </c>
      <c r="U5" s="11">
        <f t="shared" si="1"/>
        <v>271.80500000000001</v>
      </c>
      <c r="V5" s="11">
        <f>SUM(V3:V4)</f>
        <v>276.20699999999999</v>
      </c>
      <c r="W5" s="152">
        <f>SUM(W3:W4)</f>
        <v>286.24299999999999</v>
      </c>
      <c r="X5" s="14">
        <f>SUM(X3:X4)</f>
        <v>290.50400000000002</v>
      </c>
      <c r="Y5" s="41">
        <v>312.69</v>
      </c>
    </row>
    <row r="6" spans="1:26" x14ac:dyDescent="0.25">
      <c r="B6" s="9" t="s">
        <v>68</v>
      </c>
      <c r="C6" s="10"/>
      <c r="D6" s="10"/>
      <c r="E6" s="10"/>
      <c r="F6" s="10"/>
      <c r="G6" s="15"/>
      <c r="H6" s="43">
        <v>1250</v>
      </c>
      <c r="I6" s="43">
        <v>1440</v>
      </c>
      <c r="L6" s="41"/>
      <c r="M6" s="41"/>
      <c r="N6" s="41"/>
      <c r="O6" s="41"/>
      <c r="P6" s="161">
        <v>200.76</v>
      </c>
      <c r="Q6" s="159">
        <v>238.3</v>
      </c>
      <c r="R6" s="161">
        <v>225.89</v>
      </c>
      <c r="S6" s="161">
        <v>238.5</v>
      </c>
      <c r="T6" s="161">
        <v>245.84</v>
      </c>
      <c r="U6" s="159">
        <v>274.39</v>
      </c>
      <c r="V6" s="161">
        <v>275.81</v>
      </c>
      <c r="W6" s="160">
        <v>280.24</v>
      </c>
      <c r="X6" s="158">
        <v>290.66000000000003</v>
      </c>
      <c r="Y6" s="41">
        <v>312.69</v>
      </c>
    </row>
    <row r="7" spans="1:26" x14ac:dyDescent="0.25">
      <c r="B7" s="9" t="s">
        <v>207</v>
      </c>
      <c r="C7" s="10">
        <v>168.17599999999999</v>
      </c>
      <c r="D7" s="10">
        <v>153.33500000000001</v>
      </c>
      <c r="E7" s="10">
        <v>218.262</v>
      </c>
      <c r="F7" s="10">
        <v>261.584</v>
      </c>
      <c r="G7" s="15">
        <v>305.041</v>
      </c>
      <c r="H7" s="41"/>
      <c r="I7" s="41"/>
      <c r="L7" s="41"/>
      <c r="M7" s="10"/>
      <c r="N7" s="10"/>
      <c r="O7" s="10"/>
      <c r="P7" s="10">
        <v>59.884</v>
      </c>
      <c r="Q7" s="10">
        <v>65.986999999999995</v>
      </c>
      <c r="R7" s="10">
        <v>67.774000000000001</v>
      </c>
      <c r="S7" s="10">
        <v>67.938999999999993</v>
      </c>
      <c r="T7" s="10">
        <v>71.772000000000006</v>
      </c>
      <c r="U7" s="10">
        <v>75.8</v>
      </c>
      <c r="V7" s="10">
        <v>77.180000000000007</v>
      </c>
      <c r="W7" s="151">
        <v>80.289000000000001</v>
      </c>
      <c r="X7" s="15">
        <v>80.253</v>
      </c>
      <c r="Y7" s="41"/>
    </row>
    <row r="8" spans="1:26" x14ac:dyDescent="0.25">
      <c r="B8" s="9" t="s">
        <v>208</v>
      </c>
      <c r="C8" s="10">
        <v>160.81100000000001</v>
      </c>
      <c r="D8" s="10">
        <v>156.81399999999999</v>
      </c>
      <c r="E8" s="10">
        <v>215.114</v>
      </c>
      <c r="F8" s="10">
        <v>257.358</v>
      </c>
      <c r="G8" s="15">
        <v>304.25400000000002</v>
      </c>
      <c r="H8" s="41"/>
      <c r="I8" s="41"/>
      <c r="L8" s="41"/>
      <c r="M8" s="10"/>
      <c r="N8" s="10"/>
      <c r="O8" s="10"/>
      <c r="P8" s="10">
        <v>60.465000000000003</v>
      </c>
      <c r="Q8" s="10">
        <v>65.850999999999999</v>
      </c>
      <c r="R8" s="10">
        <v>64.638000000000005</v>
      </c>
      <c r="S8" s="10">
        <v>66.403999999999996</v>
      </c>
      <c r="T8" s="10">
        <v>74.263999999999996</v>
      </c>
      <c r="U8" s="10">
        <v>75.158000000000001</v>
      </c>
      <c r="V8" s="10">
        <v>76.233000000000004</v>
      </c>
      <c r="W8" s="151">
        <v>78.599000000000004</v>
      </c>
      <c r="X8" s="15">
        <v>81.509</v>
      </c>
      <c r="Y8" s="41"/>
    </row>
    <row r="9" spans="1:26" x14ac:dyDescent="0.25">
      <c r="B9" s="9" t="s">
        <v>223</v>
      </c>
      <c r="C9" s="10">
        <v>69.168999999999997</v>
      </c>
      <c r="D9" s="10">
        <v>73.22</v>
      </c>
      <c r="E9" s="10">
        <v>102.032</v>
      </c>
      <c r="F9" s="10">
        <v>129.65</v>
      </c>
      <c r="G9" s="15">
        <v>149.44900000000001</v>
      </c>
      <c r="H9" s="41"/>
      <c r="I9" s="41"/>
      <c r="L9" s="41"/>
      <c r="M9" s="10"/>
      <c r="N9" s="10"/>
      <c r="O9" s="10"/>
      <c r="P9" s="10">
        <v>30.170999999999999</v>
      </c>
      <c r="Q9" s="10">
        <v>32.151000000000003</v>
      </c>
      <c r="R9" s="10">
        <v>33.68</v>
      </c>
      <c r="S9" s="10">
        <v>33.648000000000003</v>
      </c>
      <c r="T9" s="10">
        <v>34.936</v>
      </c>
      <c r="U9" s="10">
        <v>36.109000000000002</v>
      </c>
      <c r="V9" s="10">
        <v>37.307000000000002</v>
      </c>
      <c r="W9" s="151">
        <v>41.097000000000001</v>
      </c>
      <c r="X9" s="15">
        <v>41.856000000000002</v>
      </c>
      <c r="Y9" s="41"/>
    </row>
    <row r="10" spans="1:26" x14ac:dyDescent="0.25">
      <c r="B10" s="9" t="s">
        <v>209</v>
      </c>
      <c r="C10" s="10">
        <v>48.451000000000001</v>
      </c>
      <c r="D10" s="10">
        <v>51.591999999999999</v>
      </c>
      <c r="E10" s="10">
        <v>59.228000000000002</v>
      </c>
      <c r="F10" s="10">
        <v>68.507999999999996</v>
      </c>
      <c r="G10" s="15">
        <v>79.846000000000004</v>
      </c>
      <c r="H10" s="41"/>
      <c r="I10" s="41"/>
      <c r="L10" s="41"/>
      <c r="M10" s="10"/>
      <c r="N10" s="10"/>
      <c r="O10" s="10"/>
      <c r="P10" s="10">
        <v>16.276</v>
      </c>
      <c r="Q10" s="10">
        <v>16.657</v>
      </c>
      <c r="R10" s="10">
        <v>17.337</v>
      </c>
      <c r="S10" s="10">
        <v>18.238</v>
      </c>
      <c r="T10" s="10">
        <v>18.582999999999998</v>
      </c>
      <c r="U10" s="10">
        <v>19.800999999999998</v>
      </c>
      <c r="V10" s="10">
        <v>20.3</v>
      </c>
      <c r="W10" s="151">
        <v>21.161999999999999</v>
      </c>
      <c r="X10" s="15">
        <v>22.187999999999999</v>
      </c>
      <c r="Y10" s="41"/>
    </row>
    <row r="11" spans="1:26" s="1" customFormat="1" x14ac:dyDescent="0.25">
      <c r="B11" s="1" t="s">
        <v>62</v>
      </c>
      <c r="C11" s="11">
        <f>SUM(C7:C10)</f>
        <v>446.60699999999997</v>
      </c>
      <c r="D11" s="11">
        <f t="shared" ref="D11:I11" si="2">SUM(D7:D10)</f>
        <v>434.96100000000001</v>
      </c>
      <c r="E11" s="11">
        <f t="shared" si="2"/>
        <v>594.63599999999997</v>
      </c>
      <c r="F11" s="11">
        <f t="shared" si="2"/>
        <v>717.1</v>
      </c>
      <c r="G11" s="14">
        <f t="shared" si="2"/>
        <v>838.59000000000015</v>
      </c>
      <c r="H11" s="11">
        <f t="shared" si="2"/>
        <v>0</v>
      </c>
      <c r="I11" s="11">
        <f t="shared" si="2"/>
        <v>0</v>
      </c>
      <c r="L11" s="11">
        <f t="shared" ref="L11" si="3">SUM(L7:L10)</f>
        <v>0</v>
      </c>
      <c r="M11" s="11">
        <f t="shared" ref="M11" si="4">SUM(M7:M10)</f>
        <v>0</v>
      </c>
      <c r="N11" s="11">
        <f t="shared" ref="N11" si="5">SUM(N7:N10)</f>
        <v>0</v>
      </c>
      <c r="O11" s="11">
        <f t="shared" ref="O11" si="6">SUM(O7:O10)</f>
        <v>0</v>
      </c>
      <c r="P11" s="11">
        <f t="shared" ref="P11" si="7">SUM(P7:P10)</f>
        <v>166.79600000000002</v>
      </c>
      <c r="Q11" s="11">
        <f t="shared" ref="Q11" si="8">SUM(Q7:Q10)</f>
        <v>180.64600000000002</v>
      </c>
      <c r="R11" s="11">
        <f t="shared" ref="R11:S11" si="9">SUM(R7:R10)</f>
        <v>183.429</v>
      </c>
      <c r="S11" s="11">
        <f t="shared" si="9"/>
        <v>186.22899999999998</v>
      </c>
      <c r="T11" s="11">
        <f t="shared" ref="T11" si="10">SUM(T7:T10)</f>
        <v>199.55500000000001</v>
      </c>
      <c r="U11" s="11">
        <f t="shared" ref="U11" si="11">SUM(U7:U10)</f>
        <v>206.86799999999999</v>
      </c>
      <c r="V11" s="11">
        <f t="shared" ref="V11:X11" si="12">SUM(V7:V10)</f>
        <v>211.02000000000004</v>
      </c>
      <c r="W11" s="11">
        <f t="shared" si="12"/>
        <v>221.14700000000002</v>
      </c>
      <c r="X11" s="14">
        <f t="shared" si="12"/>
        <v>225.80599999999998</v>
      </c>
      <c r="Y11" s="11">
        <f t="shared" ref="Y11" si="13">SUM(Y7:Y10)</f>
        <v>0</v>
      </c>
    </row>
    <row r="12" spans="1:26" x14ac:dyDescent="0.25">
      <c r="B12" t="s">
        <v>135</v>
      </c>
      <c r="C12" s="10">
        <v>65.649000000000001</v>
      </c>
      <c r="D12" s="10">
        <v>64.25</v>
      </c>
      <c r="E12" s="10">
        <v>87.195999999999998</v>
      </c>
      <c r="F12" s="10">
        <v>120.009</v>
      </c>
      <c r="G12" s="15">
        <v>129.542</v>
      </c>
      <c r="H12" s="41"/>
      <c r="I12" s="41"/>
      <c r="L12" s="10"/>
      <c r="M12" s="10"/>
      <c r="N12" s="10"/>
      <c r="O12" s="10"/>
      <c r="P12" s="10">
        <v>31.385999999999999</v>
      </c>
      <c r="Q12" s="10">
        <v>29.486999999999998</v>
      </c>
      <c r="R12" s="10">
        <v>26.931000000000001</v>
      </c>
      <c r="S12" s="10">
        <v>32.204999999999998</v>
      </c>
      <c r="T12" s="10">
        <v>31.311</v>
      </c>
      <c r="U12" s="10">
        <v>31.475999999999999</v>
      </c>
      <c r="V12" s="10">
        <v>30.939</v>
      </c>
      <c r="W12" s="151">
        <v>35.816000000000003</v>
      </c>
      <c r="X12" s="15">
        <v>35.944000000000003</v>
      </c>
    </row>
    <row r="13" spans="1:26" x14ac:dyDescent="0.25">
      <c r="B13" t="s">
        <v>24</v>
      </c>
      <c r="C13" s="10">
        <v>40.392000000000003</v>
      </c>
      <c r="D13" s="10">
        <v>48.801000000000002</v>
      </c>
      <c r="E13" s="10">
        <v>58.991</v>
      </c>
      <c r="F13" s="10">
        <v>72.796000000000006</v>
      </c>
      <c r="G13" s="15">
        <v>91.242000000000004</v>
      </c>
      <c r="H13" s="41"/>
      <c r="I13" s="41"/>
      <c r="L13" s="10"/>
      <c r="M13" s="10"/>
      <c r="N13" s="10"/>
      <c r="O13" s="10"/>
      <c r="P13" s="10">
        <v>16.855</v>
      </c>
      <c r="Q13" s="10">
        <v>18.087</v>
      </c>
      <c r="R13" s="10">
        <v>18.646999999999998</v>
      </c>
      <c r="S13" s="10">
        <v>19.207000000000001</v>
      </c>
      <c r="T13" s="10">
        <v>21.321999999999999</v>
      </c>
      <c r="U13" s="10">
        <v>22.251999999999999</v>
      </c>
      <c r="V13" s="10">
        <v>23.13</v>
      </c>
      <c r="W13" s="151">
        <v>24.538</v>
      </c>
      <c r="X13" s="15">
        <v>25.440999999999999</v>
      </c>
    </row>
    <row r="14" spans="1:26" x14ac:dyDescent="0.25">
      <c r="B14" t="s">
        <v>210</v>
      </c>
      <c r="C14" s="10">
        <v>14.834</v>
      </c>
      <c r="D14" s="10">
        <v>8.58</v>
      </c>
      <c r="E14" s="10">
        <v>13.291</v>
      </c>
      <c r="F14" s="10">
        <v>15.05</v>
      </c>
      <c r="G14" s="15">
        <v>19.231000000000002</v>
      </c>
      <c r="H14" s="10"/>
      <c r="I14" s="10"/>
      <c r="L14" s="10"/>
      <c r="M14" s="10"/>
      <c r="N14" s="10"/>
      <c r="O14" s="10"/>
      <c r="P14" s="10">
        <v>2.7120000000000002</v>
      </c>
      <c r="Q14" s="10">
        <v>2.823</v>
      </c>
      <c r="R14" s="10">
        <v>3.0409999999999999</v>
      </c>
      <c r="S14" s="10">
        <v>6.4740000000000002</v>
      </c>
      <c r="T14" s="10">
        <v>3.5569999999999999</v>
      </c>
      <c r="U14" s="10">
        <v>5.577</v>
      </c>
      <c r="V14" s="10">
        <v>4.9690000000000003</v>
      </c>
      <c r="W14" s="151">
        <v>5.1280000000000001</v>
      </c>
      <c r="X14" s="15">
        <v>2.7530000000000001</v>
      </c>
    </row>
    <row r="15" spans="1:26" x14ac:dyDescent="0.25">
      <c r="B15" t="s">
        <v>211</v>
      </c>
      <c r="C15" s="10">
        <v>1.3520000000000001</v>
      </c>
      <c r="D15" s="10">
        <v>10.151</v>
      </c>
      <c r="E15" s="10">
        <v>1.6319999999999999</v>
      </c>
      <c r="F15" s="10">
        <v>2.4249999999999998</v>
      </c>
      <c r="G15" s="15">
        <v>3.0070000000000001</v>
      </c>
      <c r="H15" s="41"/>
      <c r="I15" s="41"/>
      <c r="L15" s="10"/>
      <c r="M15" s="10"/>
      <c r="N15" s="10"/>
      <c r="O15" s="10"/>
      <c r="P15" s="10">
        <v>0.57699999999999996</v>
      </c>
      <c r="Q15" s="10">
        <v>0.52800000000000002</v>
      </c>
      <c r="R15" s="10">
        <v>0.59199999999999997</v>
      </c>
      <c r="S15" s="10">
        <v>0.72799999999999998</v>
      </c>
      <c r="T15" s="10">
        <v>0.72199999999999998</v>
      </c>
      <c r="U15" s="10">
        <v>0.88400000000000001</v>
      </c>
      <c r="V15" s="10">
        <v>0.49199999999999999</v>
      </c>
      <c r="W15" s="151">
        <v>0.90900000000000003</v>
      </c>
      <c r="X15" s="15">
        <v>0.52600000000000002</v>
      </c>
    </row>
    <row r="16" spans="1:26" s="1" customFormat="1" x14ac:dyDescent="0.25">
      <c r="B16" s="1" t="s">
        <v>23</v>
      </c>
      <c r="C16" s="11">
        <f>C5-SUM(C11:C15)</f>
        <v>25.685000000000059</v>
      </c>
      <c r="D16" s="11">
        <f t="shared" ref="D16:I16" si="14">D5-SUM(D11:D15)</f>
        <v>-43.87600000000009</v>
      </c>
      <c r="E16" s="11">
        <f t="shared" si="14"/>
        <v>-15.852999999999952</v>
      </c>
      <c r="F16" s="11">
        <f t="shared" si="14"/>
        <v>-26.894000000000005</v>
      </c>
      <c r="G16" s="14">
        <f t="shared" si="14"/>
        <v>5.9209999999995944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L5-SUM(L11:L15)</f>
        <v>0</v>
      </c>
      <c r="M16" s="11">
        <f t="shared" ref="M16" si="16">M5-SUM(M11:M15)</f>
        <v>0</v>
      </c>
      <c r="N16" s="11">
        <f t="shared" ref="N16" si="17">N5-SUM(N11:N15)</f>
        <v>0</v>
      </c>
      <c r="O16" s="11">
        <f t="shared" ref="O16" si="18">O5-SUM(O11:O15)</f>
        <v>0</v>
      </c>
      <c r="P16" s="11">
        <f t="shared" ref="P16" si="19">P5-SUM(P11:P15)</f>
        <v>-14.935000000000002</v>
      </c>
      <c r="Q16" s="11">
        <f t="shared" ref="Q16" si="20">Q5-SUM(Q11:Q15)</f>
        <v>-0.8189999999999884</v>
      </c>
      <c r="R16" s="11">
        <f t="shared" ref="R16:S16" si="21">R5-SUM(R11:R15)</f>
        <v>-4.8260000000000218</v>
      </c>
      <c r="S16" s="11">
        <f t="shared" si="21"/>
        <v>-6.3139999999999645</v>
      </c>
      <c r="T16" s="11">
        <f t="shared" ref="T16" si="22">T5-SUM(T11:T15)</f>
        <v>-3.188999999999993</v>
      </c>
      <c r="U16" s="11">
        <f t="shared" ref="U16" si="23">U5-SUM(U11:U15)</f>
        <v>4.7479999999999905</v>
      </c>
      <c r="V16" s="11">
        <f t="shared" ref="V16:X16" si="24">V5-SUM(V11:V15)</f>
        <v>5.6569999999999254</v>
      </c>
      <c r="W16" s="11">
        <f t="shared" si="24"/>
        <v>-1.2950000000000159</v>
      </c>
      <c r="X16" s="14">
        <f t="shared" si="24"/>
        <v>3.4000000000048658E-2</v>
      </c>
      <c r="Y16" s="11">
        <f t="shared" ref="Y16" si="25">Y5-SUM(Y11:Y15)</f>
        <v>312.69</v>
      </c>
    </row>
    <row r="17" spans="2:25" x14ac:dyDescent="0.25">
      <c r="B17" t="s">
        <v>212</v>
      </c>
      <c r="C17" s="10">
        <v>2.2629999999999999</v>
      </c>
      <c r="D17" s="10">
        <v>-0.78600000000000003</v>
      </c>
      <c r="E17" s="10">
        <v>9.5000000000000001E-2</v>
      </c>
      <c r="F17" s="10">
        <v>4.1269999999999998</v>
      </c>
      <c r="G17" s="15">
        <v>12.776</v>
      </c>
      <c r="H17" s="41"/>
      <c r="I17" s="41"/>
      <c r="L17" s="10"/>
      <c r="M17" s="10"/>
      <c r="N17" s="10"/>
      <c r="O17" s="10"/>
      <c r="P17" s="10">
        <v>-0.28899999999999998</v>
      </c>
      <c r="Q17" s="10">
        <v>0.53800000000000003</v>
      </c>
      <c r="R17" s="10">
        <v>1.482</v>
      </c>
      <c r="S17" s="10">
        <v>2.3959999999999999</v>
      </c>
      <c r="T17" s="10">
        <v>2.8370000000000002</v>
      </c>
      <c r="U17" s="10">
        <v>3.2269999999999999</v>
      </c>
      <c r="V17" s="10">
        <v>3.4409999999999998</v>
      </c>
      <c r="W17" s="151">
        <v>3.2709999999999999</v>
      </c>
      <c r="X17" s="15">
        <v>3.206</v>
      </c>
    </row>
    <row r="18" spans="2:25" x14ac:dyDescent="0.25">
      <c r="B18" t="s">
        <v>213</v>
      </c>
      <c r="C18" s="10">
        <v>-0.434</v>
      </c>
      <c r="D18" s="10">
        <v>-0.81499999999999995</v>
      </c>
      <c r="E18" s="10">
        <v>-1.577</v>
      </c>
      <c r="F18" s="10">
        <v>-1.518</v>
      </c>
      <c r="G18" s="15">
        <v>-1.7170000000000001</v>
      </c>
      <c r="H18" s="41"/>
      <c r="I18" s="41"/>
      <c r="L18" s="10"/>
      <c r="M18" s="10"/>
      <c r="N18" s="10"/>
      <c r="O18" s="10"/>
      <c r="P18" s="10">
        <v>-0.35499999999999998</v>
      </c>
      <c r="Q18" s="10">
        <v>-0.315</v>
      </c>
      <c r="R18" s="10">
        <v>-0.47499999999999998</v>
      </c>
      <c r="S18" s="10">
        <v>-0.373</v>
      </c>
      <c r="T18" s="10">
        <v>-0.40300000000000002</v>
      </c>
      <c r="U18" s="10">
        <v>-0.40500000000000003</v>
      </c>
      <c r="V18" s="10">
        <v>-0.433</v>
      </c>
      <c r="W18" s="151">
        <v>-0.47599999999999998</v>
      </c>
      <c r="X18" s="15">
        <v>-0.50800000000000001</v>
      </c>
    </row>
    <row r="19" spans="2:25" s="1" customFormat="1" x14ac:dyDescent="0.25">
      <c r="B19" s="1" t="s">
        <v>232</v>
      </c>
      <c r="C19" s="11">
        <f t="shared" ref="C19:I19" si="26">C16+SUM(C17:C18)</f>
        <v>27.51400000000006</v>
      </c>
      <c r="D19" s="11">
        <f t="shared" si="26"/>
        <v>-45.477000000000089</v>
      </c>
      <c r="E19" s="11">
        <f t="shared" si="26"/>
        <v>-17.334999999999951</v>
      </c>
      <c r="F19" s="11">
        <f t="shared" si="26"/>
        <v>-24.285000000000004</v>
      </c>
      <c r="G19" s="14">
        <f t="shared" si="26"/>
        <v>16.979999999999592</v>
      </c>
      <c r="H19" s="11">
        <f t="shared" si="26"/>
        <v>0</v>
      </c>
      <c r="I19" s="11">
        <f t="shared" si="26"/>
        <v>0</v>
      </c>
      <c r="L19" s="11">
        <f t="shared" ref="L19:Y19" si="27">L16+SUM(L17:L18)</f>
        <v>0</v>
      </c>
      <c r="M19" s="11">
        <f t="shared" si="27"/>
        <v>0</v>
      </c>
      <c r="N19" s="11">
        <f t="shared" si="27"/>
        <v>0</v>
      </c>
      <c r="O19" s="11">
        <f t="shared" si="27"/>
        <v>0</v>
      </c>
      <c r="P19" s="11">
        <f t="shared" si="27"/>
        <v>-15.579000000000002</v>
      </c>
      <c r="Q19" s="11">
        <f t="shared" si="27"/>
        <v>-0.59599999999998832</v>
      </c>
      <c r="R19" s="11">
        <f t="shared" si="27"/>
        <v>-3.8190000000000217</v>
      </c>
      <c r="S19" s="11">
        <f t="shared" si="27"/>
        <v>-4.2909999999999648</v>
      </c>
      <c r="T19" s="11">
        <f t="shared" si="27"/>
        <v>-0.75499999999999279</v>
      </c>
      <c r="U19" s="11">
        <f t="shared" si="27"/>
        <v>7.5699999999999905</v>
      </c>
      <c r="V19" s="11">
        <f t="shared" si="27"/>
        <v>8.6649999999999245</v>
      </c>
      <c r="W19" s="11">
        <f t="shared" si="27"/>
        <v>1.499999999999984</v>
      </c>
      <c r="X19" s="14">
        <f t="shared" ref="X19" si="28">X16+SUM(X17:X18)</f>
        <v>2.7320000000000486</v>
      </c>
      <c r="Y19" s="11">
        <f t="shared" si="27"/>
        <v>312.69</v>
      </c>
    </row>
    <row r="20" spans="2:25" x14ac:dyDescent="0.25">
      <c r="B20" t="s">
        <v>20</v>
      </c>
      <c r="C20" s="10">
        <v>3.3860000000000001</v>
      </c>
      <c r="D20" s="10">
        <v>5.7000000000000002E-2</v>
      </c>
      <c r="E20" s="10">
        <v>-11.318</v>
      </c>
      <c r="F20" s="10">
        <v>-1.18</v>
      </c>
      <c r="G20" s="15">
        <v>-4.01</v>
      </c>
      <c r="H20" s="41"/>
      <c r="I20" s="41"/>
      <c r="L20" s="10"/>
      <c r="M20" s="10"/>
      <c r="N20" s="10"/>
      <c r="O20" s="10"/>
      <c r="P20" s="10">
        <v>-4.2969999999999997</v>
      </c>
      <c r="Q20" s="10">
        <v>0.70699999999999996</v>
      </c>
      <c r="R20" s="10">
        <v>-1.508</v>
      </c>
      <c r="S20" s="10">
        <v>3.8250000000000002</v>
      </c>
      <c r="T20" s="10">
        <v>0.86699999999999999</v>
      </c>
      <c r="U20" s="10">
        <v>0.34699999999999998</v>
      </c>
      <c r="V20" s="10">
        <v>0.52900000000000003</v>
      </c>
      <c r="W20" s="151">
        <v>-5.2960000000000003</v>
      </c>
      <c r="X20" s="15">
        <v>0.51800000000000002</v>
      </c>
    </row>
    <row r="21" spans="2:25" x14ac:dyDescent="0.25">
      <c r="B21" t="s">
        <v>75</v>
      </c>
      <c r="C21" s="10">
        <v>4.3010000000000002</v>
      </c>
      <c r="D21" s="10">
        <v>-3.3759999999999999</v>
      </c>
      <c r="E21" s="10">
        <v>-1.456</v>
      </c>
      <c r="F21" s="10">
        <v>-1.8759999999999999</v>
      </c>
      <c r="G21" s="15">
        <v>0.72599999999999998</v>
      </c>
      <c r="H21" s="41"/>
      <c r="I21" s="41"/>
      <c r="L21" s="10"/>
      <c r="M21" s="10"/>
      <c r="N21" s="10"/>
      <c r="O21" s="10"/>
      <c r="P21" s="10">
        <v>-1.1200000000000001</v>
      </c>
      <c r="Q21" s="10">
        <v>-0.115</v>
      </c>
      <c r="R21" s="10">
        <v>-0.28699999999999998</v>
      </c>
      <c r="S21" s="10">
        <v>-0.35399999999999998</v>
      </c>
      <c r="T21" s="10">
        <v>-8.7999999999999995E-2</v>
      </c>
      <c r="U21" s="10">
        <v>0.27500000000000002</v>
      </c>
      <c r="V21" s="10">
        <v>0.50900000000000001</v>
      </c>
      <c r="W21" s="151">
        <v>0.03</v>
      </c>
      <c r="X21" s="15">
        <v>0.17399999999999999</v>
      </c>
    </row>
    <row r="22" spans="2:25" s="1" customFormat="1" x14ac:dyDescent="0.25">
      <c r="B22" s="1" t="s">
        <v>21</v>
      </c>
      <c r="C22" s="11">
        <f>C19-SUM(C20:C21)</f>
        <v>19.827000000000059</v>
      </c>
      <c r="D22" s="11">
        <f t="shared" ref="D22:G22" si="29">D19-SUM(D20:D21)</f>
        <v>-42.158000000000087</v>
      </c>
      <c r="E22" s="11">
        <f t="shared" si="29"/>
        <v>-4.560999999999952</v>
      </c>
      <c r="F22" s="11">
        <f t="shared" si="29"/>
        <v>-21.229000000000003</v>
      </c>
      <c r="G22" s="14">
        <f t="shared" si="29"/>
        <v>20.263999999999591</v>
      </c>
      <c r="H22" s="55"/>
      <c r="I22" s="55"/>
      <c r="L22" s="11">
        <f t="shared" ref="L22" si="30">L19-SUM(L20:L21)</f>
        <v>0</v>
      </c>
      <c r="M22" s="11">
        <f t="shared" ref="M22" si="31">M19-SUM(M20:M21)</f>
        <v>0</v>
      </c>
      <c r="N22" s="11">
        <f t="shared" ref="N22" si="32">N19-SUM(N20:N21)</f>
        <v>0</v>
      </c>
      <c r="O22" s="11">
        <f t="shared" ref="O22" si="33">O19-SUM(O20:O21)</f>
        <v>0</v>
      </c>
      <c r="P22" s="11">
        <f t="shared" ref="P22" si="34">P19-SUM(P20:P21)</f>
        <v>-10.162000000000003</v>
      </c>
      <c r="Q22" s="11">
        <f t="shared" ref="Q22" si="35">Q19-SUM(Q20:Q21)</f>
        <v>-1.1879999999999882</v>
      </c>
      <c r="R22" s="11">
        <f t="shared" ref="R22:S22" si="36">R19-SUM(R20:R21)</f>
        <v>-2.0240000000000218</v>
      </c>
      <c r="S22" s="11">
        <f t="shared" si="36"/>
        <v>-7.7619999999999649</v>
      </c>
      <c r="T22" s="11">
        <f t="shared" ref="T22" si="37">T19-SUM(T20:T21)</f>
        <v>-1.5339999999999927</v>
      </c>
      <c r="U22" s="11">
        <f t="shared" ref="U22" si="38">U19-SUM(U20:U21)</f>
        <v>6.9479999999999906</v>
      </c>
      <c r="V22" s="11">
        <f t="shared" ref="V22:X22" si="39">V19-SUM(V20:V21)</f>
        <v>7.6269999999999243</v>
      </c>
      <c r="W22" s="11">
        <f t="shared" si="39"/>
        <v>6.765999999999984</v>
      </c>
      <c r="X22" s="14">
        <f t="shared" si="39"/>
        <v>2.0400000000000489</v>
      </c>
      <c r="Y22" s="11">
        <f>Y26*Y23</f>
        <v>10.273900000000001</v>
      </c>
    </row>
    <row r="23" spans="2:25" x14ac:dyDescent="0.25">
      <c r="B23" t="s">
        <v>1</v>
      </c>
      <c r="C23" s="10">
        <v>31.381</v>
      </c>
      <c r="D23" s="10">
        <v>37.128999999999998</v>
      </c>
      <c r="E23" s="10">
        <v>39.085000000000001</v>
      </c>
      <c r="F23" s="10">
        <v>39.237000000000002</v>
      </c>
      <c r="G23" s="15">
        <v>39.418999999999997</v>
      </c>
      <c r="H23" s="41"/>
      <c r="I23" s="41"/>
      <c r="L23" s="10"/>
      <c r="M23" s="10"/>
      <c r="N23" s="10"/>
      <c r="O23" s="10"/>
      <c r="P23" s="10">
        <v>39.162999999999997</v>
      </c>
      <c r="Q23" s="10">
        <v>39.226999999999997</v>
      </c>
      <c r="R23" s="10">
        <v>39.274000000000001</v>
      </c>
      <c r="S23" s="10">
        <v>39.283000000000001</v>
      </c>
      <c r="T23" s="10">
        <v>39.274000000000001</v>
      </c>
      <c r="U23" s="10">
        <v>39.415999999999997</v>
      </c>
      <c r="V23" s="10">
        <v>39.46</v>
      </c>
      <c r="W23" s="151">
        <v>39.47</v>
      </c>
      <c r="X23" s="15">
        <v>39.515000000000001</v>
      </c>
      <c r="Y23" s="10">
        <v>39.515000000000001</v>
      </c>
    </row>
    <row r="24" spans="2:25" s="1" customFormat="1" x14ac:dyDescent="0.25">
      <c r="B24" s="1" t="s">
        <v>22</v>
      </c>
      <c r="C24" s="2">
        <f>C22/C23</f>
        <v>0.63181542971862137</v>
      </c>
      <c r="D24" s="2">
        <f>D22/D23</f>
        <v>-1.1354466858789649</v>
      </c>
      <c r="E24" s="2">
        <f>E22/E23</f>
        <v>-0.11669438403479472</v>
      </c>
      <c r="F24" s="2">
        <f>F22/F23</f>
        <v>-0.54104544180238046</v>
      </c>
      <c r="G24" s="51">
        <f>G22/G23</f>
        <v>0.51406682056875097</v>
      </c>
      <c r="H24" s="52"/>
      <c r="I24" s="53"/>
      <c r="L24" s="2"/>
      <c r="M24" s="2"/>
      <c r="N24" s="2"/>
      <c r="O24" s="2"/>
      <c r="P24" s="2">
        <f t="shared" ref="N24:U24" si="40">P22/P23</f>
        <v>-0.25947961085718674</v>
      </c>
      <c r="Q24" s="2">
        <f t="shared" si="40"/>
        <v>-3.0285262701710256E-2</v>
      </c>
      <c r="R24" s="2">
        <f t="shared" si="40"/>
        <v>-5.1535366909406265E-2</v>
      </c>
      <c r="S24" s="2">
        <f t="shared" si="40"/>
        <v>-0.1975918336175945</v>
      </c>
      <c r="T24" s="2">
        <f t="shared" si="40"/>
        <v>-3.9058919386871532E-2</v>
      </c>
      <c r="U24" s="2">
        <f t="shared" si="40"/>
        <v>0.176273594479399</v>
      </c>
      <c r="V24" s="2">
        <f>V22/V23</f>
        <v>0.1932843385707026</v>
      </c>
      <c r="W24" s="153">
        <f>W22/W23</f>
        <v>0.17142133265771431</v>
      </c>
      <c r="X24" s="35">
        <f>X22/X23</f>
        <v>5.1625964823485991E-2</v>
      </c>
      <c r="Y24" s="47"/>
    </row>
    <row r="25" spans="2:25" s="164" customFormat="1" x14ac:dyDescent="0.25">
      <c r="B25" s="164" t="s">
        <v>234</v>
      </c>
      <c r="C25" s="167"/>
      <c r="D25" s="167"/>
      <c r="E25" s="167"/>
      <c r="F25" s="167"/>
      <c r="G25" s="170"/>
      <c r="H25" s="171"/>
      <c r="I25" s="172"/>
      <c r="L25" s="167"/>
      <c r="M25" s="167"/>
      <c r="N25" s="167"/>
      <c r="O25" s="167"/>
      <c r="P25" s="176">
        <f t="shared" ref="P25:V25" si="41">P50</f>
        <v>-0.19385500083168983</v>
      </c>
      <c r="Q25" s="175">
        <f t="shared" si="41"/>
        <v>2.9974373055100651E-3</v>
      </c>
      <c r="R25" s="169">
        <f t="shared" si="41"/>
        <v>-5.5095503618460592E-2</v>
      </c>
      <c r="S25" s="175">
        <f t="shared" si="41"/>
        <v>-6.1490285388939421E-2</v>
      </c>
      <c r="T25" s="176">
        <f t="shared" si="41"/>
        <v>-6.8746444149438831E-3</v>
      </c>
      <c r="U25" s="175">
        <f t="shared" si="41"/>
        <v>0.17955612268149276</v>
      </c>
      <c r="V25" s="175">
        <f t="shared" si="41"/>
        <v>0.17138114511801184</v>
      </c>
      <c r="W25" s="175">
        <f>W50</f>
        <v>2.3461678499908625E-2</v>
      </c>
      <c r="X25" s="168">
        <f>X50</f>
        <v>0.12753748100433324</v>
      </c>
      <c r="Y25" s="157"/>
    </row>
    <row r="26" spans="2:25" s="1" customFormat="1" x14ac:dyDescent="0.25">
      <c r="B26" s="9" t="s">
        <v>67</v>
      </c>
      <c r="C26" s="2"/>
      <c r="D26" s="2"/>
      <c r="E26" s="2"/>
      <c r="F26" s="2"/>
      <c r="G26" s="35"/>
      <c r="H26" s="45">
        <v>0.68</v>
      </c>
      <c r="I26" s="46">
        <v>0.95</v>
      </c>
      <c r="L26" s="48"/>
      <c r="M26" s="48"/>
      <c r="N26" s="48"/>
      <c r="O26" s="48"/>
      <c r="P26" s="48">
        <v>0.23</v>
      </c>
      <c r="Q26" s="171">
        <v>-0.02</v>
      </c>
      <c r="R26" s="48">
        <v>-0.06</v>
      </c>
      <c r="S26" s="171">
        <v>-0.11</v>
      </c>
      <c r="T26" s="171">
        <v>-0.09</v>
      </c>
      <c r="U26" s="171">
        <v>0.11</v>
      </c>
      <c r="V26" s="171">
        <v>0.09</v>
      </c>
      <c r="W26" s="177">
        <v>0.01</v>
      </c>
      <c r="X26" s="178">
        <v>0.1</v>
      </c>
      <c r="Y26" s="157">
        <v>0.26</v>
      </c>
    </row>
    <row r="27" spans="2:25" s="1" customFormat="1" x14ac:dyDescent="0.25">
      <c r="B27" t="s">
        <v>31</v>
      </c>
      <c r="C27" s="3">
        <f>1-C11/C5</f>
        <v>0.24879272151100307</v>
      </c>
      <c r="D27" s="3">
        <f>1-D11/D5</f>
        <v>0.1681230599750988</v>
      </c>
      <c r="E27" s="3">
        <f>1-E11/E5</f>
        <v>0.19632163028978522</v>
      </c>
      <c r="F27" s="3">
        <f>1-F11/F5</f>
        <v>0.20365225000721832</v>
      </c>
      <c r="G27" s="6">
        <f>1-G11/G5</f>
        <v>0.2289061573303981</v>
      </c>
      <c r="H27" s="173"/>
      <c r="I27" s="173"/>
      <c r="L27" s="3" t="e">
        <f t="shared" ref="L27:W27" si="42">1-L11/L5</f>
        <v>#DIV/0!</v>
      </c>
      <c r="M27" s="3" t="e">
        <f t="shared" si="42"/>
        <v>#DIV/0!</v>
      </c>
      <c r="N27" s="3" t="e">
        <f t="shared" si="42"/>
        <v>#DIV/0!</v>
      </c>
      <c r="O27" s="3" t="e">
        <f t="shared" si="42"/>
        <v>#DIV/0!</v>
      </c>
      <c r="P27" s="3">
        <f t="shared" si="42"/>
        <v>0.17992438210146944</v>
      </c>
      <c r="Q27" s="3">
        <f t="shared" si="42"/>
        <v>0.21714221328525862</v>
      </c>
      <c r="R27" s="3">
        <f t="shared" si="42"/>
        <v>0.19482999288893565</v>
      </c>
      <c r="S27" s="3">
        <f t="shared" si="42"/>
        <v>0.21926055112795517</v>
      </c>
      <c r="T27" s="3">
        <f t="shared" si="42"/>
        <v>0.2121108031491088</v>
      </c>
      <c r="U27" s="3">
        <f t="shared" si="42"/>
        <v>0.23891024815584705</v>
      </c>
      <c r="V27" s="3">
        <f t="shared" si="42"/>
        <v>0.2360077767761134</v>
      </c>
      <c r="W27" s="40">
        <f t="shared" si="42"/>
        <v>0.22741516823118813</v>
      </c>
      <c r="X27" s="6">
        <f t="shared" ref="X27" si="43">1-X11/X5</f>
        <v>0.22270949797593165</v>
      </c>
    </row>
    <row r="28" spans="2:25" x14ac:dyDescent="0.25">
      <c r="B28" t="s">
        <v>32</v>
      </c>
      <c r="C28" s="4">
        <f>C22/C5</f>
        <v>3.3349649044017195E-2</v>
      </c>
      <c r="D28" s="4">
        <f>D22/D5</f>
        <v>-8.0628534598664842E-2</v>
      </c>
      <c r="E28" s="4">
        <f>E22/E5</f>
        <v>-6.1644048531341042E-3</v>
      </c>
      <c r="F28" s="4">
        <f>F22/F5</f>
        <v>-2.3575047252261561E-2</v>
      </c>
      <c r="G28" s="7">
        <f>G22/G5</f>
        <v>1.8632997803284677E-2</v>
      </c>
      <c r="H28" s="174">
        <f>H22/H6</f>
        <v>0</v>
      </c>
      <c r="I28" s="174">
        <f>I22/I6</f>
        <v>0</v>
      </c>
      <c r="L28" s="4" t="e">
        <f t="shared" ref="L28:W28" si="44">L22/L5</f>
        <v>#DIV/0!</v>
      </c>
      <c r="M28" s="4" t="e">
        <f t="shared" si="44"/>
        <v>#DIV/0!</v>
      </c>
      <c r="N28" s="4" t="e">
        <f t="shared" si="44"/>
        <v>#DIV/0!</v>
      </c>
      <c r="O28" s="4" t="e">
        <f t="shared" si="44"/>
        <v>#DIV/0!</v>
      </c>
      <c r="P28" s="4">
        <f t="shared" si="44"/>
        <v>-4.9962879380110244E-2</v>
      </c>
      <c r="Q28" s="4">
        <f t="shared" si="44"/>
        <v>-5.1483844127027641E-3</v>
      </c>
      <c r="R28" s="4">
        <f t="shared" si="44"/>
        <v>-8.8844408157532986E-3</v>
      </c>
      <c r="S28" s="4">
        <f t="shared" si="44"/>
        <v>-3.254111659378929E-2</v>
      </c>
      <c r="T28" s="4">
        <f t="shared" si="44"/>
        <v>-6.0565860437937474E-3</v>
      </c>
      <c r="U28" s="4">
        <f t="shared" si="44"/>
        <v>2.5562443663655895E-2</v>
      </c>
      <c r="V28" s="4">
        <f t="shared" si="44"/>
        <v>2.7613347960044186E-2</v>
      </c>
      <c r="W28" s="154">
        <f t="shared" si="44"/>
        <v>2.3637259251754573E-2</v>
      </c>
      <c r="X28" s="7">
        <f t="shared" ref="X28" si="45">X22/X5</f>
        <v>7.0222785228432269E-3</v>
      </c>
    </row>
    <row r="29" spans="2:25" x14ac:dyDescent="0.25">
      <c r="B29" t="s">
        <v>33</v>
      </c>
      <c r="C29" s="3"/>
      <c r="D29" s="3">
        <f>D5/C5-1</f>
        <v>-0.12052095896010062</v>
      </c>
      <c r="E29" s="3">
        <f>E5/D5-1</f>
        <v>0.41506922410479152</v>
      </c>
      <c r="F29" s="40">
        <f>F5/E5-1</f>
        <v>0.21704895167274185</v>
      </c>
      <c r="G29" s="6">
        <f>G5/F5-1</f>
        <v>0.20771783237051977</v>
      </c>
      <c r="H29" s="117">
        <f>H6/G5-1</f>
        <v>0.14939040930252245</v>
      </c>
      <c r="I29" s="117">
        <f>I6/H6-1</f>
        <v>0.15199999999999991</v>
      </c>
      <c r="L29" s="4"/>
      <c r="M29" s="4"/>
      <c r="N29" s="4"/>
      <c r="O29" s="4"/>
      <c r="P29" s="4"/>
      <c r="Q29" s="4"/>
      <c r="R29" s="4"/>
      <c r="S29" s="4"/>
      <c r="T29" s="4">
        <f>T5/P5-1</f>
        <v>0.24527633966104689</v>
      </c>
      <c r="U29" s="4">
        <f>U5/Q5-1</f>
        <v>0.1779096172514214</v>
      </c>
      <c r="V29" s="4">
        <f>V5/R5-1</f>
        <v>0.21242329268613869</v>
      </c>
      <c r="W29" s="154">
        <f>W5/S5-1</f>
        <v>0.20003437737130492</v>
      </c>
      <c r="X29" s="7">
        <f>X5/T5-1</f>
        <v>0.14697683967814035</v>
      </c>
      <c r="Y29" s="37">
        <f>Y6/U5-1</f>
        <v>0.15042033811004218</v>
      </c>
    </row>
    <row r="30" spans="2:25" x14ac:dyDescent="0.25">
      <c r="B30" t="s">
        <v>134</v>
      </c>
      <c r="C30" s="4">
        <f>C12/C5</f>
        <v>0.11042372068848935</v>
      </c>
      <c r="D30" s="4">
        <f>D12/D5</f>
        <v>0.12288019706732306</v>
      </c>
      <c r="E30" s="4">
        <f>E12/E5</f>
        <v>0.11784947282917935</v>
      </c>
      <c r="F30" s="4">
        <f>F12/F5</f>
        <v>0.13327136679526388</v>
      </c>
      <c r="G30" s="7">
        <f>G12/G5</f>
        <v>0.11911546592149388</v>
      </c>
      <c r="H30" s="117"/>
      <c r="I30" s="117"/>
      <c r="L30" s="4" t="e">
        <f t="shared" ref="L30:W30" si="46">L12/L5</f>
        <v>#DIV/0!</v>
      </c>
      <c r="M30" s="4" t="e">
        <f t="shared" si="46"/>
        <v>#DIV/0!</v>
      </c>
      <c r="N30" s="4" t="e">
        <f t="shared" si="46"/>
        <v>#DIV/0!</v>
      </c>
      <c r="O30" s="4" t="e">
        <f t="shared" si="46"/>
        <v>#DIV/0!</v>
      </c>
      <c r="P30" s="4">
        <f t="shared" si="46"/>
        <v>0.154313612696727</v>
      </c>
      <c r="Q30" s="4">
        <f t="shared" si="46"/>
        <v>0.12778654139509082</v>
      </c>
      <c r="R30" s="4">
        <f t="shared" si="46"/>
        <v>0.11821485949063711</v>
      </c>
      <c r="S30" s="4">
        <f t="shared" si="46"/>
        <v>0.13501502961904002</v>
      </c>
      <c r="T30" s="4">
        <f t="shared" si="46"/>
        <v>0.1236230545092744</v>
      </c>
      <c r="U30" s="4">
        <f t="shared" si="46"/>
        <v>0.11580360920512867</v>
      </c>
      <c r="V30" s="4">
        <f t="shared" si="46"/>
        <v>0.11201381572516265</v>
      </c>
      <c r="W30" s="154">
        <f t="shared" si="46"/>
        <v>0.12512445719196627</v>
      </c>
      <c r="X30" s="7">
        <f>X12/X5</f>
        <v>0.12372979373777986</v>
      </c>
    </row>
    <row r="31" spans="2:25" x14ac:dyDescent="0.25">
      <c r="B31" t="s">
        <v>224</v>
      </c>
      <c r="C31" s="4"/>
      <c r="D31" s="4"/>
      <c r="E31" s="4">
        <f>E3/D3-1</f>
        <v>0.41207570422187523</v>
      </c>
      <c r="F31" s="4">
        <f>F3/E3-1</f>
        <v>0.21578094208442367</v>
      </c>
      <c r="G31" s="7">
        <f>G3/F3-1</f>
        <v>0.20425069311031097</v>
      </c>
      <c r="H31" s="117"/>
      <c r="I31" s="117"/>
      <c r="L31" s="4"/>
      <c r="M31" s="4"/>
      <c r="N31" s="4"/>
      <c r="O31" s="4"/>
      <c r="P31" s="4"/>
      <c r="Q31" s="4"/>
      <c r="R31" s="4"/>
      <c r="S31" s="4"/>
      <c r="T31" s="4">
        <f t="shared" ref="T31:U31" si="47">T3/P3-1</f>
        <v>0.24118481028095795</v>
      </c>
      <c r="U31" s="4">
        <f t="shared" si="47"/>
        <v>0.17375164758309647</v>
      </c>
      <c r="V31" s="4">
        <f>V3/R3-1</f>
        <v>0.20719267793768603</v>
      </c>
      <c r="W31" s="154">
        <f>W3/S3-1</f>
        <v>0.19941806857918265</v>
      </c>
      <c r="X31" s="7">
        <f>X3/T3-1</f>
        <v>0.1486075970096703</v>
      </c>
    </row>
    <row r="32" spans="2:25" x14ac:dyDescent="0.25">
      <c r="B32" t="s">
        <v>225</v>
      </c>
      <c r="C32" s="4"/>
      <c r="D32" s="4"/>
      <c r="E32" s="4">
        <f>E4/D4-1</f>
        <v>0.50677637947725085</v>
      </c>
      <c r="F32" s="4">
        <f>F4/E4-1</f>
        <v>0.25345326052039829</v>
      </c>
      <c r="G32" s="7">
        <f>G4/F4-1</f>
        <v>0.30426704254228598</v>
      </c>
      <c r="H32" s="117"/>
      <c r="I32" s="117"/>
      <c r="L32" s="4"/>
      <c r="M32" s="4"/>
      <c r="N32" s="4"/>
      <c r="O32" s="4"/>
      <c r="P32" s="4"/>
      <c r="Q32" s="4"/>
      <c r="R32" s="4"/>
      <c r="S32" s="4"/>
      <c r="T32" s="4">
        <f t="shared" ref="T32:U32" si="48">T4/P4-1</f>
        <v>0.3672727272727272</v>
      </c>
      <c r="U32" s="4">
        <f t="shared" si="48"/>
        <v>0.29838919199792135</v>
      </c>
      <c r="V32" s="4">
        <f>V4/R4-1</f>
        <v>0.35053530614699868</v>
      </c>
      <c r="W32" s="154">
        <f>W4/S4-1</f>
        <v>0.21650203370133636</v>
      </c>
      <c r="X32" s="7">
        <f>X4/T4-1</f>
        <v>0.10283687943262421</v>
      </c>
    </row>
    <row r="33" spans="2:24" x14ac:dyDescent="0.25">
      <c r="B33" t="s">
        <v>37</v>
      </c>
      <c r="C33" s="3"/>
      <c r="D33" s="3">
        <f>-(D22/C22-1)</f>
        <v>3.1262924295153054</v>
      </c>
      <c r="E33" s="3">
        <f>-(E22/D22-1)</f>
        <v>0.891811755775892</v>
      </c>
      <c r="F33" s="40">
        <f>-F22/E22-1</f>
        <v>-5.6544617408463553</v>
      </c>
      <c r="G33" s="6">
        <v>1</v>
      </c>
      <c r="H33" s="54">
        <f>H26/G24-1</f>
        <v>0.3227852348993554</v>
      </c>
      <c r="I33" s="54">
        <f>I26/H26-1</f>
        <v>0.39705882352941169</v>
      </c>
      <c r="L33" s="4"/>
      <c r="M33" s="4"/>
      <c r="N33" s="4"/>
      <c r="O33" s="4"/>
      <c r="P33" s="4"/>
      <c r="Q33" s="4"/>
      <c r="R33" s="4"/>
      <c r="S33" s="4"/>
      <c r="T33" s="4">
        <f>T22/P22-1</f>
        <v>-0.8490454634914395</v>
      </c>
      <c r="U33" s="4">
        <f>U22/Q22-1</f>
        <v>-6.8484848484848992</v>
      </c>
      <c r="V33" s="4">
        <f>V22/R22-1</f>
        <v>-4.7682806324109892</v>
      </c>
      <c r="W33" s="154">
        <f>W22/S22-1</f>
        <v>-1.8716825560422592</v>
      </c>
      <c r="X33" s="7">
        <f>X22/T22-1</f>
        <v>-2.3298565840939105</v>
      </c>
    </row>
    <row r="35" spans="2:24" x14ac:dyDescent="0.25">
      <c r="B35" s="127" t="s">
        <v>229</v>
      </c>
      <c r="I35" s="120"/>
    </row>
    <row r="36" spans="2:24" x14ac:dyDescent="0.25">
      <c r="B36" t="s">
        <v>207</v>
      </c>
      <c r="C36" s="3"/>
      <c r="D36" s="3">
        <f>(D7/D$5)/(C7/C$5)-1</f>
        <v>3.6696863491616272E-2</v>
      </c>
      <c r="E36" s="3">
        <f>(E7/E$5)/(D7/D$5)-1</f>
        <v>5.9100500165647496E-3</v>
      </c>
      <c r="F36" s="3">
        <f>(F7/F$5)/(E7/E$5)-1</f>
        <v>-1.5252244922036362E-2</v>
      </c>
      <c r="G36" s="6">
        <f>(G7/G$5)/(F7/F$5)-1</f>
        <v>-3.4434898456266905E-2</v>
      </c>
      <c r="I36" s="126"/>
      <c r="P36" s="3"/>
      <c r="T36" s="3">
        <f>(T7/T$5)/(P7/P$5)-1</f>
        <v>-3.7549261194294026E-2</v>
      </c>
      <c r="U36" s="3">
        <f>(U7/U$5)/(Q7/Q$5)-1</f>
        <v>-2.4788410808216144E-2</v>
      </c>
      <c r="V36" s="3">
        <f>(V7/V$5)/(R7/R$5)-1</f>
        <v>-6.0736632498444965E-2</v>
      </c>
      <c r="W36" s="3">
        <f>(W7/W$5)/(S7/S$5)-1</f>
        <v>-1.5210949504696925E-2</v>
      </c>
      <c r="X36" s="6">
        <f>(X7/X$5)/(T7/T$5)-1</f>
        <v>-2.5119060934258752E-2</v>
      </c>
    </row>
    <row r="37" spans="2:24" x14ac:dyDescent="0.25">
      <c r="B37" t="s">
        <v>230</v>
      </c>
      <c r="C37" s="3"/>
      <c r="D37" s="3">
        <f>(D8/D$5)/(C8/C$5)-1</f>
        <v>0.10877541091920295</v>
      </c>
      <c r="E37" s="3">
        <f>(E8/E$5)/(D8/D$5)-1</f>
        <v>-3.0592986791405319E-2</v>
      </c>
      <c r="F37" s="3">
        <f>(F8/F$5)/(E8/E$5)-1</f>
        <v>-1.6983176862881311E-2</v>
      </c>
      <c r="G37" s="6">
        <f>(G8/G$5)/(F8/F$5)-1</f>
        <v>-2.1111683943088155E-2</v>
      </c>
      <c r="I37" s="125"/>
      <c r="P37" s="3"/>
      <c r="T37" s="3">
        <f>(T8/T$5)/(P8/P$5)-1</f>
        <v>-1.3701111531674637E-2</v>
      </c>
      <c r="U37" s="3">
        <f>(U8/U$5)/(Q8/Q$5)-1</f>
        <v>-3.105110314259163E-2</v>
      </c>
      <c r="V37" s="3">
        <f>(V8/V$5)/(R8/R$5)-1</f>
        <v>-2.7250918544309721E-2</v>
      </c>
      <c r="W37" s="3">
        <f>(W8/W$5)/(S8/S$5)-1</f>
        <v>-1.3654443816995765E-2</v>
      </c>
      <c r="X37" s="6">
        <f>(X8/X$5)/(T8/T$5)-1</f>
        <v>-4.3086725945171489E-2</v>
      </c>
    </row>
    <row r="38" spans="2:24" x14ac:dyDescent="0.25">
      <c r="B38" t="s">
        <v>27</v>
      </c>
      <c r="C38" s="3"/>
      <c r="D38" s="3">
        <f>(D9/D$5)/(C9/C$5)-1</f>
        <v>0.20362925045158642</v>
      </c>
      <c r="E38" s="3">
        <f>(E9/E$5)/(D9/D$5)-1</f>
        <v>-1.524319783110395E-2</v>
      </c>
      <c r="F38" s="3">
        <f>(F9/F$5)/(E9/E$5)-1</f>
        <v>4.4066292475023694E-2</v>
      </c>
      <c r="G38" s="6">
        <f>(G9/G$5)/(F9/F$5)-1</f>
        <v>-4.5545975644918357E-2</v>
      </c>
      <c r="P38" s="3"/>
      <c r="T38" s="3">
        <f>(T9/T$5)/(P9/P$5)-1</f>
        <v>-7.0139632705617072E-2</v>
      </c>
      <c r="U38" s="3">
        <f>(U9/U$5)/(Q9/Q$5)-1</f>
        <v>-4.652566349234788E-2</v>
      </c>
      <c r="V38" s="3">
        <f>(V9/V$5)/(R9/R$5)-1</f>
        <v>-8.6383418699529924E-2</v>
      </c>
      <c r="W38" s="3">
        <f>(W9/W$5)/(S9/S$5)-1</f>
        <v>1.7787651933335535E-2</v>
      </c>
      <c r="X38" s="6">
        <f>(X9/X$5)/(T9/T$5)-1</f>
        <v>4.4551590987174983E-2</v>
      </c>
    </row>
    <row r="39" spans="2:24" x14ac:dyDescent="0.25">
      <c r="B39" t="s">
        <v>209</v>
      </c>
      <c r="C39" s="3"/>
      <c r="D39" s="3">
        <f>(D10/D$5)/(C10/C$5)-1</f>
        <v>0.21074901575374061</v>
      </c>
      <c r="E39" s="3">
        <f>(E10/E$5)/(D10/D$5)-1</f>
        <v>-0.1887270082206195</v>
      </c>
      <c r="F39" s="3">
        <f>(F10/F$5)/(E10/E$5)-1</f>
        <v>-4.9600553446799589E-2</v>
      </c>
      <c r="G39" s="6">
        <f>(G10/G$5)/(F10/F$5)-1</f>
        <v>-3.4957596389441514E-2</v>
      </c>
      <c r="P39" s="3"/>
      <c r="T39" s="3">
        <f>(T10/T$5)/(P10/P$5)-1</f>
        <v>-8.3141302458677013E-2</v>
      </c>
      <c r="U39" s="3">
        <f>(U10/U$5)/(Q10/Q$5)-1</f>
        <v>9.2026224127415013E-3</v>
      </c>
      <c r="V39" s="3">
        <f>(V10/V$5)/(R10/R$5)-1</f>
        <v>-3.4243105084885705E-2</v>
      </c>
      <c r="W39" s="3">
        <f>(W10/W$5)/(S10/S$5)-1</f>
        <v>-3.3090535675324051E-2</v>
      </c>
      <c r="X39" s="6">
        <f>(X10/X$5)/(T10/T$5)-1</f>
        <v>4.0992694715056954E-2</v>
      </c>
    </row>
    <row r="40" spans="2:24" x14ac:dyDescent="0.25">
      <c r="C40" s="3"/>
      <c r="D40" s="3"/>
      <c r="E40" s="3"/>
      <c r="F40" s="3"/>
      <c r="G40" s="6"/>
      <c r="P40" s="3"/>
      <c r="T40" s="3"/>
      <c r="U40" s="3"/>
      <c r="V40" s="3"/>
      <c r="W40" s="3"/>
      <c r="X40" s="6"/>
    </row>
    <row r="41" spans="2:24" x14ac:dyDescent="0.25">
      <c r="B41" s="121" t="s">
        <v>231</v>
      </c>
      <c r="C41" s="3"/>
      <c r="D41" s="3"/>
      <c r="E41" s="3"/>
      <c r="F41" s="3"/>
      <c r="G41" s="6"/>
      <c r="P41" s="3"/>
      <c r="T41" s="3"/>
      <c r="U41" s="3"/>
      <c r="V41" s="3"/>
      <c r="W41" s="3"/>
      <c r="X41" s="6"/>
    </row>
    <row r="42" spans="2:24" x14ac:dyDescent="0.25">
      <c r="B42" t="s">
        <v>21</v>
      </c>
      <c r="C42" s="3"/>
      <c r="D42" s="3"/>
      <c r="E42" s="3"/>
      <c r="F42" s="3"/>
      <c r="G42" s="6"/>
      <c r="P42" s="179">
        <f>P22</f>
        <v>-10.162000000000003</v>
      </c>
      <c r="Q42" s="179">
        <f>Q22</f>
        <v>-1.1879999999999882</v>
      </c>
      <c r="R42" s="179">
        <f>R22</f>
        <v>-2.0240000000000218</v>
      </c>
      <c r="S42" s="179">
        <f>S22</f>
        <v>-7.7619999999999649</v>
      </c>
      <c r="T42" s="179">
        <f>T22</f>
        <v>-1.5339999999999927</v>
      </c>
      <c r="U42" s="179">
        <f>U22</f>
        <v>6.9479999999999906</v>
      </c>
      <c r="V42" s="179">
        <f>V22</f>
        <v>7.6269999999999243</v>
      </c>
      <c r="W42" s="179">
        <f>W22</f>
        <v>6.765999999999984</v>
      </c>
      <c r="X42" s="180">
        <f>X22</f>
        <v>2.0400000000000489</v>
      </c>
    </row>
    <row r="43" spans="2:24" x14ac:dyDescent="0.25">
      <c r="B43" t="s">
        <v>235</v>
      </c>
      <c r="C43" s="3"/>
      <c r="D43" s="3"/>
      <c r="E43" s="3"/>
      <c r="F43" s="3"/>
      <c r="G43" s="6"/>
      <c r="P43" s="179">
        <f>P21</f>
        <v>-1.1200000000000001</v>
      </c>
      <c r="Q43" s="179">
        <f>Q21</f>
        <v>-0.115</v>
      </c>
      <c r="R43" s="179">
        <f>R21</f>
        <v>-0.28699999999999998</v>
      </c>
      <c r="S43" s="179">
        <f>S21</f>
        <v>-0.35399999999999998</v>
      </c>
      <c r="T43" s="179">
        <f>T21</f>
        <v>-8.7999999999999995E-2</v>
      </c>
      <c r="U43" s="179">
        <f>U21</f>
        <v>0.27500000000000002</v>
      </c>
      <c r="V43" s="179">
        <f>V21</f>
        <v>0.50900000000000001</v>
      </c>
      <c r="W43" s="179">
        <f>W21</f>
        <v>0.03</v>
      </c>
      <c r="X43" s="180">
        <f>X21</f>
        <v>0.17399999999999999</v>
      </c>
    </row>
    <row r="44" spans="2:24" x14ac:dyDescent="0.25">
      <c r="B44" t="s">
        <v>233</v>
      </c>
      <c r="C44" s="3"/>
      <c r="D44" s="3"/>
      <c r="E44" s="3"/>
      <c r="F44" s="3"/>
      <c r="G44" s="6"/>
      <c r="P44" s="179">
        <v>6</v>
      </c>
      <c r="Q44" s="179">
        <v>0.75</v>
      </c>
      <c r="R44" s="179"/>
      <c r="S44" s="179">
        <v>-0.04</v>
      </c>
      <c r="T44" s="179">
        <v>1.004</v>
      </c>
      <c r="U44" s="179"/>
      <c r="V44" s="179"/>
      <c r="W44" s="179">
        <v>-0.38500000000000001</v>
      </c>
      <c r="X44" s="180">
        <v>0</v>
      </c>
    </row>
    <row r="45" spans="2:24" x14ac:dyDescent="0.25">
      <c r="B45" t="s">
        <v>236</v>
      </c>
      <c r="C45" s="3"/>
      <c r="D45" s="3"/>
      <c r="E45" s="3"/>
      <c r="F45" s="3"/>
      <c r="G45" s="6"/>
      <c r="P45" s="179"/>
      <c r="Q45" s="179"/>
      <c r="R45" s="179"/>
      <c r="S45" s="179">
        <v>0</v>
      </c>
      <c r="T45" s="179">
        <v>0</v>
      </c>
      <c r="U45" s="179"/>
      <c r="V45" s="179"/>
      <c r="W45" s="179">
        <v>0</v>
      </c>
      <c r="X45" s="180">
        <v>1.391</v>
      </c>
    </row>
    <row r="46" spans="2:24" s="164" customFormat="1" x14ac:dyDescent="0.25">
      <c r="B46" s="164" t="s">
        <v>237</v>
      </c>
      <c r="C46" s="165"/>
      <c r="D46" s="165"/>
      <c r="E46" s="165"/>
      <c r="F46" s="165"/>
      <c r="G46" s="166"/>
      <c r="P46" s="181"/>
      <c r="Q46" s="181"/>
      <c r="R46" s="181"/>
      <c r="S46" s="181"/>
      <c r="T46" s="181">
        <v>0</v>
      </c>
      <c r="U46" s="181"/>
      <c r="V46" s="181"/>
      <c r="W46" s="181">
        <v>0.20599999999999999</v>
      </c>
      <c r="X46" s="182">
        <v>0.47899999999999998</v>
      </c>
    </row>
    <row r="47" spans="2:24" x14ac:dyDescent="0.25">
      <c r="B47" t="s">
        <v>27</v>
      </c>
      <c r="C47" s="3"/>
      <c r="D47" s="3"/>
      <c r="E47" s="3"/>
      <c r="F47" s="3"/>
      <c r="G47" s="6"/>
      <c r="P47" s="179">
        <v>-1.2809999999999999</v>
      </c>
      <c r="Q47" s="179"/>
      <c r="R47" s="179"/>
      <c r="S47" s="179">
        <v>9.9000000000000005E-2</v>
      </c>
      <c r="T47" s="179">
        <v>0.628</v>
      </c>
      <c r="U47" s="179">
        <v>1.6930000000000001</v>
      </c>
      <c r="V47" s="179">
        <v>0.21099999999999999</v>
      </c>
      <c r="W47" s="179">
        <v>1.0649999999999999</v>
      </c>
      <c r="X47" s="180">
        <v>1.1830000000000001</v>
      </c>
    </row>
    <row r="48" spans="2:24" x14ac:dyDescent="0.25">
      <c r="B48" t="s">
        <v>238</v>
      </c>
      <c r="C48" s="3"/>
      <c r="D48" s="3"/>
      <c r="E48" s="3"/>
      <c r="F48" s="3"/>
      <c r="G48" s="6"/>
      <c r="P48" s="179">
        <v>-1.595</v>
      </c>
      <c r="Q48" s="179">
        <v>0.68400000000000005</v>
      </c>
      <c r="R48" s="179">
        <v>-1.0999999999999999E-2</v>
      </c>
      <c r="S48" s="179">
        <v>5.4649999999999999</v>
      </c>
      <c r="T48" s="179">
        <v>-0.3</v>
      </c>
      <c r="U48" s="179">
        <v>-1.036</v>
      </c>
      <c r="V48" s="179">
        <v>-0.81</v>
      </c>
      <c r="W48" s="179">
        <v>-6.6509999999999998</v>
      </c>
      <c r="X48" s="180">
        <v>0.35599999999999998</v>
      </c>
    </row>
    <row r="49" spans="2:24" s="1" customFormat="1" x14ac:dyDescent="0.25">
      <c r="B49" s="1" t="s">
        <v>239</v>
      </c>
      <c r="C49" s="162"/>
      <c r="D49" s="162"/>
      <c r="E49" s="162"/>
      <c r="F49" s="162"/>
      <c r="G49" s="163"/>
      <c r="M49" s="155"/>
      <c r="N49" s="155"/>
      <c r="O49" s="155"/>
      <c r="P49" s="183">
        <f t="shared" ref="P49:W49" si="49">SUM(P42:P48)</f>
        <v>-8.158000000000003</v>
      </c>
      <c r="Q49" s="183">
        <f t="shared" si="49"/>
        <v>0.13100000000001188</v>
      </c>
      <c r="R49" s="183">
        <f t="shared" si="49"/>
        <v>-2.3220000000000218</v>
      </c>
      <c r="S49" s="183">
        <f t="shared" si="49"/>
        <v>-2.5919999999999632</v>
      </c>
      <c r="T49" s="183">
        <f>SUM(T42:T48)</f>
        <v>-0.28999999999999276</v>
      </c>
      <c r="U49" s="183">
        <f t="shared" si="49"/>
        <v>7.8799999999999919</v>
      </c>
      <c r="V49" s="183">
        <f t="shared" si="49"/>
        <v>7.5369999999999244</v>
      </c>
      <c r="W49" s="183">
        <f t="shared" si="49"/>
        <v>1.0309999999999846</v>
      </c>
      <c r="X49" s="184">
        <f>SUM(X42:X48)</f>
        <v>5.6230000000000482</v>
      </c>
    </row>
    <row r="50" spans="2:24" s="1" customFormat="1" x14ac:dyDescent="0.25">
      <c r="B50" s="1" t="s">
        <v>234</v>
      </c>
      <c r="C50" s="162"/>
      <c r="D50" s="162"/>
      <c r="E50" s="162"/>
      <c r="F50" s="162"/>
      <c r="G50" s="163"/>
      <c r="P50" s="185">
        <f>P49/42.083</f>
        <v>-0.19385500083168983</v>
      </c>
      <c r="Q50" s="185">
        <f>Q49/43.704</f>
        <v>2.9974373055100651E-3</v>
      </c>
      <c r="R50" s="185">
        <f>R49/42.145</f>
        <v>-5.5095503618460592E-2</v>
      </c>
      <c r="S50" s="185">
        <f>S49/42.153</f>
        <v>-6.1490285388939421E-2</v>
      </c>
      <c r="T50" s="183">
        <f>T49/42.184</f>
        <v>-6.8746444149438831E-3</v>
      </c>
      <c r="U50" s="185">
        <f>U49/43.886</f>
        <v>0.17955612268149276</v>
      </c>
      <c r="V50" s="185">
        <f>V49/43.978</f>
        <v>0.17138114511801184</v>
      </c>
      <c r="W50" s="185">
        <f>W49/43.944</f>
        <v>2.3461678499908625E-2</v>
      </c>
      <c r="X50" s="184">
        <f>X49/44.089</f>
        <v>0.12753748100433324</v>
      </c>
    </row>
    <row r="51" spans="2:24" x14ac:dyDescent="0.25">
      <c r="C51" s="3"/>
      <c r="D51" s="3"/>
      <c r="E51" s="3"/>
      <c r="F51" s="3"/>
      <c r="G51" s="6"/>
      <c r="P51" s="3"/>
      <c r="T51" s="3"/>
      <c r="U51" s="3"/>
      <c r="V51" s="3"/>
      <c r="W51" s="3"/>
      <c r="X51" s="6"/>
    </row>
    <row r="53" spans="2:24" s="1" customFormat="1" x14ac:dyDescent="0.25">
      <c r="B53" s="1" t="s">
        <v>41</v>
      </c>
      <c r="C53" s="11">
        <f t="shared" ref="C53:E53" si="50">C54+C55-C71</f>
        <v>0</v>
      </c>
      <c r="D53" s="11">
        <f t="shared" si="50"/>
        <v>183.76</v>
      </c>
      <c r="E53" s="11">
        <f t="shared" si="50"/>
        <v>138.864</v>
      </c>
      <c r="F53" s="11">
        <f>F54+F55-F71</f>
        <v>66.638999999999953</v>
      </c>
      <c r="G53" s="14">
        <f>G54+G55-G71</f>
        <v>47.578000000000003</v>
      </c>
      <c r="H53" s="11">
        <f>H54+H55-H71-H72</f>
        <v>0</v>
      </c>
      <c r="L53" s="11">
        <f>L54+L55-L71</f>
        <v>0</v>
      </c>
      <c r="M53" s="11">
        <f t="shared" ref="M53:W53" si="51">M54+M55-M71</f>
        <v>0</v>
      </c>
      <c r="N53" s="11">
        <f t="shared" si="51"/>
        <v>0</v>
      </c>
      <c r="O53" s="11">
        <f t="shared" si="51"/>
        <v>0</v>
      </c>
      <c r="P53" s="11">
        <f t="shared" si="51"/>
        <v>0</v>
      </c>
      <c r="Q53" s="11">
        <f t="shared" si="51"/>
        <v>0</v>
      </c>
      <c r="R53" s="11">
        <f t="shared" si="51"/>
        <v>0</v>
      </c>
      <c r="S53" s="11">
        <f t="shared" si="51"/>
        <v>66.638999999999953</v>
      </c>
      <c r="T53" s="11">
        <f t="shared" si="51"/>
        <v>48.579000000000008</v>
      </c>
      <c r="U53" s="11">
        <f t="shared" si="51"/>
        <v>50.121000000000038</v>
      </c>
      <c r="V53" s="11">
        <f t="shared" si="51"/>
        <v>39.601999999999975</v>
      </c>
      <c r="W53" s="152">
        <f t="shared" si="51"/>
        <v>47.578000000000003</v>
      </c>
      <c r="X53" s="14">
        <f t="shared" ref="X53" si="52">X54+X55-X71</f>
        <v>38.874999999999972</v>
      </c>
    </row>
    <row r="54" spans="2:24" x14ac:dyDescent="0.25">
      <c r="B54" t="s">
        <v>25</v>
      </c>
      <c r="C54" s="10"/>
      <c r="D54" s="10">
        <v>146.87299999999999</v>
      </c>
      <c r="E54" s="10">
        <v>302.40600000000001</v>
      </c>
      <c r="F54" s="10">
        <v>230.52099999999999</v>
      </c>
      <c r="G54" s="15">
        <v>224.65299999999999</v>
      </c>
      <c r="L54" s="10"/>
      <c r="M54" s="10"/>
      <c r="N54" s="10"/>
      <c r="O54" s="10"/>
      <c r="P54" s="10"/>
      <c r="Q54" s="10"/>
      <c r="R54" s="10"/>
      <c r="S54" s="10">
        <f>F54</f>
        <v>230.52099999999999</v>
      </c>
      <c r="T54" s="10">
        <v>293.43</v>
      </c>
      <c r="U54" s="10">
        <v>203.697</v>
      </c>
      <c r="V54" s="10">
        <v>190.02</v>
      </c>
      <c r="W54" s="151">
        <f>G54</f>
        <v>224.65299999999999</v>
      </c>
      <c r="X54" s="15">
        <v>260.20299999999997</v>
      </c>
    </row>
    <row r="55" spans="2:24" x14ac:dyDescent="0.25">
      <c r="B55" t="s">
        <v>214</v>
      </c>
      <c r="C55" s="10"/>
      <c r="D55" s="10">
        <v>36.887</v>
      </c>
      <c r="E55" s="10">
        <v>80</v>
      </c>
      <c r="F55" s="10">
        <v>80.706999999999994</v>
      </c>
      <c r="G55" s="15">
        <v>68.561000000000007</v>
      </c>
      <c r="L55" s="10"/>
      <c r="M55" s="10"/>
      <c r="N55" s="10"/>
      <c r="O55" s="10"/>
      <c r="P55" s="10"/>
      <c r="Q55" s="10"/>
      <c r="R55" s="10"/>
      <c r="S55" s="10">
        <f t="shared" ref="S55:S58" si="53">F55</f>
        <v>80.706999999999994</v>
      </c>
      <c r="T55" s="10">
        <v>0</v>
      </c>
      <c r="U55" s="10">
        <v>91.537000000000006</v>
      </c>
      <c r="V55" s="10">
        <v>94.956999999999994</v>
      </c>
      <c r="W55" s="151">
        <f t="shared" ref="W55:W58" si="54">G55</f>
        <v>68.561000000000007</v>
      </c>
      <c r="X55" s="15">
        <v>24.57</v>
      </c>
    </row>
    <row r="56" spans="2:24" x14ac:dyDescent="0.25">
      <c r="B56" t="s">
        <v>26</v>
      </c>
      <c r="C56" s="10"/>
      <c r="D56" s="10">
        <v>9.4640000000000004</v>
      </c>
      <c r="E56" s="10">
        <v>13.657</v>
      </c>
      <c r="F56" s="10">
        <v>13.877000000000001</v>
      </c>
      <c r="G56" s="15">
        <v>16.847000000000001</v>
      </c>
      <c r="L56" s="10"/>
      <c r="M56" s="10"/>
      <c r="N56" s="10"/>
      <c r="O56" s="10"/>
      <c r="P56" s="10"/>
      <c r="Q56" s="10"/>
      <c r="R56" s="10"/>
      <c r="S56" s="10">
        <f t="shared" si="53"/>
        <v>13.877000000000001</v>
      </c>
      <c r="T56" s="10">
        <v>14.175000000000001</v>
      </c>
      <c r="U56" s="10">
        <v>14.332000000000001</v>
      </c>
      <c r="V56" s="10">
        <v>13.888999999999999</v>
      </c>
      <c r="W56" s="151">
        <f t="shared" si="54"/>
        <v>16.847000000000001</v>
      </c>
      <c r="X56" s="15">
        <v>14.458</v>
      </c>
    </row>
    <row r="57" spans="2:24" x14ac:dyDescent="0.25">
      <c r="B57" t="s">
        <v>80</v>
      </c>
      <c r="C57" s="10"/>
      <c r="D57" s="10">
        <v>2.8879999999999999</v>
      </c>
      <c r="E57" s="10">
        <v>3.85</v>
      </c>
      <c r="F57" s="10">
        <v>4.1840000000000002</v>
      </c>
      <c r="G57" s="15">
        <v>5.4039999999999999</v>
      </c>
      <c r="L57" s="10"/>
      <c r="M57" s="10"/>
      <c r="N57" s="10"/>
      <c r="O57" s="10"/>
      <c r="P57" s="10"/>
      <c r="Q57" s="10"/>
      <c r="R57" s="10"/>
      <c r="S57" s="10">
        <f t="shared" si="53"/>
        <v>4.1840000000000002</v>
      </c>
      <c r="T57" s="10">
        <v>4.3940000000000001</v>
      </c>
      <c r="U57" s="10">
        <v>4.6740000000000004</v>
      </c>
      <c r="V57" s="10">
        <v>4.6079999999999997</v>
      </c>
      <c r="W57" s="151">
        <f t="shared" si="54"/>
        <v>5.4039999999999999</v>
      </c>
      <c r="X57" s="15">
        <v>5.0730000000000004</v>
      </c>
    </row>
    <row r="58" spans="2:24" x14ac:dyDescent="0.25">
      <c r="B58" t="s">
        <v>77</v>
      </c>
      <c r="C58" s="10"/>
      <c r="D58" s="10">
        <v>7.0739999999999998</v>
      </c>
      <c r="E58" s="10">
        <v>9.7629999999999999</v>
      </c>
      <c r="F58" s="10">
        <v>14.699</v>
      </c>
      <c r="G58" s="15">
        <v>18.966999999999999</v>
      </c>
      <c r="L58" s="10"/>
      <c r="M58" s="10"/>
      <c r="N58" s="10"/>
      <c r="O58" s="10"/>
      <c r="P58" s="10"/>
      <c r="Q58" s="10"/>
      <c r="R58" s="10"/>
      <c r="S58" s="10">
        <f t="shared" si="53"/>
        <v>14.699</v>
      </c>
      <c r="T58" s="10">
        <v>18.074999999999999</v>
      </c>
      <c r="U58" s="10">
        <v>15.278</v>
      </c>
      <c r="V58" s="10">
        <v>19.762</v>
      </c>
      <c r="W58" s="151">
        <f t="shared" si="54"/>
        <v>18.966999999999999</v>
      </c>
      <c r="X58" s="15">
        <v>21.885000000000002</v>
      </c>
    </row>
    <row r="59" spans="2:24" s="1" customFormat="1" x14ac:dyDescent="0.25">
      <c r="B59" s="1" t="s">
        <v>63</v>
      </c>
      <c r="C59" s="11">
        <f>SUM(C54:C58)</f>
        <v>0</v>
      </c>
      <c r="D59" s="11">
        <f>SUM(D54:D58)</f>
        <v>203.18600000000001</v>
      </c>
      <c r="E59" s="11">
        <f>SUM(E54:E58)</f>
        <v>409.67599999999999</v>
      </c>
      <c r="F59" s="11">
        <f>SUM(F54:F58)</f>
        <v>343.988</v>
      </c>
      <c r="G59" s="14">
        <f>SUM(G54:G58)</f>
        <v>334.43199999999996</v>
      </c>
      <c r="L59" s="11">
        <f t="shared" ref="L59:W59" si="55">SUM(L54:L58)</f>
        <v>0</v>
      </c>
      <c r="M59" s="11">
        <f t="shared" si="55"/>
        <v>0</v>
      </c>
      <c r="N59" s="11">
        <f t="shared" si="55"/>
        <v>0</v>
      </c>
      <c r="O59" s="11">
        <f t="shared" si="55"/>
        <v>0</v>
      </c>
      <c r="P59" s="11">
        <f t="shared" si="55"/>
        <v>0</v>
      </c>
      <c r="Q59" s="11">
        <f t="shared" si="55"/>
        <v>0</v>
      </c>
      <c r="R59" s="11">
        <f t="shared" si="55"/>
        <v>0</v>
      </c>
      <c r="S59" s="11">
        <f t="shared" si="55"/>
        <v>343.988</v>
      </c>
      <c r="T59" s="11">
        <f t="shared" si="55"/>
        <v>330.07400000000001</v>
      </c>
      <c r="U59" s="11">
        <f t="shared" si="55"/>
        <v>329.51800000000003</v>
      </c>
      <c r="V59" s="11">
        <f t="shared" si="55"/>
        <v>323.23599999999999</v>
      </c>
      <c r="W59" s="152">
        <f t="shared" si="55"/>
        <v>334.43199999999996</v>
      </c>
      <c r="X59" s="14">
        <f t="shared" ref="X59" si="56">SUM(X54:X58)</f>
        <v>326.18899999999996</v>
      </c>
    </row>
    <row r="60" spans="2:24" x14ac:dyDescent="0.25">
      <c r="B60" t="s">
        <v>78</v>
      </c>
      <c r="C60" s="10"/>
      <c r="D60" s="10">
        <v>336.541</v>
      </c>
      <c r="E60" s="10">
        <v>389.38600000000002</v>
      </c>
      <c r="F60" s="10">
        <v>467.03100000000001</v>
      </c>
      <c r="G60" s="15">
        <v>530.995</v>
      </c>
      <c r="L60" s="10"/>
      <c r="M60" s="10"/>
      <c r="N60" s="10"/>
      <c r="O60" s="10"/>
      <c r="P60" s="10"/>
      <c r="Q60" s="10"/>
      <c r="R60" s="10"/>
      <c r="S60" s="10">
        <f t="shared" ref="S60:S63" si="57">F60</f>
        <v>467.03100000000001</v>
      </c>
      <c r="T60" s="10">
        <v>479.61700000000002</v>
      </c>
      <c r="U60" s="10">
        <v>500.08499999999998</v>
      </c>
      <c r="V60" s="10">
        <v>525.55700000000002</v>
      </c>
      <c r="W60" s="151">
        <f t="shared" ref="W60:W63" si="58">G60</f>
        <v>530.995</v>
      </c>
      <c r="X60" s="15">
        <v>537.62099999999998</v>
      </c>
    </row>
    <row r="61" spans="2:24" x14ac:dyDescent="0.25">
      <c r="B61" t="s">
        <v>65</v>
      </c>
      <c r="C61" s="10"/>
      <c r="D61" s="10">
        <v>306.31700000000001</v>
      </c>
      <c r="E61" s="10">
        <v>347.27699999999999</v>
      </c>
      <c r="F61" s="10">
        <v>367.488</v>
      </c>
      <c r="G61" s="15">
        <v>398.29599999999999</v>
      </c>
      <c r="L61" s="10"/>
      <c r="M61" s="10"/>
      <c r="N61" s="10"/>
      <c r="O61" s="10"/>
      <c r="P61" s="10"/>
      <c r="Q61" s="10"/>
      <c r="R61" s="10"/>
      <c r="S61" s="10">
        <f t="shared" si="57"/>
        <v>367.488</v>
      </c>
      <c r="T61" s="10">
        <v>379.47500000000002</v>
      </c>
      <c r="U61" s="10">
        <v>385.38600000000002</v>
      </c>
      <c r="V61" s="10">
        <v>397.87</v>
      </c>
      <c r="W61" s="151">
        <f t="shared" si="58"/>
        <v>398.29599999999999</v>
      </c>
      <c r="X61" s="15">
        <v>410.25400000000002</v>
      </c>
    </row>
    <row r="62" spans="2:24" x14ac:dyDescent="0.25">
      <c r="B62" t="s">
        <v>215</v>
      </c>
      <c r="C62" s="10"/>
      <c r="D62" s="10">
        <v>287.00700000000001</v>
      </c>
      <c r="E62" s="10">
        <v>298.66800000000001</v>
      </c>
      <c r="F62" s="10">
        <v>317.62599999999998</v>
      </c>
      <c r="G62" s="15">
        <v>326.20800000000003</v>
      </c>
      <c r="L62" s="10"/>
      <c r="M62" s="10"/>
      <c r="N62" s="10"/>
      <c r="O62" s="10"/>
      <c r="P62" s="10"/>
      <c r="Q62" s="10"/>
      <c r="R62" s="10"/>
      <c r="S62" s="10">
        <f t="shared" si="57"/>
        <v>317.62599999999998</v>
      </c>
      <c r="T62" s="10">
        <v>301.53800000000001</v>
      </c>
      <c r="U62" s="10">
        <v>302.02499999999998</v>
      </c>
      <c r="V62" s="10">
        <v>302.15600000000001</v>
      </c>
      <c r="W62" s="151">
        <f t="shared" si="58"/>
        <v>326.20800000000003</v>
      </c>
      <c r="X62" s="15">
        <v>329.95600000000002</v>
      </c>
    </row>
    <row r="63" spans="2:24" x14ac:dyDescent="0.25">
      <c r="B63" t="s">
        <v>27</v>
      </c>
      <c r="C63" s="10"/>
      <c r="D63" s="10">
        <v>12.297000000000001</v>
      </c>
      <c r="E63" s="10">
        <v>12.563000000000001</v>
      </c>
      <c r="F63" s="10">
        <v>15.817</v>
      </c>
      <c r="G63" s="15">
        <v>15.926</v>
      </c>
      <c r="L63" s="10"/>
      <c r="M63" s="10"/>
      <c r="N63" s="10"/>
      <c r="O63" s="10"/>
      <c r="P63" s="10"/>
      <c r="Q63" s="10"/>
      <c r="R63" s="10"/>
      <c r="S63" s="10">
        <f t="shared" si="57"/>
        <v>15.817</v>
      </c>
      <c r="T63" s="10">
        <v>16.210999999999999</v>
      </c>
      <c r="U63" s="10">
        <v>15.802</v>
      </c>
      <c r="V63" s="10">
        <v>16.036999999999999</v>
      </c>
      <c r="W63" s="151">
        <f t="shared" si="58"/>
        <v>15.926</v>
      </c>
      <c r="X63" s="15">
        <v>14.811999999999999</v>
      </c>
    </row>
    <row r="64" spans="2:24" x14ac:dyDescent="0.25">
      <c r="B64" s="1" t="s">
        <v>28</v>
      </c>
      <c r="C64" s="11">
        <f>SUM(C59:C63)</f>
        <v>0</v>
      </c>
      <c r="D64" s="11">
        <f>SUM(D59:D63)</f>
        <v>1145.348</v>
      </c>
      <c r="E64" s="11">
        <f>SUM(E59:E63)</f>
        <v>1457.5700000000002</v>
      </c>
      <c r="F64" s="11">
        <f>SUM(F59:F63)</f>
        <v>1511.95</v>
      </c>
      <c r="G64" s="14">
        <f>SUM(G59:G63)</f>
        <v>1605.857</v>
      </c>
      <c r="L64" s="11">
        <f t="shared" ref="L64:W64" si="59">SUM(L59:L63)</f>
        <v>0</v>
      </c>
      <c r="M64" s="11">
        <f t="shared" si="59"/>
        <v>0</v>
      </c>
      <c r="N64" s="11">
        <f t="shared" si="59"/>
        <v>0</v>
      </c>
      <c r="O64" s="11">
        <f t="shared" si="59"/>
        <v>0</v>
      </c>
      <c r="P64" s="11">
        <f t="shared" si="59"/>
        <v>0</v>
      </c>
      <c r="Q64" s="11">
        <f t="shared" si="59"/>
        <v>0</v>
      </c>
      <c r="R64" s="11">
        <f t="shared" si="59"/>
        <v>0</v>
      </c>
      <c r="S64" s="11">
        <f t="shared" si="59"/>
        <v>1511.95</v>
      </c>
      <c r="T64" s="11">
        <f t="shared" si="59"/>
        <v>1506.9150000000002</v>
      </c>
      <c r="U64" s="11">
        <f t="shared" si="59"/>
        <v>1532.816</v>
      </c>
      <c r="V64" s="11">
        <f t="shared" si="59"/>
        <v>1564.856</v>
      </c>
      <c r="W64" s="152">
        <f t="shared" si="59"/>
        <v>1605.857</v>
      </c>
      <c r="X64" s="14">
        <f t="shared" ref="X64" si="60">SUM(X59:X63)</f>
        <v>1618.8319999999999</v>
      </c>
    </row>
    <row r="65" spans="2:25" x14ac:dyDescent="0.25">
      <c r="B65" t="s">
        <v>30</v>
      </c>
      <c r="C65" s="10"/>
      <c r="D65" s="10">
        <v>23.486999999999998</v>
      </c>
      <c r="E65" s="10">
        <v>19.946999999999999</v>
      </c>
      <c r="F65" s="10">
        <v>20.407</v>
      </c>
      <c r="G65" s="15">
        <v>22.273</v>
      </c>
      <c r="L65" s="10"/>
      <c r="M65" s="10"/>
      <c r="N65" s="10"/>
      <c r="O65" s="10"/>
      <c r="P65" s="10"/>
      <c r="Q65" s="10"/>
      <c r="R65" s="10"/>
      <c r="S65" s="10">
        <f t="shared" ref="S65:S69" si="61">F65</f>
        <v>20.407</v>
      </c>
      <c r="T65" s="10">
        <v>16.001999999999999</v>
      </c>
      <c r="U65" s="10">
        <v>17.004999999999999</v>
      </c>
      <c r="V65" s="10">
        <v>21.251000000000001</v>
      </c>
      <c r="W65" s="151">
        <f t="shared" ref="W65:W69" si="62">G65</f>
        <v>22.273</v>
      </c>
      <c r="X65" s="15">
        <v>15.163</v>
      </c>
    </row>
    <row r="66" spans="2:25" x14ac:dyDescent="0.25">
      <c r="B66" t="s">
        <v>216</v>
      </c>
      <c r="C66" s="10"/>
      <c r="D66" s="10">
        <v>25.92</v>
      </c>
      <c r="E66" s="10">
        <v>36.892000000000003</v>
      </c>
      <c r="F66" s="10">
        <v>47.945</v>
      </c>
      <c r="G66" s="15">
        <v>54.741999999999997</v>
      </c>
      <c r="L66" s="10"/>
      <c r="M66" s="10"/>
      <c r="N66" s="10"/>
      <c r="O66" s="10"/>
      <c r="P66" s="10"/>
      <c r="Q66" s="10"/>
      <c r="R66" s="10"/>
      <c r="S66" s="10">
        <f t="shared" si="61"/>
        <v>47.945</v>
      </c>
      <c r="T66" s="10">
        <v>45.677</v>
      </c>
      <c r="U66" s="10">
        <v>50.588000000000001</v>
      </c>
      <c r="V66" s="10">
        <v>47.63</v>
      </c>
      <c r="W66" s="151">
        <f t="shared" si="62"/>
        <v>54.741999999999997</v>
      </c>
      <c r="X66" s="15">
        <v>57.366</v>
      </c>
    </row>
    <row r="67" spans="2:25" x14ac:dyDescent="0.25">
      <c r="B67" t="s">
        <v>217</v>
      </c>
      <c r="C67" s="10"/>
      <c r="D67" s="10">
        <v>10.441000000000001</v>
      </c>
      <c r="E67" s="10">
        <v>14.638</v>
      </c>
      <c r="F67" s="10">
        <v>17.576000000000001</v>
      </c>
      <c r="G67" s="15">
        <v>20.945</v>
      </c>
      <c r="L67" s="10"/>
      <c r="M67" s="10"/>
      <c r="N67" s="10"/>
      <c r="O67" s="10"/>
      <c r="P67" s="10"/>
      <c r="Q67" s="10"/>
      <c r="R67" s="10"/>
      <c r="S67" s="10">
        <f t="shared" si="61"/>
        <v>17.576000000000001</v>
      </c>
      <c r="T67" s="10">
        <v>18.678000000000001</v>
      </c>
      <c r="U67" s="10">
        <v>18.221</v>
      </c>
      <c r="V67" s="10">
        <v>18.164000000000001</v>
      </c>
      <c r="W67" s="151">
        <f t="shared" si="62"/>
        <v>20.945</v>
      </c>
      <c r="X67" s="15">
        <v>19.248999999999999</v>
      </c>
    </row>
    <row r="68" spans="2:25" x14ac:dyDescent="0.25">
      <c r="B68" t="s">
        <v>218</v>
      </c>
      <c r="C68" s="10"/>
      <c r="D68" s="10">
        <v>35.656999999999996</v>
      </c>
      <c r="E68" s="10">
        <v>35.518999999999998</v>
      </c>
      <c r="F68" s="10">
        <v>42.238</v>
      </c>
      <c r="G68" s="15">
        <v>49.003999999999998</v>
      </c>
      <c r="L68" s="10"/>
      <c r="M68" s="10"/>
      <c r="N68" s="10"/>
      <c r="O68" s="10"/>
      <c r="P68" s="10"/>
      <c r="Q68" s="10"/>
      <c r="R68" s="10"/>
      <c r="S68" s="10">
        <f t="shared" si="61"/>
        <v>42.238</v>
      </c>
      <c r="T68" s="10">
        <v>44.578000000000003</v>
      </c>
      <c r="U68" s="10">
        <v>46.49</v>
      </c>
      <c r="V68" s="10">
        <v>47.61</v>
      </c>
      <c r="W68" s="151">
        <f t="shared" si="62"/>
        <v>49.003999999999998</v>
      </c>
      <c r="X68" s="15">
        <v>50.78</v>
      </c>
    </row>
    <row r="69" spans="2:25" x14ac:dyDescent="0.25">
      <c r="B69" t="s">
        <v>27</v>
      </c>
      <c r="C69" s="10"/>
      <c r="D69" s="10">
        <v>14.2</v>
      </c>
      <c r="E69" s="10">
        <v>14.500999999999999</v>
      </c>
      <c r="F69" s="10">
        <v>19.552</v>
      </c>
      <c r="G69" s="15">
        <v>17.103000000000002</v>
      </c>
      <c r="L69" s="10"/>
      <c r="M69" s="10"/>
      <c r="N69" s="10"/>
      <c r="O69" s="10"/>
      <c r="P69" s="10"/>
      <c r="Q69" s="10"/>
      <c r="R69" s="10"/>
      <c r="S69" s="10">
        <f t="shared" si="61"/>
        <v>19.552</v>
      </c>
      <c r="T69" s="10">
        <v>18.117000000000001</v>
      </c>
      <c r="U69" s="10">
        <v>17.881</v>
      </c>
      <c r="V69" s="10">
        <v>17.521999999999998</v>
      </c>
      <c r="W69" s="151">
        <f t="shared" si="62"/>
        <v>17.103000000000002</v>
      </c>
      <c r="X69" s="15">
        <v>18.524999999999999</v>
      </c>
    </row>
    <row r="70" spans="2:25" s="1" customFormat="1" x14ac:dyDescent="0.25">
      <c r="B70" s="1" t="s">
        <v>64</v>
      </c>
      <c r="C70" s="11">
        <f>SUM(C65:C69)</f>
        <v>0</v>
      </c>
      <c r="D70" s="11">
        <f>SUM(D65:D69)</f>
        <v>109.705</v>
      </c>
      <c r="E70" s="11">
        <f>SUM(E65:E69)</f>
        <v>121.49700000000001</v>
      </c>
      <c r="F70" s="11">
        <f>SUM(F65:F69)</f>
        <v>147.71799999999999</v>
      </c>
      <c r="G70" s="14">
        <f>SUM(G65:G69)</f>
        <v>164.06700000000001</v>
      </c>
      <c r="L70" s="11">
        <f t="shared" ref="L70:W70" si="63">SUM(L65:L69)</f>
        <v>0</v>
      </c>
      <c r="M70" s="11">
        <f t="shared" si="63"/>
        <v>0</v>
      </c>
      <c r="N70" s="11">
        <f t="shared" si="63"/>
        <v>0</v>
      </c>
      <c r="O70" s="11">
        <f t="shared" si="63"/>
        <v>0</v>
      </c>
      <c r="P70" s="11">
        <f t="shared" si="63"/>
        <v>0</v>
      </c>
      <c r="Q70" s="11">
        <f t="shared" si="63"/>
        <v>0</v>
      </c>
      <c r="R70" s="11">
        <f t="shared" si="63"/>
        <v>0</v>
      </c>
      <c r="S70" s="11">
        <f t="shared" si="63"/>
        <v>147.71799999999999</v>
      </c>
      <c r="T70" s="11">
        <f t="shared" si="63"/>
        <v>143.05199999999999</v>
      </c>
      <c r="U70" s="11">
        <f t="shared" si="63"/>
        <v>150.185</v>
      </c>
      <c r="V70" s="11">
        <f t="shared" si="63"/>
        <v>152.17699999999999</v>
      </c>
      <c r="W70" s="152">
        <f t="shared" si="63"/>
        <v>164.06700000000001</v>
      </c>
      <c r="X70" s="14">
        <f t="shared" ref="X70" si="64">SUM(X65:X69)</f>
        <v>161.083</v>
      </c>
      <c r="Y70" s="11"/>
    </row>
    <row r="71" spans="2:25" x14ac:dyDescent="0.25">
      <c r="B71" t="s">
        <v>219</v>
      </c>
      <c r="C71" s="10"/>
      <c r="D71" s="10">
        <v>0</v>
      </c>
      <c r="E71" s="10">
        <v>243.542</v>
      </c>
      <c r="F71" s="10">
        <v>244.589</v>
      </c>
      <c r="G71" s="15">
        <v>245.636</v>
      </c>
      <c r="L71" s="10"/>
      <c r="M71" s="10"/>
      <c r="N71" s="10"/>
      <c r="O71" s="10"/>
      <c r="P71" s="10"/>
      <c r="Q71" s="10"/>
      <c r="R71" s="10"/>
      <c r="S71" s="10">
        <f t="shared" ref="S71:S74" si="65">F71</f>
        <v>244.589</v>
      </c>
      <c r="T71" s="10">
        <v>244.851</v>
      </c>
      <c r="U71" s="10">
        <v>245.113</v>
      </c>
      <c r="V71" s="10">
        <v>245.375</v>
      </c>
      <c r="W71" s="151">
        <f t="shared" ref="W71:W74" si="66">G71</f>
        <v>245.636</v>
      </c>
      <c r="X71" s="15">
        <v>245.898</v>
      </c>
    </row>
    <row r="72" spans="2:25" x14ac:dyDescent="0.25">
      <c r="B72" t="s">
        <v>220</v>
      </c>
      <c r="C72" s="10"/>
      <c r="D72" s="10">
        <v>343.73599999999999</v>
      </c>
      <c r="E72" s="10">
        <v>400.113</v>
      </c>
      <c r="F72" s="10">
        <v>427.22699999999998</v>
      </c>
      <c r="G72" s="15">
        <v>464.53300000000002</v>
      </c>
      <c r="L72" s="10"/>
      <c r="M72" s="10"/>
      <c r="N72" s="10"/>
      <c r="O72" s="10"/>
      <c r="P72" s="10"/>
      <c r="Q72" s="10"/>
      <c r="R72" s="10"/>
      <c r="S72" s="10">
        <f t="shared" si="65"/>
        <v>427.22699999999998</v>
      </c>
      <c r="T72" s="10">
        <v>441.55399999999997</v>
      </c>
      <c r="U72" s="10">
        <v>448.58</v>
      </c>
      <c r="V72" s="10">
        <v>463.37</v>
      </c>
      <c r="W72" s="151">
        <f t="shared" si="66"/>
        <v>464.53300000000002</v>
      </c>
      <c r="X72" s="15">
        <v>476.70400000000001</v>
      </c>
    </row>
    <row r="73" spans="2:25" x14ac:dyDescent="0.25">
      <c r="B73" t="s">
        <v>221</v>
      </c>
      <c r="C73" s="10"/>
      <c r="D73" s="10">
        <v>232.95400000000001</v>
      </c>
      <c r="E73" s="10">
        <v>234.04499999999999</v>
      </c>
      <c r="F73" s="10">
        <v>234.893</v>
      </c>
      <c r="G73" s="15">
        <v>235.613</v>
      </c>
      <c r="L73" s="10"/>
      <c r="M73" s="10"/>
      <c r="N73" s="10"/>
      <c r="O73" s="10"/>
      <c r="P73" s="10"/>
      <c r="Q73" s="10"/>
      <c r="R73" s="10"/>
      <c r="S73" s="10">
        <f t="shared" si="65"/>
        <v>234.893</v>
      </c>
      <c r="T73" s="10">
        <v>235.36099999999999</v>
      </c>
      <c r="U73" s="10">
        <v>235.36099999999999</v>
      </c>
      <c r="V73" s="10">
        <v>235.614</v>
      </c>
      <c r="W73" s="151">
        <f t="shared" si="66"/>
        <v>235.613</v>
      </c>
      <c r="X73" s="15">
        <v>236.72800000000001</v>
      </c>
    </row>
    <row r="74" spans="2:25" x14ac:dyDescent="0.25">
      <c r="B74" t="s">
        <v>27</v>
      </c>
      <c r="C74" s="10"/>
      <c r="D74" s="10">
        <v>24.46</v>
      </c>
      <c r="E74" s="10">
        <v>22.773</v>
      </c>
      <c r="F74" s="10">
        <v>20.687000000000001</v>
      </c>
      <c r="G74" s="15">
        <v>26.638000000000002</v>
      </c>
      <c r="L74" s="10"/>
      <c r="M74" s="10"/>
      <c r="N74" s="10"/>
      <c r="O74" s="10"/>
      <c r="P74" s="10"/>
      <c r="Q74" s="10"/>
      <c r="R74" s="10"/>
      <c r="S74" s="10">
        <f t="shared" si="65"/>
        <v>20.687000000000001</v>
      </c>
      <c r="T74" s="10">
        <v>22.192</v>
      </c>
      <c r="U74" s="10">
        <v>22.218</v>
      </c>
      <c r="V74" s="10">
        <v>26.321999999999999</v>
      </c>
      <c r="W74" s="151">
        <f t="shared" si="66"/>
        <v>26.638000000000002</v>
      </c>
      <c r="X74" s="15">
        <v>26.126000000000001</v>
      </c>
    </row>
    <row r="75" spans="2:25" x14ac:dyDescent="0.25">
      <c r="B75" s="1" t="s">
        <v>29</v>
      </c>
      <c r="C75" s="11">
        <f>SUM(C70:C74)</f>
        <v>0</v>
      </c>
      <c r="D75" s="11">
        <f>SUM(D70:D74)</f>
        <v>710.85500000000002</v>
      </c>
      <c r="E75" s="11">
        <f>SUM(E70:E74)</f>
        <v>1021.97</v>
      </c>
      <c r="F75" s="11">
        <f>SUM(F70:F74)</f>
        <v>1075.1139999999998</v>
      </c>
      <c r="G75" s="14">
        <f>SUM(G70:G74)</f>
        <v>1136.4869999999999</v>
      </c>
      <c r="L75" s="11">
        <f t="shared" ref="L75:W75" si="67">SUM(L70:L74)</f>
        <v>0</v>
      </c>
      <c r="M75" s="11">
        <f t="shared" si="67"/>
        <v>0</v>
      </c>
      <c r="N75" s="11">
        <f t="shared" si="67"/>
        <v>0</v>
      </c>
      <c r="O75" s="11">
        <f t="shared" si="67"/>
        <v>0</v>
      </c>
      <c r="P75" s="11">
        <f t="shared" si="67"/>
        <v>0</v>
      </c>
      <c r="Q75" s="11">
        <f t="shared" si="67"/>
        <v>0</v>
      </c>
      <c r="R75" s="11">
        <f t="shared" si="67"/>
        <v>0</v>
      </c>
      <c r="S75" s="11">
        <f t="shared" si="67"/>
        <v>1075.1139999999998</v>
      </c>
      <c r="T75" s="11">
        <f t="shared" si="67"/>
        <v>1087.01</v>
      </c>
      <c r="U75" s="11">
        <f t="shared" si="67"/>
        <v>1101.4570000000001</v>
      </c>
      <c r="V75" s="11">
        <f t="shared" si="67"/>
        <v>1122.8579999999999</v>
      </c>
      <c r="W75" s="152">
        <f t="shared" si="67"/>
        <v>1136.4869999999999</v>
      </c>
      <c r="X75" s="14">
        <f t="shared" ref="X75" si="68">SUM(X70:X74)</f>
        <v>1146.539</v>
      </c>
    </row>
    <row r="76" spans="2:25" x14ac:dyDescent="0.25">
      <c r="B76" t="s">
        <v>79</v>
      </c>
      <c r="C76" s="10"/>
      <c r="D76" s="10">
        <f>D64-D75</f>
        <v>434.49299999999994</v>
      </c>
      <c r="E76" s="10">
        <f>E64-E75</f>
        <v>435.60000000000014</v>
      </c>
      <c r="F76" s="10">
        <f>F64-F75</f>
        <v>436.83600000000024</v>
      </c>
      <c r="G76" s="15">
        <f>G64-G75</f>
        <v>469.37000000000012</v>
      </c>
      <c r="P76" s="10">
        <f t="shared" ref="P76:R76" si="69">P64-P75</f>
        <v>0</v>
      </c>
      <c r="Q76" s="10">
        <f t="shared" si="69"/>
        <v>0</v>
      </c>
      <c r="R76" s="10">
        <f t="shared" si="69"/>
        <v>0</v>
      </c>
      <c r="S76" s="10">
        <f>S64-S75</f>
        <v>436.83600000000024</v>
      </c>
      <c r="T76" s="10">
        <f t="shared" ref="T76:W76" si="70">T64-T75</f>
        <v>419.9050000000002</v>
      </c>
      <c r="U76" s="10">
        <f t="shared" si="70"/>
        <v>431.35899999999992</v>
      </c>
      <c r="V76" s="10">
        <f t="shared" si="70"/>
        <v>441.99800000000005</v>
      </c>
      <c r="W76" s="151">
        <f t="shared" si="70"/>
        <v>469.37000000000012</v>
      </c>
      <c r="X76" s="15">
        <f t="shared" ref="X76" si="71">X64-X75</f>
        <v>472.29299999999989</v>
      </c>
    </row>
    <row r="78" spans="2:25" s="1" customFormat="1" x14ac:dyDescent="0.25">
      <c r="B78" s="1" t="s">
        <v>81</v>
      </c>
      <c r="C78" s="123" t="e">
        <f>-C18/(C74+C65)</f>
        <v>#DIV/0!</v>
      </c>
      <c r="D78" s="123">
        <f>-D18/(D74+D65)</f>
        <v>1.6997935220138902E-2</v>
      </c>
      <c r="E78" s="123">
        <f>-E18/(E74+E65)</f>
        <v>3.6914794007490634E-2</v>
      </c>
      <c r="F78" s="123">
        <f>-F18/(F74+F65)</f>
        <v>3.6939699226164406E-2</v>
      </c>
      <c r="G78" s="50">
        <f>-G18/(G74+G65)</f>
        <v>3.5104577702357344E-2</v>
      </c>
      <c r="W78" s="155"/>
      <c r="X78" s="16"/>
    </row>
    <row r="79" spans="2:25" x14ac:dyDescent="0.25">
      <c r="B79" t="s">
        <v>222</v>
      </c>
      <c r="E79" s="124"/>
      <c r="F79" s="124">
        <f>F71/E71-1</f>
        <v>4.2990531407314236E-3</v>
      </c>
      <c r="G79" s="122">
        <f>G71/F71-1</f>
        <v>4.2806503971968279E-3</v>
      </c>
    </row>
    <row r="96" spans="7:24" s="9" customFormat="1" x14ac:dyDescent="0.25">
      <c r="G96" s="42"/>
      <c r="W96" s="156"/>
      <c r="X96" s="42"/>
    </row>
    <row r="97" spans="7:24" s="1" customFormat="1" x14ac:dyDescent="0.25">
      <c r="G97" s="16"/>
      <c r="W97" s="155"/>
      <c r="X9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workbookViewId="0">
      <selection activeCell="X25" sqref="X25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0" sqref="P20"/>
    </sheetView>
  </sheetViews>
  <sheetFormatPr defaultRowHeight="15" x14ac:dyDescent="0.25"/>
  <cols>
    <col min="1" max="1" width="24.140625" bestFit="1" customWidth="1"/>
  </cols>
  <sheetData>
    <row r="1" spans="1:20" x14ac:dyDescent="0.25">
      <c r="B1">
        <v>2019</v>
      </c>
      <c r="C1">
        <v>2020</v>
      </c>
      <c r="D1">
        <v>2021</v>
      </c>
      <c r="E1">
        <v>2022</v>
      </c>
      <c r="F1">
        <v>2023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38</v>
      </c>
      <c r="O1" t="s">
        <v>42</v>
      </c>
      <c r="P1" t="s">
        <v>43</v>
      </c>
      <c r="Q1" t="s">
        <v>66</v>
      </c>
      <c r="R1" t="s">
        <v>69</v>
      </c>
      <c r="S1" t="s">
        <v>195</v>
      </c>
      <c r="T1" t="s">
        <v>196</v>
      </c>
    </row>
    <row r="2" spans="1:20" x14ac:dyDescent="0.25">
      <c r="A2" t="s">
        <v>190</v>
      </c>
      <c r="B2" s="10">
        <v>895</v>
      </c>
      <c r="C2" s="10">
        <v>779</v>
      </c>
      <c r="D2" s="10">
        <v>1120</v>
      </c>
      <c r="E2" s="10">
        <v>1380</v>
      </c>
      <c r="F2" s="10">
        <v>1700</v>
      </c>
      <c r="I2" s="10">
        <v>310</v>
      </c>
      <c r="J2">
        <v>352</v>
      </c>
      <c r="K2">
        <v>353</v>
      </c>
      <c r="L2">
        <v>364</v>
      </c>
      <c r="M2">
        <v>395</v>
      </c>
      <c r="N2">
        <v>426</v>
      </c>
      <c r="O2">
        <v>439</v>
      </c>
      <c r="P2" s="10">
        <f>F2-O2-N2-M2</f>
        <v>440</v>
      </c>
      <c r="Q2">
        <v>443</v>
      </c>
    </row>
    <row r="5" spans="1:20" x14ac:dyDescent="0.25">
      <c r="A5" t="s">
        <v>193</v>
      </c>
      <c r="I5">
        <v>68</v>
      </c>
      <c r="J5">
        <v>76</v>
      </c>
      <c r="K5">
        <v>73</v>
      </c>
      <c r="L5">
        <v>76</v>
      </c>
      <c r="M5">
        <v>73</v>
      </c>
      <c r="N5">
        <v>77</v>
      </c>
      <c r="O5">
        <v>74</v>
      </c>
      <c r="P5">
        <v>76</v>
      </c>
      <c r="Q5">
        <v>73</v>
      </c>
    </row>
    <row r="6" spans="1:20" x14ac:dyDescent="0.25">
      <c r="A6" t="s">
        <v>194</v>
      </c>
      <c r="I6" s="3">
        <v>0.12</v>
      </c>
      <c r="J6" s="3">
        <v>0.1</v>
      </c>
      <c r="K6" s="3">
        <v>0.06</v>
      </c>
      <c r="L6" s="3">
        <v>0.06</v>
      </c>
      <c r="M6" s="3">
        <v>0.1</v>
      </c>
      <c r="N6" s="3">
        <v>0.03</v>
      </c>
      <c r="O6" s="3">
        <v>0.02</v>
      </c>
      <c r="P6" s="3">
        <v>1.4E-2</v>
      </c>
      <c r="Q6" s="3">
        <v>0.02</v>
      </c>
    </row>
    <row r="7" spans="1:20" x14ac:dyDescent="0.25">
      <c r="A7" t="s">
        <v>197</v>
      </c>
      <c r="I7">
        <v>112.8</v>
      </c>
      <c r="J7">
        <v>128.6</v>
      </c>
      <c r="K7">
        <v>133.69999999999999</v>
      </c>
      <c r="L7">
        <v>134.1</v>
      </c>
      <c r="M7">
        <v>150.5</v>
      </c>
      <c r="N7">
        <v>164.5</v>
      </c>
      <c r="O7">
        <v>173.9</v>
      </c>
      <c r="P7">
        <v>166.4</v>
      </c>
      <c r="Q7">
        <v>162.69999999999999</v>
      </c>
    </row>
    <row r="9" spans="1:20" x14ac:dyDescent="0.25">
      <c r="A9" t="s">
        <v>228</v>
      </c>
      <c r="M9" s="3">
        <f t="shared" ref="M9:O9" si="0">M7/I7-1</f>
        <v>0.3342198581560285</v>
      </c>
      <c r="N9" s="3">
        <f t="shared" si="0"/>
        <v>0.27916018662519448</v>
      </c>
      <c r="O9" s="3">
        <f t="shared" si="0"/>
        <v>0.30067314884068819</v>
      </c>
      <c r="P9" s="3">
        <f>P7/L7-1</f>
        <v>0.24086502609992544</v>
      </c>
      <c r="Q9" s="3">
        <f>Q7/M7-1</f>
        <v>8.106312292358786E-2</v>
      </c>
    </row>
    <row r="13" spans="1:20" x14ac:dyDescent="0.25">
      <c r="A13" s="121" t="s">
        <v>198</v>
      </c>
    </row>
    <row r="14" spans="1:20" x14ac:dyDescent="0.25">
      <c r="A14" t="s">
        <v>199</v>
      </c>
      <c r="E14">
        <v>179</v>
      </c>
      <c r="F14">
        <v>209</v>
      </c>
      <c r="I14">
        <v>164</v>
      </c>
      <c r="J14">
        <v>165</v>
      </c>
      <c r="K14">
        <v>171</v>
      </c>
      <c r="L14">
        <v>179</v>
      </c>
      <c r="M14">
        <v>186</v>
      </c>
      <c r="N14">
        <v>197</v>
      </c>
      <c r="O14">
        <v>202</v>
      </c>
      <c r="P14">
        <v>209</v>
      </c>
      <c r="Q14">
        <v>224</v>
      </c>
    </row>
    <row r="16" spans="1:20" x14ac:dyDescent="0.25">
      <c r="A16" t="s">
        <v>200</v>
      </c>
      <c r="E16">
        <v>254</v>
      </c>
      <c r="F16">
        <v>295</v>
      </c>
      <c r="I16">
        <v>225</v>
      </c>
      <c r="J16">
        <v>230</v>
      </c>
      <c r="K16">
        <v>232</v>
      </c>
      <c r="L16">
        <v>254</v>
      </c>
      <c r="M16">
        <v>260</v>
      </c>
      <c r="N16">
        <v>270</v>
      </c>
      <c r="O16">
        <v>280</v>
      </c>
      <c r="P16">
        <v>295</v>
      </c>
      <c r="Q16">
        <v>299</v>
      </c>
    </row>
    <row r="17" spans="1:17" x14ac:dyDescent="0.25">
      <c r="A17" t="s">
        <v>202</v>
      </c>
      <c r="E17">
        <v>33</v>
      </c>
      <c r="F17">
        <v>39</v>
      </c>
      <c r="I17">
        <v>27</v>
      </c>
      <c r="J17">
        <v>27</v>
      </c>
      <c r="K17">
        <v>30</v>
      </c>
      <c r="L17">
        <v>33</v>
      </c>
      <c r="M17">
        <v>35</v>
      </c>
      <c r="N17">
        <v>35</v>
      </c>
      <c r="O17">
        <v>39</v>
      </c>
      <c r="P17">
        <v>39</v>
      </c>
      <c r="Q17">
        <v>39</v>
      </c>
    </row>
    <row r="18" spans="1:17" x14ac:dyDescent="0.25">
      <c r="A18" t="s">
        <v>203</v>
      </c>
      <c r="E18">
        <v>149</v>
      </c>
      <c r="F18">
        <v>184</v>
      </c>
      <c r="I18">
        <v>130</v>
      </c>
      <c r="J18">
        <v>138</v>
      </c>
      <c r="K18">
        <v>140</v>
      </c>
      <c r="L18">
        <v>149</v>
      </c>
      <c r="M18">
        <v>154</v>
      </c>
      <c r="N18">
        <v>166</v>
      </c>
      <c r="O18">
        <v>176</v>
      </c>
      <c r="P18">
        <v>180</v>
      </c>
      <c r="Q18">
        <v>187</v>
      </c>
    </row>
    <row r="19" spans="1:17" s="1" customFormat="1" x14ac:dyDescent="0.25">
      <c r="A19" s="1" t="s">
        <v>201</v>
      </c>
      <c r="E19" s="1">
        <f>SUM(E17:E18)</f>
        <v>182</v>
      </c>
      <c r="F19" s="1">
        <f>SUM(F17:F18)</f>
        <v>223</v>
      </c>
      <c r="I19" s="1">
        <f t="shared" ref="I19:N19" si="1">SUM(I17:I18)</f>
        <v>157</v>
      </c>
      <c r="J19" s="1">
        <f t="shared" si="1"/>
        <v>165</v>
      </c>
      <c r="K19" s="1">
        <f t="shared" si="1"/>
        <v>170</v>
      </c>
      <c r="L19" s="1">
        <f t="shared" si="1"/>
        <v>182</v>
      </c>
      <c r="M19" s="1">
        <f t="shared" si="1"/>
        <v>189</v>
      </c>
      <c r="N19" s="1">
        <f t="shared" si="1"/>
        <v>201</v>
      </c>
      <c r="O19" s="1">
        <f>SUM(O17:O18)</f>
        <v>215</v>
      </c>
      <c r="P19" s="1">
        <f>SUM(P17:P18)</f>
        <v>219</v>
      </c>
      <c r="Q19" s="1">
        <f>SUM(Q17:Q18)</f>
        <v>226</v>
      </c>
    </row>
    <row r="20" spans="1:17" s="1" customFormat="1" x14ac:dyDescent="0.25">
      <c r="A20" s="1" t="s">
        <v>204</v>
      </c>
      <c r="E20" s="1">
        <f>E16+E19</f>
        <v>436</v>
      </c>
      <c r="F20" s="1">
        <f>F16+F19</f>
        <v>518</v>
      </c>
      <c r="I20" s="1">
        <f>I16+I19</f>
        <v>382</v>
      </c>
      <c r="J20" s="1">
        <f>J16+J19</f>
        <v>395</v>
      </c>
      <c r="K20" s="1">
        <f>K16+K19</f>
        <v>402</v>
      </c>
      <c r="L20" s="1">
        <f t="shared" ref="L20:N20" si="2">L16+L19</f>
        <v>436</v>
      </c>
      <c r="M20" s="1">
        <f t="shared" si="2"/>
        <v>449</v>
      </c>
      <c r="N20" s="1">
        <f t="shared" si="2"/>
        <v>471</v>
      </c>
      <c r="O20" s="1">
        <f>O16+O19</f>
        <v>495</v>
      </c>
      <c r="P20" s="1">
        <f>P16+P19</f>
        <v>514</v>
      </c>
      <c r="Q20" s="1">
        <f>Q16+Q19</f>
        <v>525</v>
      </c>
    </row>
    <row r="22" spans="1:17" x14ac:dyDescent="0.25">
      <c r="A22" t="s">
        <v>226</v>
      </c>
      <c r="L22" s="3"/>
      <c r="M22" s="3">
        <f>M16/I16-1</f>
        <v>0.15555555555555545</v>
      </c>
      <c r="N22" s="3">
        <f>N16/J16-1</f>
        <v>0.17391304347826098</v>
      </c>
      <c r="O22" s="3">
        <f>O16/K16-1</f>
        <v>0.2068965517241379</v>
      </c>
      <c r="P22" s="3">
        <f>P16/L16-1</f>
        <v>0.1614173228346456</v>
      </c>
      <c r="Q22" s="3">
        <f>Q16/M16-1</f>
        <v>0.14999999999999991</v>
      </c>
    </row>
    <row r="23" spans="1:17" x14ac:dyDescent="0.25">
      <c r="A23" t="s">
        <v>227</v>
      </c>
      <c r="L23" s="3"/>
      <c r="M23" s="3">
        <f>M19/I19-1</f>
        <v>0.20382165605095537</v>
      </c>
      <c r="N23" s="3">
        <f>N19/J19-1</f>
        <v>0.21818181818181825</v>
      </c>
      <c r="O23" s="3">
        <f>O19/K19-1</f>
        <v>0.26470588235294112</v>
      </c>
      <c r="P23" s="149">
        <f>P19/L19-1</f>
        <v>0.20329670329670324</v>
      </c>
      <c r="Q23" s="149">
        <f>Q19/M19-1</f>
        <v>0.19576719576719581</v>
      </c>
    </row>
    <row r="25" spans="1:17" x14ac:dyDescent="0.25">
      <c r="I25" s="1"/>
    </row>
    <row r="26" spans="1:17" x14ac:dyDescent="0.25">
      <c r="I26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484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94</v>
      </c>
      <c r="H1" s="139" t="s">
        <v>95</v>
      </c>
      <c r="I1" s="140"/>
      <c r="J1" s="140"/>
      <c r="K1" s="140"/>
      <c r="L1" s="140"/>
      <c r="M1" s="141"/>
    </row>
    <row r="2" spans="1:13" ht="15.75" thickBot="1" x14ac:dyDescent="0.3">
      <c r="B2" s="12">
        <v>45404</v>
      </c>
      <c r="C2" s="18">
        <v>99.54</v>
      </c>
      <c r="D2" s="120">
        <f>C2/C3-1</f>
        <v>4.8783013432388111E-2</v>
      </c>
      <c r="H2" s="57"/>
      <c r="I2" s="58"/>
      <c r="J2" s="58"/>
      <c r="K2" s="58"/>
      <c r="L2" s="58"/>
      <c r="M2" s="59"/>
    </row>
    <row r="3" spans="1:13" ht="15.75" thickBot="1" x14ac:dyDescent="0.3">
      <c r="B3" s="12">
        <v>45397</v>
      </c>
      <c r="C3" s="18">
        <v>94.910004000000001</v>
      </c>
      <c r="D3" s="120">
        <f t="shared" ref="D3:D66" si="0">C3/C4-1</f>
        <v>-2.3660066080239295E-2</v>
      </c>
      <c r="H3" s="60" t="s">
        <v>96</v>
      </c>
      <c r="I3" s="61" t="s">
        <v>97</v>
      </c>
      <c r="J3" s="62" t="s">
        <v>98</v>
      </c>
      <c r="K3" s="63" t="s">
        <v>99</v>
      </c>
      <c r="L3" s="63" t="s">
        <v>100</v>
      </c>
      <c r="M3" s="64" t="s">
        <v>101</v>
      </c>
    </row>
    <row r="4" spans="1:13" x14ac:dyDescent="0.25">
      <c r="B4" s="12">
        <v>45390</v>
      </c>
      <c r="C4" s="18">
        <v>97.209998999999996</v>
      </c>
      <c r="D4" s="120">
        <f t="shared" si="0"/>
        <v>-3.9806391541019281E-2</v>
      </c>
      <c r="H4" s="65">
        <f>$I$19-3*$I$23</f>
        <v>-0.21496679121244638</v>
      </c>
      <c r="I4" s="66">
        <f>H4</f>
        <v>-0.21496679121244638</v>
      </c>
      <c r="J4" s="67">
        <f>COUNTIF(D:D,"&lt;="&amp;H4)</f>
        <v>3</v>
      </c>
      <c r="K4" s="67" t="str">
        <f>"Less than "&amp;TEXT(H4,"0,00%")</f>
        <v>Less than -21,50%</v>
      </c>
      <c r="L4" s="68">
        <f>J4/$I$31</f>
        <v>6.2240663900414933E-3</v>
      </c>
      <c r="M4" s="69">
        <f>L4</f>
        <v>6.2240663900414933E-3</v>
      </c>
    </row>
    <row r="5" spans="1:13" x14ac:dyDescent="0.25">
      <c r="B5" s="12">
        <v>45383</v>
      </c>
      <c r="C5" s="18">
        <v>101.239998</v>
      </c>
      <c r="D5" s="120">
        <f t="shared" si="0"/>
        <v>-2.6819196643460552E-2</v>
      </c>
      <c r="H5" s="70">
        <f>$I$19-2.4*$I$23</f>
        <v>-0.17112859878719641</v>
      </c>
      <c r="I5" s="71">
        <f>H5</f>
        <v>-0.17112859878719641</v>
      </c>
      <c r="J5" s="72">
        <f>COUNTIFS(D:D,"&lt;="&amp;H5,D:D,"&gt;"&amp;H4)</f>
        <v>5</v>
      </c>
      <c r="K5" s="73" t="str">
        <f t="shared" ref="K5:K14" si="1">TEXT(H4,"0,00%")&amp;" to "&amp;TEXT(H5,"0,00%")</f>
        <v>-21,50% to -17,11%</v>
      </c>
      <c r="L5" s="74">
        <f>J5/$I$31</f>
        <v>1.0373443983402489E-2</v>
      </c>
      <c r="M5" s="75">
        <f>M4+L5</f>
        <v>1.6597510373443983E-2</v>
      </c>
    </row>
    <row r="6" spans="1:13" x14ac:dyDescent="0.25">
      <c r="B6" s="12">
        <v>45376</v>
      </c>
      <c r="C6" s="18">
        <v>104.029999</v>
      </c>
      <c r="D6" s="120">
        <f t="shared" si="0"/>
        <v>-4.7954590865413871E-2</v>
      </c>
      <c r="H6" s="70">
        <f>$I$19-1.8*$I$23</f>
        <v>-0.12729040636194644</v>
      </c>
      <c r="I6" s="71">
        <f t="shared" ref="I6:I14" si="2">H6</f>
        <v>-0.12729040636194644</v>
      </c>
      <c r="J6" s="72">
        <f t="shared" ref="J6:J14" si="3">COUNTIFS(D:D,"&lt;="&amp;H6,D:D,"&gt;"&amp;H5)</f>
        <v>5</v>
      </c>
      <c r="K6" s="73" t="str">
        <f t="shared" si="1"/>
        <v>-17,11% to -12,73%</v>
      </c>
      <c r="L6" s="74">
        <f t="shared" ref="L6:L15" si="4">J6/$I$31</f>
        <v>1.0373443983402489E-2</v>
      </c>
      <c r="M6" s="75">
        <f t="shared" ref="M6:M15" si="5">M5+L6</f>
        <v>2.6970954356846474E-2</v>
      </c>
    </row>
    <row r="7" spans="1:13" x14ac:dyDescent="0.25">
      <c r="B7" s="12">
        <v>45369</v>
      </c>
      <c r="C7" s="18">
        <v>109.269997</v>
      </c>
      <c r="D7" s="120">
        <f t="shared" si="0"/>
        <v>5.3814204767784535E-2</v>
      </c>
      <c r="H7" s="70">
        <f>$I$19-1.2*$I$23</f>
        <v>-8.3452213936696454E-2</v>
      </c>
      <c r="I7" s="71">
        <f t="shared" si="2"/>
        <v>-8.3452213936696454E-2</v>
      </c>
      <c r="J7" s="72">
        <f t="shared" si="3"/>
        <v>24</v>
      </c>
      <c r="K7" s="73" t="str">
        <f t="shared" si="1"/>
        <v>-12,73% to -8,35%</v>
      </c>
      <c r="L7" s="74">
        <f t="shared" si="4"/>
        <v>4.9792531120331947E-2</v>
      </c>
      <c r="M7" s="75">
        <f t="shared" si="5"/>
        <v>7.6763485477178428E-2</v>
      </c>
    </row>
    <row r="8" spans="1:13" x14ac:dyDescent="0.25">
      <c r="B8" s="12">
        <v>45362</v>
      </c>
      <c r="C8" s="18">
        <v>103.69000200000001</v>
      </c>
      <c r="D8" s="120">
        <f t="shared" si="0"/>
        <v>5.7903118534308184E-4</v>
      </c>
      <c r="H8" s="70">
        <f>$I$19-0.6*$I$23</f>
        <v>-3.9614021511446482E-2</v>
      </c>
      <c r="I8" s="71">
        <f t="shared" si="2"/>
        <v>-3.9614021511446482E-2</v>
      </c>
      <c r="J8" s="72">
        <f t="shared" si="3"/>
        <v>69</v>
      </c>
      <c r="K8" s="73" t="str">
        <f t="shared" si="1"/>
        <v>-8,35% to -3,96%</v>
      </c>
      <c r="L8" s="74">
        <f t="shared" si="4"/>
        <v>0.14315352697095435</v>
      </c>
      <c r="M8" s="75">
        <f t="shared" si="5"/>
        <v>0.21991701244813278</v>
      </c>
    </row>
    <row r="9" spans="1:13" x14ac:dyDescent="0.25">
      <c r="B9" s="12">
        <v>45355</v>
      </c>
      <c r="C9" s="18">
        <v>103.629997</v>
      </c>
      <c r="D9" s="120">
        <f t="shared" si="0"/>
        <v>-3.3752941724941699E-2</v>
      </c>
      <c r="H9" s="70">
        <f>$I$19</f>
        <v>4.2241709138034983E-3</v>
      </c>
      <c r="I9" s="71">
        <f t="shared" si="2"/>
        <v>4.2241709138034983E-3</v>
      </c>
      <c r="J9" s="72">
        <f t="shared" si="3"/>
        <v>153</v>
      </c>
      <c r="K9" s="73" t="str">
        <f t="shared" si="1"/>
        <v>-3,96% to 0,42%</v>
      </c>
      <c r="L9" s="74">
        <f t="shared" si="4"/>
        <v>0.31742738589211617</v>
      </c>
      <c r="M9" s="75">
        <f t="shared" si="5"/>
        <v>0.53734439834024894</v>
      </c>
    </row>
    <row r="10" spans="1:13" x14ac:dyDescent="0.25">
      <c r="B10" s="12">
        <v>45348</v>
      </c>
      <c r="C10" s="18">
        <v>107.25</v>
      </c>
      <c r="D10" s="120">
        <f t="shared" si="0"/>
        <v>9.3941237311900849E-2</v>
      </c>
      <c r="H10" s="70">
        <f>$I$19+0.6*$I$23</f>
        <v>4.8062363339053477E-2</v>
      </c>
      <c r="I10" s="71">
        <f t="shared" si="2"/>
        <v>4.8062363339053477E-2</v>
      </c>
      <c r="J10" s="72">
        <f t="shared" si="3"/>
        <v>125</v>
      </c>
      <c r="K10" s="73" t="str">
        <f t="shared" si="1"/>
        <v>0,42% to 4,81%</v>
      </c>
      <c r="L10" s="74">
        <f t="shared" si="4"/>
        <v>0.25933609958506226</v>
      </c>
      <c r="M10" s="75">
        <f t="shared" si="5"/>
        <v>0.79668049792531126</v>
      </c>
    </row>
    <row r="11" spans="1:13" x14ac:dyDescent="0.25">
      <c r="B11" s="12">
        <v>45341</v>
      </c>
      <c r="C11" s="18">
        <v>98.040001000000004</v>
      </c>
      <c r="D11" s="120">
        <f t="shared" si="0"/>
        <v>-2.5434937171279204E-3</v>
      </c>
      <c r="H11" s="70">
        <f>$I$19+1.2*$I$23</f>
        <v>9.1900555764303463E-2</v>
      </c>
      <c r="I11" s="71">
        <f t="shared" si="2"/>
        <v>9.1900555764303463E-2</v>
      </c>
      <c r="J11" s="72">
        <f t="shared" si="3"/>
        <v>53</v>
      </c>
      <c r="K11" s="73" t="str">
        <f t="shared" si="1"/>
        <v>4,81% to 9,19%</v>
      </c>
      <c r="L11" s="74">
        <f t="shared" si="4"/>
        <v>0.10995850622406639</v>
      </c>
      <c r="M11" s="75">
        <f t="shared" si="5"/>
        <v>0.9066390041493777</v>
      </c>
    </row>
    <row r="12" spans="1:13" x14ac:dyDescent="0.25">
      <c r="B12" s="12">
        <v>45334</v>
      </c>
      <c r="C12" s="18">
        <v>98.290001000000004</v>
      </c>
      <c r="D12" s="120">
        <f t="shared" si="0"/>
        <v>0.23495421459752319</v>
      </c>
      <c r="H12" s="70">
        <f>$I$19+1.8*$I$23</f>
        <v>0.13573874818955345</v>
      </c>
      <c r="I12" s="71">
        <f t="shared" si="2"/>
        <v>0.13573874818955345</v>
      </c>
      <c r="J12" s="72">
        <f t="shared" si="3"/>
        <v>26</v>
      </c>
      <c r="K12" s="73" t="str">
        <f t="shared" si="1"/>
        <v>9,19% to 13,57%</v>
      </c>
      <c r="L12" s="74">
        <f t="shared" si="4"/>
        <v>5.3941908713692949E-2</v>
      </c>
      <c r="M12" s="75">
        <f t="shared" si="5"/>
        <v>0.96058091286307068</v>
      </c>
    </row>
    <row r="13" spans="1:13" x14ac:dyDescent="0.25">
      <c r="B13" s="12">
        <v>45327</v>
      </c>
      <c r="C13" s="18">
        <v>79.589995999999999</v>
      </c>
      <c r="D13" s="120">
        <f t="shared" si="0"/>
        <v>2.6967690322580617E-2</v>
      </c>
      <c r="H13" s="70">
        <f>$I$19+2.4*$I$23</f>
        <v>0.17957694061480342</v>
      </c>
      <c r="I13" s="71">
        <f t="shared" si="2"/>
        <v>0.17957694061480342</v>
      </c>
      <c r="J13" s="72">
        <f t="shared" si="3"/>
        <v>7</v>
      </c>
      <c r="K13" s="73" t="str">
        <f t="shared" si="1"/>
        <v>13,57% to 17,96%</v>
      </c>
      <c r="L13" s="74">
        <f t="shared" si="4"/>
        <v>1.4522821576763486E-2</v>
      </c>
      <c r="M13" s="75">
        <f t="shared" si="5"/>
        <v>0.97510373443983411</v>
      </c>
    </row>
    <row r="14" spans="1:13" x14ac:dyDescent="0.25">
      <c r="B14" s="12">
        <v>45320</v>
      </c>
      <c r="C14" s="18">
        <v>77.5</v>
      </c>
      <c r="D14" s="120">
        <f t="shared" si="0"/>
        <v>5.1845819761129119E-2</v>
      </c>
      <c r="H14" s="70">
        <f>$I$19+3*$I$23</f>
        <v>0.22341513304005339</v>
      </c>
      <c r="I14" s="71">
        <f t="shared" si="2"/>
        <v>0.22341513304005339</v>
      </c>
      <c r="J14" s="72">
        <f t="shared" si="3"/>
        <v>7</v>
      </c>
      <c r="K14" s="73" t="str">
        <f t="shared" si="1"/>
        <v>17,96% to 22,34%</v>
      </c>
      <c r="L14" s="74">
        <f t="shared" si="4"/>
        <v>1.4522821576763486E-2</v>
      </c>
      <c r="M14" s="75">
        <f t="shared" si="5"/>
        <v>0.98962655601659755</v>
      </c>
    </row>
    <row r="15" spans="1:13" ht="15.75" thickBot="1" x14ac:dyDescent="0.3">
      <c r="B15" s="12">
        <v>45313</v>
      </c>
      <c r="C15" s="18">
        <v>73.680000000000007</v>
      </c>
      <c r="D15" s="120">
        <f t="shared" si="0"/>
        <v>9.2040890884231841E-2</v>
      </c>
      <c r="H15" s="76"/>
      <c r="I15" s="77" t="s">
        <v>102</v>
      </c>
      <c r="J15" s="77">
        <f>COUNTIF(D:D,"&gt;"&amp;H14)</f>
        <v>5</v>
      </c>
      <c r="K15" s="77" t="str">
        <f>"Greater than "&amp;TEXT(H14,"0,00%")</f>
        <v>Greater than 22,34%</v>
      </c>
      <c r="L15" s="78">
        <f t="shared" si="4"/>
        <v>1.0373443983402489E-2</v>
      </c>
      <c r="M15" s="78">
        <f t="shared" si="5"/>
        <v>1</v>
      </c>
    </row>
    <row r="16" spans="1:13" ht="15.75" thickBot="1" x14ac:dyDescent="0.3">
      <c r="B16" s="12">
        <v>45306</v>
      </c>
      <c r="C16" s="18">
        <v>67.470000999999996</v>
      </c>
      <c r="D16" s="120">
        <f t="shared" si="0"/>
        <v>2.3823959823248586E-2</v>
      </c>
      <c r="H16" s="79"/>
      <c r="M16" s="80"/>
    </row>
    <row r="17" spans="2:13" x14ac:dyDescent="0.25">
      <c r="B17" s="12">
        <v>45299</v>
      </c>
      <c r="C17" s="18">
        <v>65.900002000000001</v>
      </c>
      <c r="D17" s="120">
        <f t="shared" si="0"/>
        <v>-5.8840262446740788E-2</v>
      </c>
      <c r="H17" s="142" t="s">
        <v>133</v>
      </c>
      <c r="I17" s="143"/>
      <c r="M17" s="80"/>
    </row>
    <row r="18" spans="2:13" x14ac:dyDescent="0.25">
      <c r="B18" s="12">
        <v>45292</v>
      </c>
      <c r="C18" s="18">
        <v>70.019997000000004</v>
      </c>
      <c r="D18" s="120">
        <f t="shared" si="0"/>
        <v>-5.5315782974266647E-2</v>
      </c>
      <c r="H18" s="144"/>
      <c r="I18" s="145"/>
      <c r="M18" s="80"/>
    </row>
    <row r="19" spans="2:13" x14ac:dyDescent="0.25">
      <c r="B19" s="12">
        <v>45285</v>
      </c>
      <c r="C19" s="18">
        <v>74.120002999999997</v>
      </c>
      <c r="D19" s="120">
        <f t="shared" si="0"/>
        <v>-2.1539580257669E-3</v>
      </c>
      <c r="H19" s="81" t="s">
        <v>103</v>
      </c>
      <c r="I19" s="118">
        <f>AVERAGE(D:D)</f>
        <v>4.2241709138034983E-3</v>
      </c>
      <c r="M19" s="80"/>
    </row>
    <row r="20" spans="2:13" x14ac:dyDescent="0.25">
      <c r="B20" s="12">
        <v>45278</v>
      </c>
      <c r="C20" s="18">
        <v>74.279999000000004</v>
      </c>
      <c r="D20" s="120">
        <f t="shared" si="0"/>
        <v>2.6959725509201782E-2</v>
      </c>
      <c r="H20" s="81" t="s">
        <v>104</v>
      </c>
      <c r="I20" s="118">
        <f>_xlfn.STDEV.S(D:D)/SQRT(COUNT(D:D))</f>
        <v>3.3279582484904329E-3</v>
      </c>
      <c r="M20" s="80"/>
    </row>
    <row r="21" spans="2:13" x14ac:dyDescent="0.25">
      <c r="B21" s="12">
        <v>45271</v>
      </c>
      <c r="C21" s="18">
        <v>72.330001999999993</v>
      </c>
      <c r="D21" s="120">
        <f t="shared" si="0"/>
        <v>0.18612663168251875</v>
      </c>
      <c r="H21" s="81" t="s">
        <v>105</v>
      </c>
      <c r="I21" s="118">
        <f>MEDIAN(D:D)</f>
        <v>-5.3453266579234215E-4</v>
      </c>
      <c r="M21" s="80"/>
    </row>
    <row r="22" spans="2:13" x14ac:dyDescent="0.25">
      <c r="B22" s="12">
        <v>45264</v>
      </c>
      <c r="C22" s="18">
        <v>60.98</v>
      </c>
      <c r="D22" s="120">
        <f t="shared" si="0"/>
        <v>-1.1028219266947747E-2</v>
      </c>
      <c r="H22" s="81" t="s">
        <v>106</v>
      </c>
      <c r="I22" s="118" t="e">
        <f>MODE(D:D)</f>
        <v>#N/A</v>
      </c>
      <c r="M22" s="80"/>
    </row>
    <row r="23" spans="2:13" x14ac:dyDescent="0.25">
      <c r="B23" s="12">
        <v>45257</v>
      </c>
      <c r="C23" s="18">
        <v>61.66</v>
      </c>
      <c r="D23" s="120">
        <f t="shared" si="0"/>
        <v>-1.3755598208573305E-2</v>
      </c>
      <c r="H23" s="81" t="s">
        <v>107</v>
      </c>
      <c r="I23" s="118">
        <f>_xlfn.STDEV.S(D:D)</f>
        <v>7.3063654042083301E-2</v>
      </c>
      <c r="M23" s="80"/>
    </row>
    <row r="24" spans="2:13" x14ac:dyDescent="0.25">
      <c r="B24" s="12">
        <v>45250</v>
      </c>
      <c r="C24" s="18">
        <v>62.52</v>
      </c>
      <c r="D24" s="120">
        <f t="shared" si="0"/>
        <v>2.6600951507357973E-2</v>
      </c>
      <c r="H24" s="81" t="s">
        <v>108</v>
      </c>
      <c r="I24" s="118">
        <f>_xlfn.VAR.S(D:D)</f>
        <v>5.3382975419812347E-3</v>
      </c>
      <c r="M24" s="80"/>
    </row>
    <row r="25" spans="2:13" x14ac:dyDescent="0.25">
      <c r="B25" s="12">
        <v>45243</v>
      </c>
      <c r="C25" s="18">
        <v>60.900002000000001</v>
      </c>
      <c r="D25" s="120">
        <f t="shared" si="0"/>
        <v>0.10666914604159827</v>
      </c>
      <c r="H25" s="81" t="s">
        <v>109</v>
      </c>
      <c r="I25" s="119">
        <f>KURT(D:D)</f>
        <v>3.2572771959057851</v>
      </c>
      <c r="M25" s="80"/>
    </row>
    <row r="26" spans="2:13" x14ac:dyDescent="0.25">
      <c r="B26" s="12">
        <v>45236</v>
      </c>
      <c r="C26" s="18">
        <v>55.029998999999997</v>
      </c>
      <c r="D26" s="120">
        <f t="shared" si="0"/>
        <v>-7.5281451026094959E-2</v>
      </c>
      <c r="H26" s="81" t="s">
        <v>110</v>
      </c>
      <c r="I26" s="119">
        <f>SKEW(D:D)</f>
        <v>0.56930138295339439</v>
      </c>
      <c r="M26" s="80"/>
    </row>
    <row r="27" spans="2:13" x14ac:dyDescent="0.25">
      <c r="B27" s="12">
        <v>45229</v>
      </c>
      <c r="C27" s="18">
        <v>59.509998000000003</v>
      </c>
      <c r="D27" s="120">
        <f t="shared" si="0"/>
        <v>8.2196687317814821E-2</v>
      </c>
      <c r="H27" s="81" t="s">
        <v>99</v>
      </c>
      <c r="I27" s="118">
        <f>I29-I28</f>
        <v>0.60130066799849524</v>
      </c>
      <c r="M27" s="80"/>
    </row>
    <row r="28" spans="2:13" x14ac:dyDescent="0.25">
      <c r="B28" s="12">
        <v>45222</v>
      </c>
      <c r="C28" s="18">
        <v>54.990001999999997</v>
      </c>
      <c r="D28" s="120">
        <f t="shared" si="0"/>
        <v>1.4569659442724703E-3</v>
      </c>
      <c r="H28" s="81" t="s">
        <v>111</v>
      </c>
      <c r="I28" s="118">
        <f>MIN(D:D)</f>
        <v>-0.25933012440191383</v>
      </c>
      <c r="M28" s="80"/>
    </row>
    <row r="29" spans="2:13" x14ac:dyDescent="0.25">
      <c r="B29" s="12">
        <v>45215</v>
      </c>
      <c r="C29" s="18">
        <v>54.91</v>
      </c>
      <c r="D29" s="120">
        <f t="shared" si="0"/>
        <v>2.5971599402092593E-2</v>
      </c>
      <c r="H29" s="81" t="s">
        <v>112</v>
      </c>
      <c r="I29" s="118">
        <f>MAX(D:D)</f>
        <v>0.34197054359658141</v>
      </c>
      <c r="M29" s="80"/>
    </row>
    <row r="30" spans="2:13" x14ac:dyDescent="0.25">
      <c r="B30" s="12">
        <v>45208</v>
      </c>
      <c r="C30" s="18">
        <v>53.52</v>
      </c>
      <c r="D30" s="120">
        <f t="shared" si="0"/>
        <v>-4.8194913747109935E-2</v>
      </c>
      <c r="H30" s="81" t="s">
        <v>113</v>
      </c>
      <c r="I30" s="119">
        <f>SUM(D:D)</f>
        <v>2.0360503804532861</v>
      </c>
      <c r="M30" s="80"/>
    </row>
    <row r="31" spans="2:13" ht="15.75" thickBot="1" x14ac:dyDescent="0.3">
      <c r="B31" s="12">
        <v>45201</v>
      </c>
      <c r="C31" s="18">
        <v>56.23</v>
      </c>
      <c r="D31" s="120">
        <f t="shared" si="0"/>
        <v>-3.168589633201313E-2</v>
      </c>
      <c r="H31" s="82" t="s">
        <v>114</v>
      </c>
      <c r="I31" s="59">
        <f>COUNT(D:D)</f>
        <v>482</v>
      </c>
      <c r="M31" s="80"/>
    </row>
    <row r="32" spans="2:13" ht="15.75" thickBot="1" x14ac:dyDescent="0.3">
      <c r="B32" s="12">
        <v>45194</v>
      </c>
      <c r="C32" s="18">
        <v>58.07</v>
      </c>
      <c r="D32" s="120">
        <f t="shared" si="0"/>
        <v>3.6294330516863926E-3</v>
      </c>
      <c r="H32" s="84"/>
      <c r="M32" s="80"/>
    </row>
    <row r="33" spans="2:13" x14ac:dyDescent="0.25">
      <c r="B33" s="12">
        <v>45187</v>
      </c>
      <c r="C33" s="18">
        <v>57.860000999999997</v>
      </c>
      <c r="D33" s="120">
        <f t="shared" si="0"/>
        <v>-6.7976818041983966E-2</v>
      </c>
      <c r="H33" s="85"/>
      <c r="I33" s="86" t="s">
        <v>115</v>
      </c>
      <c r="J33" s="86" t="s">
        <v>114</v>
      </c>
      <c r="K33" s="86" t="s">
        <v>116</v>
      </c>
      <c r="L33" s="87" t="s">
        <v>117</v>
      </c>
      <c r="M33" s="80"/>
    </row>
    <row r="34" spans="2:13" x14ac:dyDescent="0.25">
      <c r="B34" s="12">
        <v>45180</v>
      </c>
      <c r="C34" s="18">
        <v>62.080002</v>
      </c>
      <c r="D34" s="120">
        <f t="shared" si="0"/>
        <v>-4.7852686250890453E-2</v>
      </c>
      <c r="H34" s="88" t="s">
        <v>118</v>
      </c>
      <c r="I34" s="74">
        <f>AVERAGEIF(D:D,"&gt;0")</f>
        <v>5.6986052484726608E-2</v>
      </c>
      <c r="J34" s="72">
        <f>COUNTIF(D:D,"&gt;0")</f>
        <v>237</v>
      </c>
      <c r="K34" s="74">
        <f>J34/$I$31</f>
        <v>0.49170124481327798</v>
      </c>
      <c r="L34" s="75">
        <f>K34*I34</f>
        <v>2.8020112943734868E-2</v>
      </c>
      <c r="M34" s="80"/>
    </row>
    <row r="35" spans="2:13" x14ac:dyDescent="0.25">
      <c r="B35" s="12">
        <v>45173</v>
      </c>
      <c r="C35" s="18">
        <v>65.199996999999996</v>
      </c>
      <c r="D35" s="120">
        <f t="shared" si="0"/>
        <v>-6.9501969459112245E-2</v>
      </c>
      <c r="H35" s="88" t="s">
        <v>119</v>
      </c>
      <c r="I35" s="74">
        <f>AVERAGEIF(D:D,"&lt;0")</f>
        <v>-4.6814873707864954E-2</v>
      </c>
      <c r="J35" s="72">
        <f>COUNTIF(D:D,"&lt;0")</f>
        <v>245</v>
      </c>
      <c r="K35" s="74">
        <f>J35/$I$31</f>
        <v>0.50829875518672196</v>
      </c>
      <c r="L35" s="75">
        <f t="shared" ref="L35:L36" si="6">K35*I35</f>
        <v>-2.3795942029931356E-2</v>
      </c>
      <c r="M35" s="80"/>
    </row>
    <row r="36" spans="2:13" ht="15.75" thickBot="1" x14ac:dyDescent="0.3">
      <c r="B36" s="12">
        <v>45166</v>
      </c>
      <c r="C36" s="18">
        <v>70.069999999999993</v>
      </c>
      <c r="D36" s="120">
        <f t="shared" si="0"/>
        <v>2.1453375899693761E-3</v>
      </c>
      <c r="H36" s="89" t="s">
        <v>120</v>
      </c>
      <c r="I36" s="77">
        <v>0</v>
      </c>
      <c r="J36" s="77">
        <f>COUNTIF(D:D,"0")</f>
        <v>0</v>
      </c>
      <c r="K36" s="90">
        <f>J36/$I$31</f>
        <v>0</v>
      </c>
      <c r="L36" s="78">
        <f t="shared" si="6"/>
        <v>0</v>
      </c>
      <c r="M36" s="80"/>
    </row>
    <row r="37" spans="2:13" ht="15.75" thickBot="1" x14ac:dyDescent="0.3">
      <c r="B37" s="12">
        <v>45159</v>
      </c>
      <c r="C37" s="18">
        <v>69.919998000000007</v>
      </c>
      <c r="D37" s="120">
        <f t="shared" si="0"/>
        <v>8.0737743934000683E-3</v>
      </c>
      <c r="H37" s="84"/>
      <c r="I37" s="91"/>
      <c r="J37" s="91"/>
      <c r="K37" s="91"/>
      <c r="L37" s="91"/>
      <c r="M37" s="80"/>
    </row>
    <row r="38" spans="2:13" x14ac:dyDescent="0.25">
      <c r="B38" s="12">
        <v>45152</v>
      </c>
      <c r="C38" s="18">
        <v>69.360000999999997</v>
      </c>
      <c r="D38" s="120">
        <f t="shared" si="0"/>
        <v>-8.952479653452361E-2</v>
      </c>
      <c r="H38" s="65" t="s">
        <v>121</v>
      </c>
      <c r="I38" s="86" t="s">
        <v>122</v>
      </c>
      <c r="J38" s="86" t="s">
        <v>123</v>
      </c>
      <c r="K38" s="86" t="s">
        <v>124</v>
      </c>
      <c r="L38" s="86" t="s">
        <v>125</v>
      </c>
      <c r="M38" s="87" t="s">
        <v>126</v>
      </c>
    </row>
    <row r="39" spans="2:13" x14ac:dyDescent="0.25">
      <c r="B39" s="12">
        <v>45145</v>
      </c>
      <c r="C39" s="18">
        <v>76.180000000000007</v>
      </c>
      <c r="D39" s="120">
        <f t="shared" si="0"/>
        <v>-3.4596424554736993E-2</v>
      </c>
      <c r="H39" s="92">
        <v>1</v>
      </c>
      <c r="I39" s="74">
        <f>$I$19+($H39*$I$23)</f>
        <v>7.7287824955886805E-2</v>
      </c>
      <c r="J39" s="74">
        <f>$I$19-($H39*$I$23)</f>
        <v>-6.8839483128279796E-2</v>
      </c>
      <c r="K39" s="72">
        <f>COUNTIFS(D:D,"&lt;"&amp;I39,D:D,"&gt;"&amp;J39)</f>
        <v>366</v>
      </c>
      <c r="L39" s="74">
        <f>K39/$I$31</f>
        <v>0.75933609958506221</v>
      </c>
      <c r="M39" s="75">
        <v>0.68269999999999997</v>
      </c>
    </row>
    <row r="40" spans="2:13" x14ac:dyDescent="0.25">
      <c r="B40" s="12">
        <v>45138</v>
      </c>
      <c r="C40" s="18">
        <v>78.910004000000001</v>
      </c>
      <c r="D40" s="120">
        <f t="shared" si="0"/>
        <v>3.8562791317604983E-2</v>
      </c>
      <c r="H40" s="92">
        <v>2</v>
      </c>
      <c r="I40" s="74">
        <f>$I$19+($H40*$I$23)</f>
        <v>0.15035147899797011</v>
      </c>
      <c r="J40" s="74">
        <f>$I$19-($H40*$I$23)</f>
        <v>-0.1419031371703631</v>
      </c>
      <c r="K40" s="72">
        <f>COUNTIFS(D:D,"&lt;"&amp;I40,D:D,"&gt;"&amp;J40)</f>
        <v>455</v>
      </c>
      <c r="L40" s="74">
        <f>K40/$I$31</f>
        <v>0.94398340248962653</v>
      </c>
      <c r="M40" s="75">
        <v>0.95450000000000002</v>
      </c>
    </row>
    <row r="41" spans="2:13" x14ac:dyDescent="0.25">
      <c r="B41" s="12">
        <v>45131</v>
      </c>
      <c r="C41" s="18">
        <v>75.980002999999996</v>
      </c>
      <c r="D41" s="120">
        <f t="shared" si="0"/>
        <v>-2.4897267066151696E-2</v>
      </c>
      <c r="H41" s="92">
        <v>3</v>
      </c>
      <c r="I41" s="74">
        <f>$I$19+($H41*$I$23)</f>
        <v>0.22341513304005339</v>
      </c>
      <c r="J41" s="74">
        <f>$I$19-($H41*$I$23)</f>
        <v>-0.21496679121244638</v>
      </c>
      <c r="K41" s="72">
        <f>COUNTIFS(D:D,"&lt;"&amp;I41,D:D,"&gt;"&amp;J41)</f>
        <v>474</v>
      </c>
      <c r="L41" s="74">
        <f>K41/$I$31</f>
        <v>0.98340248962655596</v>
      </c>
      <c r="M41" s="93">
        <v>0.99729999999999996</v>
      </c>
    </row>
    <row r="42" spans="2:13" ht="15.75" thickBot="1" x14ac:dyDescent="0.3">
      <c r="B42" s="12">
        <v>45124</v>
      </c>
      <c r="C42" s="18">
        <v>77.919998000000007</v>
      </c>
      <c r="D42" s="120">
        <f t="shared" si="0"/>
        <v>-1.0539707936507825E-2</v>
      </c>
      <c r="H42" s="70"/>
      <c r="M42" s="93"/>
    </row>
    <row r="43" spans="2:13" ht="15.75" thickBot="1" x14ac:dyDescent="0.3">
      <c r="B43" s="12">
        <v>45117</v>
      </c>
      <c r="C43" s="18">
        <v>78.75</v>
      </c>
      <c r="D43" s="120">
        <f t="shared" si="0"/>
        <v>3.2651428464426147E-2</v>
      </c>
      <c r="H43" s="146" t="s">
        <v>127</v>
      </c>
      <c r="I43" s="147"/>
      <c r="J43" s="147"/>
      <c r="K43" s="147"/>
      <c r="L43" s="147"/>
      <c r="M43" s="148"/>
    </row>
    <row r="44" spans="2:13" x14ac:dyDescent="0.25">
      <c r="B44" s="12">
        <v>45110</v>
      </c>
      <c r="C44" s="18">
        <v>76.260002</v>
      </c>
      <c r="D44" s="120">
        <f t="shared" si="0"/>
        <v>-1.8785370319282402E-2</v>
      </c>
      <c r="H44" s="94">
        <v>0.01</v>
      </c>
      <c r="I44" s="95">
        <f t="shared" ref="I44:I58" si="7">_xlfn.PERCENTILE.INC(D:D,H44)</f>
        <v>-0.18292789580425101</v>
      </c>
      <c r="J44" s="96">
        <v>0.2</v>
      </c>
      <c r="K44" s="95">
        <f t="shared" ref="K44:K56" si="8">_xlfn.PERCENTILE.INC(D:D,J44)</f>
        <v>-4.3990889581380511E-2</v>
      </c>
      <c r="L44" s="96">
        <v>0.85</v>
      </c>
      <c r="M44" s="97">
        <f t="shared" ref="M44:M58" si="9">_xlfn.PERCENTILE.INC(D:D,L44)</f>
        <v>6.7276810055517014E-2</v>
      </c>
    </row>
    <row r="45" spans="2:13" x14ac:dyDescent="0.25">
      <c r="B45" s="12">
        <v>45103</v>
      </c>
      <c r="C45" s="18">
        <v>77.720000999999996</v>
      </c>
      <c r="D45" s="120">
        <f t="shared" si="0"/>
        <v>5.0980448315636862E-2</v>
      </c>
      <c r="H45" s="98">
        <v>0.02</v>
      </c>
      <c r="I45" s="99">
        <f t="shared" si="7"/>
        <v>-0.14588528393762976</v>
      </c>
      <c r="J45" s="100">
        <v>0.25</v>
      </c>
      <c r="K45" s="99">
        <f t="shared" si="8"/>
        <v>-3.4396013177710794E-2</v>
      </c>
      <c r="L45" s="100">
        <v>0.86</v>
      </c>
      <c r="M45" s="101">
        <f t="shared" si="9"/>
        <v>6.9767355456464994E-2</v>
      </c>
    </row>
    <row r="46" spans="2:13" x14ac:dyDescent="0.25">
      <c r="B46" s="12">
        <v>45096</v>
      </c>
      <c r="C46" s="18">
        <v>73.949996999999996</v>
      </c>
      <c r="D46" s="120">
        <f t="shared" si="0"/>
        <v>3.9645720777972127E-2</v>
      </c>
      <c r="H46" s="98">
        <v>0.03</v>
      </c>
      <c r="I46" s="99">
        <f t="shared" si="7"/>
        <v>-0.12350709864239814</v>
      </c>
      <c r="J46" s="100">
        <v>0.3</v>
      </c>
      <c r="K46" s="99">
        <f t="shared" si="8"/>
        <v>-2.7724527517913281E-2</v>
      </c>
      <c r="L46" s="100">
        <v>0.87</v>
      </c>
      <c r="M46" s="101">
        <f t="shared" si="9"/>
        <v>7.5353796991043817E-2</v>
      </c>
    </row>
    <row r="47" spans="2:13" x14ac:dyDescent="0.25">
      <c r="B47" s="12">
        <v>45089</v>
      </c>
      <c r="C47" s="18">
        <v>71.129997000000003</v>
      </c>
      <c r="D47" s="120">
        <f t="shared" si="0"/>
        <v>3.4467640067840755E-2</v>
      </c>
      <c r="H47" s="98">
        <v>0.04</v>
      </c>
      <c r="I47" s="99">
        <f t="shared" si="7"/>
        <v>-0.11121725148761046</v>
      </c>
      <c r="J47" s="100">
        <v>0.35</v>
      </c>
      <c r="K47" s="99">
        <f t="shared" si="8"/>
        <v>-2.0710721110397803E-2</v>
      </c>
      <c r="L47" s="100">
        <v>0.88</v>
      </c>
      <c r="M47" s="101">
        <f t="shared" si="9"/>
        <v>8.047082443769675E-2</v>
      </c>
    </row>
    <row r="48" spans="2:13" x14ac:dyDescent="0.25">
      <c r="B48" s="12">
        <v>45082</v>
      </c>
      <c r="C48" s="18">
        <v>68.760002</v>
      </c>
      <c r="D48" s="120">
        <f t="shared" si="0"/>
        <v>2.4785830283471366E-3</v>
      </c>
      <c r="H48" s="98">
        <v>0.05</v>
      </c>
      <c r="I48" s="99">
        <f t="shared" si="7"/>
        <v>-9.9594123273638299E-2</v>
      </c>
      <c r="J48" s="100">
        <v>0.4</v>
      </c>
      <c r="K48" s="99">
        <f t="shared" si="8"/>
        <v>-1.3810844624675588E-2</v>
      </c>
      <c r="L48" s="100">
        <v>0.89</v>
      </c>
      <c r="M48" s="101">
        <f t="shared" si="9"/>
        <v>8.2253873196879268E-2</v>
      </c>
    </row>
    <row r="49" spans="2:13" x14ac:dyDescent="0.25">
      <c r="B49" s="12">
        <v>45075</v>
      </c>
      <c r="C49" s="18">
        <v>68.589995999999999</v>
      </c>
      <c r="D49" s="120">
        <f t="shared" si="0"/>
        <v>4.8776665175025435E-2</v>
      </c>
      <c r="H49" s="98">
        <v>0.06</v>
      </c>
      <c r="I49" s="99">
        <f t="shared" si="7"/>
        <v>-9.4056290794013023E-2</v>
      </c>
      <c r="J49" s="100">
        <v>0.45</v>
      </c>
      <c r="K49" s="99">
        <f t="shared" si="8"/>
        <v>-5.4692435091354781E-3</v>
      </c>
      <c r="L49" s="100">
        <v>0.9</v>
      </c>
      <c r="M49" s="101">
        <f t="shared" si="9"/>
        <v>8.8180686127885127E-2</v>
      </c>
    </row>
    <row r="50" spans="2:13" x14ac:dyDescent="0.25">
      <c r="B50" s="12">
        <v>45068</v>
      </c>
      <c r="C50" s="18">
        <v>65.400002000000001</v>
      </c>
      <c r="D50" s="120">
        <f t="shared" si="0"/>
        <v>-1.9343229289451869E-2</v>
      </c>
      <c r="H50" s="98">
        <v>7.0000000000000007E-2</v>
      </c>
      <c r="I50" s="99">
        <f t="shared" si="7"/>
        <v>-8.6923796805329981E-2</v>
      </c>
      <c r="J50" s="100">
        <v>0.5</v>
      </c>
      <c r="K50" s="99">
        <f t="shared" si="8"/>
        <v>-5.3453266579234215E-4</v>
      </c>
      <c r="L50" s="100">
        <v>0.91</v>
      </c>
      <c r="M50" s="101">
        <f t="shared" si="9"/>
        <v>9.2098707159846152E-2</v>
      </c>
    </row>
    <row r="51" spans="2:13" x14ac:dyDescent="0.25">
      <c r="B51" s="12">
        <v>45061</v>
      </c>
      <c r="C51" s="18">
        <v>66.690002000000007</v>
      </c>
      <c r="D51" s="120">
        <f t="shared" si="0"/>
        <v>2.2695951889218913E-2</v>
      </c>
      <c r="H51" s="98">
        <v>0.08</v>
      </c>
      <c r="I51" s="99">
        <f t="shared" si="7"/>
        <v>-8.1028973618993264E-2</v>
      </c>
      <c r="J51" s="100">
        <v>0.55000000000000004</v>
      </c>
      <c r="K51" s="99">
        <f t="shared" si="8"/>
        <v>5.6100827476646131E-3</v>
      </c>
      <c r="L51" s="100">
        <v>0.92</v>
      </c>
      <c r="M51" s="101">
        <f t="shared" si="9"/>
        <v>9.5442660186045414E-2</v>
      </c>
    </row>
    <row r="52" spans="2:13" x14ac:dyDescent="0.25">
      <c r="B52" s="12">
        <v>45054</v>
      </c>
      <c r="C52" s="18">
        <v>65.209998999999996</v>
      </c>
      <c r="D52" s="120">
        <f t="shared" si="0"/>
        <v>-4.8832596502863534E-3</v>
      </c>
      <c r="H52" s="98">
        <v>0.09</v>
      </c>
      <c r="I52" s="99">
        <f t="shared" si="7"/>
        <v>-7.5156224118177573E-2</v>
      </c>
      <c r="J52" s="100">
        <v>0.6</v>
      </c>
      <c r="K52" s="99">
        <f t="shared" si="8"/>
        <v>1.2990961868899299E-2</v>
      </c>
      <c r="L52" s="100">
        <v>0.93</v>
      </c>
      <c r="M52" s="101">
        <f t="shared" si="9"/>
        <v>0.10022457949748224</v>
      </c>
    </row>
    <row r="53" spans="2:13" x14ac:dyDescent="0.25">
      <c r="B53" s="12">
        <v>45047</v>
      </c>
      <c r="C53" s="18">
        <v>65.529999000000004</v>
      </c>
      <c r="D53" s="120">
        <f t="shared" si="0"/>
        <v>0.19558470725078081</v>
      </c>
      <c r="H53" s="98">
        <v>0.1</v>
      </c>
      <c r="I53" s="99">
        <f t="shared" si="7"/>
        <v>-7.2215946217914134E-2</v>
      </c>
      <c r="J53" s="100">
        <v>0.65</v>
      </c>
      <c r="K53" s="99">
        <f t="shared" si="8"/>
        <v>2.2239731128944441E-2</v>
      </c>
      <c r="L53" s="100">
        <v>0.94</v>
      </c>
      <c r="M53" s="101">
        <f t="shared" si="9"/>
        <v>0.10799325496061046</v>
      </c>
    </row>
    <row r="54" spans="2:13" x14ac:dyDescent="0.25">
      <c r="B54" s="12">
        <v>45040</v>
      </c>
      <c r="C54" s="18">
        <v>54.810001</v>
      </c>
      <c r="D54" s="120">
        <f t="shared" si="0"/>
        <v>-1.5801724112079807E-2</v>
      </c>
      <c r="H54" s="98">
        <v>0.11</v>
      </c>
      <c r="I54" s="99">
        <f t="shared" si="7"/>
        <v>-6.9661903069535167E-2</v>
      </c>
      <c r="J54" s="100">
        <v>0.7</v>
      </c>
      <c r="K54" s="99">
        <f t="shared" si="8"/>
        <v>3.1886602449219918E-2</v>
      </c>
      <c r="L54" s="100">
        <v>0.95</v>
      </c>
      <c r="M54" s="101">
        <f t="shared" si="9"/>
        <v>0.12028059671010613</v>
      </c>
    </row>
    <row r="55" spans="2:13" x14ac:dyDescent="0.25">
      <c r="B55" s="12">
        <v>45033</v>
      </c>
      <c r="C55" s="18">
        <v>55.689999</v>
      </c>
      <c r="D55" s="120">
        <f t="shared" si="0"/>
        <v>3.0723672602696261E-2</v>
      </c>
      <c r="H55" s="98">
        <v>0.12</v>
      </c>
      <c r="I55" s="99">
        <f t="shared" si="7"/>
        <v>-6.6564656679826667E-2</v>
      </c>
      <c r="J55" s="100">
        <v>0.75</v>
      </c>
      <c r="K55" s="99">
        <f t="shared" si="8"/>
        <v>3.7953233296833477E-2</v>
      </c>
      <c r="L55" s="100">
        <v>0.96</v>
      </c>
      <c r="M55" s="101">
        <f t="shared" si="9"/>
        <v>0.13504857885755564</v>
      </c>
    </row>
    <row r="56" spans="2:13" x14ac:dyDescent="0.25">
      <c r="B56" s="12">
        <v>45026</v>
      </c>
      <c r="C56" s="18">
        <v>54.029998999999997</v>
      </c>
      <c r="D56" s="120">
        <f t="shared" si="0"/>
        <v>-2.0308303887278223E-2</v>
      </c>
      <c r="H56" s="98">
        <v>0.13</v>
      </c>
      <c r="I56" s="99">
        <f t="shared" si="7"/>
        <v>-6.1761479494476988E-2</v>
      </c>
      <c r="J56" s="100">
        <v>0.8</v>
      </c>
      <c r="K56" s="99">
        <f t="shared" si="8"/>
        <v>4.8684694516257968E-2</v>
      </c>
      <c r="L56" s="100">
        <v>0.97</v>
      </c>
      <c r="M56" s="101">
        <f t="shared" si="9"/>
        <v>0.15906836231408164</v>
      </c>
    </row>
    <row r="57" spans="2:13" x14ac:dyDescent="0.25">
      <c r="B57" s="12">
        <v>45019</v>
      </c>
      <c r="C57" s="18">
        <v>55.150002000000001</v>
      </c>
      <c r="D57" s="120">
        <f t="shared" si="0"/>
        <v>-6.1272299107143491E-3</v>
      </c>
      <c r="H57" s="98">
        <v>0.14000000000000001</v>
      </c>
      <c r="I57" s="99">
        <f t="shared" si="7"/>
        <v>-5.9070135794788536E-2</v>
      </c>
      <c r="J57" s="100"/>
      <c r="K57" s="99"/>
      <c r="L57" s="100">
        <v>0.98</v>
      </c>
      <c r="M57" s="101">
        <f t="shared" si="9"/>
        <v>0.18673078313922462</v>
      </c>
    </row>
    <row r="58" spans="2:13" ht="15.75" thickBot="1" x14ac:dyDescent="0.3">
      <c r="B58" s="12">
        <v>45012</v>
      </c>
      <c r="C58" s="18">
        <v>55.490001999999997</v>
      </c>
      <c r="D58" s="120">
        <f t="shared" si="0"/>
        <v>5.5745832272720008E-2</v>
      </c>
      <c r="H58" s="102">
        <v>0.15</v>
      </c>
      <c r="I58" s="103">
        <f t="shared" si="7"/>
        <v>-5.6360866407589763E-2</v>
      </c>
      <c r="J58" s="104"/>
      <c r="K58" s="83"/>
      <c r="L58" s="105">
        <v>0.99</v>
      </c>
      <c r="M58" s="106">
        <f t="shared" si="9"/>
        <v>0.22183158046253923</v>
      </c>
    </row>
    <row r="59" spans="2:13" ht="15.75" thickBot="1" x14ac:dyDescent="0.3">
      <c r="B59" s="12">
        <v>45005</v>
      </c>
      <c r="C59" s="18">
        <v>52.560001</v>
      </c>
      <c r="D59" s="120">
        <f t="shared" si="0"/>
        <v>-4.2797286468767015E-2</v>
      </c>
    </row>
    <row r="60" spans="2:13" x14ac:dyDescent="0.25">
      <c r="B60" s="12">
        <v>44998</v>
      </c>
      <c r="C60" s="18">
        <v>54.91</v>
      </c>
      <c r="D60" s="120">
        <f t="shared" si="0"/>
        <v>6.9686595813067687E-3</v>
      </c>
      <c r="H60" s="107" t="s">
        <v>128</v>
      </c>
      <c r="I60" s="108">
        <v>8.3599999999999994E-2</v>
      </c>
    </row>
    <row r="61" spans="2:13" ht="15.75" thickBot="1" x14ac:dyDescent="0.3">
      <c r="B61" s="12">
        <v>44991</v>
      </c>
      <c r="C61" s="18">
        <v>54.529998999999997</v>
      </c>
      <c r="D61" s="120">
        <f t="shared" si="0"/>
        <v>-5.9827603448275868E-2</v>
      </c>
      <c r="H61" s="109" t="s">
        <v>129</v>
      </c>
      <c r="I61" s="110">
        <v>0.21</v>
      </c>
    </row>
    <row r="62" spans="2:13" ht="15.75" thickBot="1" x14ac:dyDescent="0.3">
      <c r="B62" s="12">
        <v>44984</v>
      </c>
      <c r="C62" s="18">
        <v>58</v>
      </c>
      <c r="D62" s="120">
        <f t="shared" si="0"/>
        <v>2.5822408457332857E-2</v>
      </c>
      <c r="H62" s="111"/>
    </row>
    <row r="63" spans="2:13" x14ac:dyDescent="0.25">
      <c r="B63" s="12">
        <v>44977</v>
      </c>
      <c r="C63" s="18">
        <v>56.540000999999997</v>
      </c>
      <c r="D63" s="120">
        <f t="shared" si="0"/>
        <v>2.8000018181818076E-2</v>
      </c>
      <c r="H63" s="107" t="s">
        <v>130</v>
      </c>
      <c r="I63" s="112">
        <v>96.45</v>
      </c>
    </row>
    <row r="64" spans="2:13" x14ac:dyDescent="0.25">
      <c r="B64" s="12">
        <v>44970</v>
      </c>
      <c r="C64" s="18">
        <v>55</v>
      </c>
      <c r="D64" s="120">
        <f t="shared" si="0"/>
        <v>-8.8304556197348338E-3</v>
      </c>
      <c r="H64" s="113" t="s">
        <v>131</v>
      </c>
      <c r="I64" s="114">
        <f>I63*(1-I60)</f>
        <v>88.386780000000002</v>
      </c>
    </row>
    <row r="65" spans="2:9" ht="15.75" thickBot="1" x14ac:dyDescent="0.3">
      <c r="B65" s="12">
        <v>44963</v>
      </c>
      <c r="C65" s="18">
        <v>55.490001999999997</v>
      </c>
      <c r="D65" s="120">
        <f t="shared" si="0"/>
        <v>-4.8035665671029903E-2</v>
      </c>
      <c r="H65" s="109" t="s">
        <v>132</v>
      </c>
      <c r="I65" s="115">
        <f>I63*(1+I61)</f>
        <v>116.7045</v>
      </c>
    </row>
    <row r="66" spans="2:9" x14ac:dyDescent="0.25">
      <c r="B66" s="12">
        <v>44956</v>
      </c>
      <c r="C66" s="18">
        <v>58.290000999999997</v>
      </c>
      <c r="D66" s="120">
        <f t="shared" si="0"/>
        <v>3.1316365888180986E-2</v>
      </c>
    </row>
    <row r="67" spans="2:9" x14ac:dyDescent="0.25">
      <c r="B67" s="12">
        <v>44949</v>
      </c>
      <c r="C67" s="18">
        <v>56.52</v>
      </c>
      <c r="D67" s="120">
        <f t="shared" ref="D67:D130" si="10">C67/C68-1</f>
        <v>3.2328767123287694E-2</v>
      </c>
    </row>
    <row r="68" spans="2:9" x14ac:dyDescent="0.25">
      <c r="B68" s="12">
        <v>44942</v>
      </c>
      <c r="C68" s="18">
        <v>54.75</v>
      </c>
      <c r="D68" s="120">
        <f t="shared" si="10"/>
        <v>-2.8566376356167877E-2</v>
      </c>
    </row>
    <row r="69" spans="2:9" x14ac:dyDescent="0.25">
      <c r="B69" s="12">
        <v>44935</v>
      </c>
      <c r="C69" s="18">
        <v>56.360000999999997</v>
      </c>
      <c r="D69" s="120">
        <f t="shared" si="10"/>
        <v>0.21387036398880022</v>
      </c>
    </row>
    <row r="70" spans="2:9" x14ac:dyDescent="0.25">
      <c r="B70" s="12">
        <v>44928</v>
      </c>
      <c r="C70" s="18">
        <v>46.43</v>
      </c>
      <c r="D70" s="120">
        <f t="shared" si="10"/>
        <v>0.11798702427129859</v>
      </c>
    </row>
    <row r="71" spans="2:9" x14ac:dyDescent="0.25">
      <c r="B71" s="12">
        <v>44921</v>
      </c>
      <c r="C71" s="18">
        <v>41.529998999999997</v>
      </c>
      <c r="D71" s="120">
        <f t="shared" si="10"/>
        <v>-7.484963410224188E-2</v>
      </c>
    </row>
    <row r="72" spans="2:9" x14ac:dyDescent="0.25">
      <c r="B72" s="12">
        <v>44914</v>
      </c>
      <c r="C72" s="18">
        <v>44.889999000000003</v>
      </c>
      <c r="D72" s="120">
        <f t="shared" si="10"/>
        <v>-7.3477851940601524E-2</v>
      </c>
    </row>
    <row r="73" spans="2:9" x14ac:dyDescent="0.25">
      <c r="B73" s="12">
        <v>44907</v>
      </c>
      <c r="C73" s="18">
        <v>48.450001</v>
      </c>
      <c r="D73" s="120">
        <f t="shared" si="10"/>
        <v>2.6918206867316608E-2</v>
      </c>
    </row>
    <row r="74" spans="2:9" x14ac:dyDescent="0.25">
      <c r="B74" s="12">
        <v>44900</v>
      </c>
      <c r="C74" s="18">
        <v>47.18</v>
      </c>
      <c r="D74" s="120">
        <f t="shared" si="10"/>
        <v>-9.1469285576737946E-2</v>
      </c>
    </row>
    <row r="75" spans="2:9" x14ac:dyDescent="0.25">
      <c r="B75" s="12">
        <v>44893</v>
      </c>
      <c r="C75" s="18">
        <v>51.93</v>
      </c>
      <c r="D75" s="120">
        <f t="shared" si="10"/>
        <v>5.3560538576576722E-2</v>
      </c>
    </row>
    <row r="76" spans="2:9" x14ac:dyDescent="0.25">
      <c r="B76" s="12">
        <v>44886</v>
      </c>
      <c r="C76" s="18">
        <v>49.290000999999997</v>
      </c>
      <c r="D76" s="120">
        <f t="shared" si="10"/>
        <v>-1.0240923900420196E-2</v>
      </c>
    </row>
    <row r="77" spans="2:9" x14ac:dyDescent="0.25">
      <c r="B77" s="12">
        <v>44879</v>
      </c>
      <c r="C77" s="18">
        <v>49.799999</v>
      </c>
      <c r="D77" s="120">
        <f t="shared" si="10"/>
        <v>-3.7309124299246044E-2</v>
      </c>
    </row>
    <row r="78" spans="2:9" x14ac:dyDescent="0.25">
      <c r="B78" s="12">
        <v>44872</v>
      </c>
      <c r="C78" s="18">
        <v>51.73</v>
      </c>
      <c r="D78" s="120">
        <f t="shared" si="10"/>
        <v>0.10017014036580174</v>
      </c>
    </row>
    <row r="79" spans="2:9" x14ac:dyDescent="0.25">
      <c r="B79" s="12">
        <v>44865</v>
      </c>
      <c r="C79" s="18">
        <v>47.02</v>
      </c>
      <c r="D79" s="120">
        <f t="shared" si="10"/>
        <v>-0.15764958796130413</v>
      </c>
    </row>
    <row r="80" spans="2:9" x14ac:dyDescent="0.25">
      <c r="B80" s="12">
        <v>44858</v>
      </c>
      <c r="C80" s="18">
        <v>55.82</v>
      </c>
      <c r="D80" s="120">
        <f t="shared" si="10"/>
        <v>0.1003351074315002</v>
      </c>
    </row>
    <row r="81" spans="2:4" x14ac:dyDescent="0.25">
      <c r="B81" s="12">
        <v>44851</v>
      </c>
      <c r="C81" s="18">
        <v>50.73</v>
      </c>
      <c r="D81" s="120">
        <f t="shared" si="10"/>
        <v>6.0631358535172097E-2</v>
      </c>
    </row>
    <row r="82" spans="2:4" x14ac:dyDescent="0.25">
      <c r="B82" s="12">
        <v>44844</v>
      </c>
      <c r="C82" s="18">
        <v>47.830002</v>
      </c>
      <c r="D82" s="120">
        <f t="shared" si="10"/>
        <v>2.4416428023483094E-2</v>
      </c>
    </row>
    <row r="83" spans="2:4" x14ac:dyDescent="0.25">
      <c r="B83" s="12">
        <v>44837</v>
      </c>
      <c r="C83" s="18">
        <v>46.689999</v>
      </c>
      <c r="D83" s="120">
        <f t="shared" si="10"/>
        <v>3.8016874166296288E-2</v>
      </c>
    </row>
    <row r="84" spans="2:4" x14ac:dyDescent="0.25">
      <c r="B84" s="12">
        <v>44830</v>
      </c>
      <c r="C84" s="18">
        <v>44.98</v>
      </c>
      <c r="D84" s="120">
        <f t="shared" si="10"/>
        <v>3.5698348951360703E-3</v>
      </c>
    </row>
    <row r="85" spans="2:4" x14ac:dyDescent="0.25">
      <c r="B85" s="12">
        <v>44823</v>
      </c>
      <c r="C85" s="18">
        <v>44.82</v>
      </c>
      <c r="D85" s="120">
        <f t="shared" si="10"/>
        <v>-9.6553132502456451E-2</v>
      </c>
    </row>
    <row r="86" spans="2:4" x14ac:dyDescent="0.25">
      <c r="B86" s="12">
        <v>44816</v>
      </c>
      <c r="C86" s="18">
        <v>49.610000999999997</v>
      </c>
      <c r="D86" s="120">
        <f t="shared" si="10"/>
        <v>-2.2270416938493631E-2</v>
      </c>
    </row>
    <row r="87" spans="2:4" x14ac:dyDescent="0.25">
      <c r="B87" s="12">
        <v>44809</v>
      </c>
      <c r="C87" s="18">
        <v>50.740001999999997</v>
      </c>
      <c r="D87" s="120">
        <f t="shared" si="10"/>
        <v>9.2122322258336498E-2</v>
      </c>
    </row>
    <row r="88" spans="2:4" x14ac:dyDescent="0.25">
      <c r="B88" s="12">
        <v>44802</v>
      </c>
      <c r="C88" s="18">
        <v>46.459999000000003</v>
      </c>
      <c r="D88" s="120">
        <f t="shared" si="10"/>
        <v>-2.4769102115220432E-2</v>
      </c>
    </row>
    <row r="89" spans="2:4" x14ac:dyDescent="0.25">
      <c r="B89" s="12">
        <v>44795</v>
      </c>
      <c r="C89" s="18">
        <v>47.639999000000003</v>
      </c>
      <c r="D89" s="120">
        <f t="shared" si="10"/>
        <v>-3.9903265616752615E-2</v>
      </c>
    </row>
    <row r="90" spans="2:4" x14ac:dyDescent="0.25">
      <c r="B90" s="12">
        <v>44788</v>
      </c>
      <c r="C90" s="18">
        <v>49.619999</v>
      </c>
      <c r="D90" s="120">
        <f t="shared" si="10"/>
        <v>-6.5712708233614969E-2</v>
      </c>
    </row>
    <row r="91" spans="2:4" x14ac:dyDescent="0.25">
      <c r="B91" s="12">
        <v>44781</v>
      </c>
      <c r="C91" s="18">
        <v>53.110000999999997</v>
      </c>
      <c r="D91" s="120">
        <f t="shared" si="10"/>
        <v>3.0062063032155528E-2</v>
      </c>
    </row>
    <row r="92" spans="2:4" x14ac:dyDescent="0.25">
      <c r="B92" s="12">
        <v>44774</v>
      </c>
      <c r="C92" s="18">
        <v>51.560001</v>
      </c>
      <c r="D92" s="120">
        <f t="shared" si="10"/>
        <v>1.9432958014631296E-3</v>
      </c>
    </row>
    <row r="93" spans="2:4" x14ac:dyDescent="0.25">
      <c r="B93" s="12">
        <v>44767</v>
      </c>
      <c r="C93" s="18">
        <v>51.459999000000003</v>
      </c>
      <c r="D93" s="120">
        <f t="shared" si="10"/>
        <v>6.9187573879335718E-2</v>
      </c>
    </row>
    <row r="94" spans="2:4" x14ac:dyDescent="0.25">
      <c r="B94" s="12">
        <v>44760</v>
      </c>
      <c r="C94" s="18">
        <v>48.130001</v>
      </c>
      <c r="D94" s="120">
        <f t="shared" si="10"/>
        <v>3.5944942659167811E-2</v>
      </c>
    </row>
    <row r="95" spans="2:4" x14ac:dyDescent="0.25">
      <c r="B95" s="12">
        <v>44753</v>
      </c>
      <c r="C95" s="18">
        <v>46.459999000000003</v>
      </c>
      <c r="D95" s="120">
        <f t="shared" si="10"/>
        <v>0.13677514403658297</v>
      </c>
    </row>
    <row r="96" spans="2:4" x14ac:dyDescent="0.25">
      <c r="B96" s="12">
        <v>44746</v>
      </c>
      <c r="C96" s="18">
        <v>40.869999</v>
      </c>
      <c r="D96" s="120">
        <f t="shared" si="10"/>
        <v>1.9612159362292214E-3</v>
      </c>
    </row>
    <row r="97" spans="2:4" x14ac:dyDescent="0.25">
      <c r="B97" s="12">
        <v>44739</v>
      </c>
      <c r="C97" s="18">
        <v>40.790000999999997</v>
      </c>
      <c r="D97" s="120">
        <f t="shared" si="10"/>
        <v>-3.3412321483120455E-2</v>
      </c>
    </row>
    <row r="98" spans="2:4" x14ac:dyDescent="0.25">
      <c r="B98" s="12">
        <v>44732</v>
      </c>
      <c r="C98" s="18">
        <v>42.200001</v>
      </c>
      <c r="D98" s="120">
        <f t="shared" si="10"/>
        <v>6.7813790485829806E-2</v>
      </c>
    </row>
    <row r="99" spans="2:4" x14ac:dyDescent="0.25">
      <c r="B99" s="12">
        <v>44725</v>
      </c>
      <c r="C99" s="18">
        <v>39.520000000000003</v>
      </c>
      <c r="D99" s="120">
        <f t="shared" si="10"/>
        <v>-7.943163289075228E-2</v>
      </c>
    </row>
    <row r="100" spans="2:4" x14ac:dyDescent="0.25">
      <c r="B100" s="12">
        <v>44718</v>
      </c>
      <c r="C100" s="18">
        <v>42.93</v>
      </c>
      <c r="D100" s="120">
        <f t="shared" si="10"/>
        <v>-9.5067434550325403E-2</v>
      </c>
    </row>
    <row r="101" spans="2:4" x14ac:dyDescent="0.25">
      <c r="B101" s="12">
        <v>44711</v>
      </c>
      <c r="C101" s="18">
        <v>47.439999</v>
      </c>
      <c r="D101" s="120">
        <f t="shared" si="10"/>
        <v>-2.6871815384615361E-2</v>
      </c>
    </row>
    <row r="102" spans="2:4" x14ac:dyDescent="0.25">
      <c r="B102" s="12">
        <v>44704</v>
      </c>
      <c r="C102" s="18">
        <v>48.75</v>
      </c>
      <c r="D102" s="120">
        <f t="shared" si="10"/>
        <v>0.16126727012863284</v>
      </c>
    </row>
    <row r="103" spans="2:4" x14ac:dyDescent="0.25">
      <c r="B103" s="12">
        <v>44697</v>
      </c>
      <c r="C103" s="18">
        <v>41.98</v>
      </c>
      <c r="D103" s="120">
        <f t="shared" si="10"/>
        <v>-9.3891685996473795E-2</v>
      </c>
    </row>
    <row r="104" spans="2:4" x14ac:dyDescent="0.25">
      <c r="B104" s="12">
        <v>44690</v>
      </c>
      <c r="C104" s="18">
        <v>46.330002</v>
      </c>
      <c r="D104" s="120">
        <f t="shared" si="10"/>
        <v>-0.15301643230317308</v>
      </c>
    </row>
    <row r="105" spans="2:4" x14ac:dyDescent="0.25">
      <c r="B105" s="12">
        <v>44683</v>
      </c>
      <c r="C105" s="18">
        <v>54.700001</v>
      </c>
      <c r="D105" s="120">
        <f t="shared" si="10"/>
        <v>-5.412417243215728E-2</v>
      </c>
    </row>
    <row r="106" spans="2:4" x14ac:dyDescent="0.25">
      <c r="B106" s="12">
        <v>44676</v>
      </c>
      <c r="C106" s="18">
        <v>57.830002</v>
      </c>
      <c r="D106" s="120">
        <f t="shared" si="10"/>
        <v>-5.9674764227642285E-2</v>
      </c>
    </row>
    <row r="107" spans="2:4" x14ac:dyDescent="0.25">
      <c r="B107" s="12">
        <v>44669</v>
      </c>
      <c r="C107" s="18">
        <v>61.5</v>
      </c>
      <c r="D107" s="120">
        <f t="shared" si="10"/>
        <v>-8.5442367974243316E-3</v>
      </c>
    </row>
    <row r="108" spans="2:4" x14ac:dyDescent="0.25">
      <c r="B108" s="12">
        <v>44662</v>
      </c>
      <c r="C108" s="18">
        <v>62.029998999999997</v>
      </c>
      <c r="D108" s="120">
        <f t="shared" si="10"/>
        <v>1.1083961241530993E-2</v>
      </c>
    </row>
    <row r="109" spans="2:4" x14ac:dyDescent="0.25">
      <c r="B109" s="12">
        <v>44655</v>
      </c>
      <c r="C109" s="18">
        <v>61.349997999999999</v>
      </c>
      <c r="D109" s="120">
        <f t="shared" si="10"/>
        <v>-0.11510174195581291</v>
      </c>
    </row>
    <row r="110" spans="2:4" x14ac:dyDescent="0.25">
      <c r="B110" s="12">
        <v>44648</v>
      </c>
      <c r="C110" s="18">
        <v>69.330001999999993</v>
      </c>
      <c r="D110" s="120">
        <f t="shared" si="10"/>
        <v>-8.6463468604469629E-4</v>
      </c>
    </row>
    <row r="111" spans="2:4" x14ac:dyDescent="0.25">
      <c r="B111" s="12">
        <v>44641</v>
      </c>
      <c r="C111" s="18">
        <v>69.389999000000003</v>
      </c>
      <c r="D111" s="120">
        <f t="shared" si="10"/>
        <v>1.2992686131386932E-2</v>
      </c>
    </row>
    <row r="112" spans="2:4" x14ac:dyDescent="0.25">
      <c r="B112" s="12">
        <v>44634</v>
      </c>
      <c r="C112" s="18">
        <v>68.5</v>
      </c>
      <c r="D112" s="120">
        <f t="shared" si="10"/>
        <v>7.5353201328835162E-2</v>
      </c>
    </row>
    <row r="113" spans="2:4" x14ac:dyDescent="0.25">
      <c r="B113" s="12">
        <v>44627</v>
      </c>
      <c r="C113" s="18">
        <v>63.700001</v>
      </c>
      <c r="D113" s="120">
        <f t="shared" si="10"/>
        <v>-6.666665201465205E-2</v>
      </c>
    </row>
    <row r="114" spans="2:4" x14ac:dyDescent="0.25">
      <c r="B114" s="12">
        <v>44620</v>
      </c>
      <c r="C114" s="18">
        <v>68.25</v>
      </c>
      <c r="D114" s="120">
        <f t="shared" si="10"/>
        <v>-5.1688216594578007E-2</v>
      </c>
    </row>
    <row r="115" spans="2:4" x14ac:dyDescent="0.25">
      <c r="B115" s="12">
        <v>44613</v>
      </c>
      <c r="C115" s="18">
        <v>71.970000999999996</v>
      </c>
      <c r="D115" s="120">
        <f t="shared" si="10"/>
        <v>-1.3875260163729308E-3</v>
      </c>
    </row>
    <row r="116" spans="2:4" x14ac:dyDescent="0.25">
      <c r="B116" s="12">
        <v>44606</v>
      </c>
      <c r="C116" s="18">
        <v>72.069999999999993</v>
      </c>
      <c r="D116" s="120">
        <f t="shared" si="10"/>
        <v>-2.0388745412532328E-2</v>
      </c>
    </row>
    <row r="117" spans="2:4" x14ac:dyDescent="0.25">
      <c r="B117" s="12">
        <v>44599</v>
      </c>
      <c r="C117" s="18">
        <v>73.569999999999993</v>
      </c>
      <c r="D117" s="120">
        <f t="shared" si="10"/>
        <v>8.9925925925925743E-2</v>
      </c>
    </row>
    <row r="118" spans="2:4" x14ac:dyDescent="0.25">
      <c r="B118" s="12">
        <v>44592</v>
      </c>
      <c r="C118" s="18">
        <v>67.5</v>
      </c>
      <c r="D118" s="120">
        <f t="shared" si="10"/>
        <v>7.5354468695236543E-2</v>
      </c>
    </row>
    <row r="119" spans="2:4" x14ac:dyDescent="0.25">
      <c r="B119" s="12">
        <v>44585</v>
      </c>
      <c r="C119" s="18">
        <v>62.77</v>
      </c>
      <c r="D119" s="120">
        <f t="shared" si="10"/>
        <v>-1.4290201005025094E-2</v>
      </c>
    </row>
    <row r="120" spans="2:4" x14ac:dyDescent="0.25">
      <c r="B120" s="12">
        <v>44578</v>
      </c>
      <c r="C120" s="18">
        <v>63.68</v>
      </c>
      <c r="D120" s="120">
        <f t="shared" si="10"/>
        <v>-8.0964077342126184E-2</v>
      </c>
    </row>
    <row r="121" spans="2:4" x14ac:dyDescent="0.25">
      <c r="B121" s="12">
        <v>44571</v>
      </c>
      <c r="C121" s="18">
        <v>69.290001000000004</v>
      </c>
      <c r="D121" s="120">
        <f t="shared" si="10"/>
        <v>-3.8814980989503312E-3</v>
      </c>
    </row>
    <row r="122" spans="2:4" x14ac:dyDescent="0.25">
      <c r="B122" s="12">
        <v>44564</v>
      </c>
      <c r="C122" s="18">
        <v>69.559997999999993</v>
      </c>
      <c r="D122" s="120">
        <f t="shared" si="10"/>
        <v>-3.6031123279871347E-2</v>
      </c>
    </row>
    <row r="123" spans="2:4" x14ac:dyDescent="0.25">
      <c r="B123" s="12">
        <v>44557</v>
      </c>
      <c r="C123" s="18">
        <v>72.160004000000001</v>
      </c>
      <c r="D123" s="120">
        <f t="shared" si="10"/>
        <v>-3.1669257850345911E-2</v>
      </c>
    </row>
    <row r="124" spans="2:4" x14ac:dyDescent="0.25">
      <c r="B124" s="12">
        <v>44550</v>
      </c>
      <c r="C124" s="18">
        <v>74.519997000000004</v>
      </c>
      <c r="D124" s="120">
        <f t="shared" si="10"/>
        <v>4.0491397354451397E-2</v>
      </c>
    </row>
    <row r="125" spans="2:4" x14ac:dyDescent="0.25">
      <c r="B125" s="12">
        <v>44543</v>
      </c>
      <c r="C125" s="18">
        <v>71.620002999999997</v>
      </c>
      <c r="D125" s="120">
        <f t="shared" si="10"/>
        <v>-4.5448434565486306E-2</v>
      </c>
    </row>
    <row r="126" spans="2:4" x14ac:dyDescent="0.25">
      <c r="B126" s="12">
        <v>44536</v>
      </c>
      <c r="C126" s="18">
        <v>75.029999000000004</v>
      </c>
      <c r="D126" s="120">
        <f t="shared" si="10"/>
        <v>7.4620438269836775E-2</v>
      </c>
    </row>
    <row r="127" spans="2:4" x14ac:dyDescent="0.25">
      <c r="B127" s="12">
        <v>44529</v>
      </c>
      <c r="C127" s="18">
        <v>69.819999999999993</v>
      </c>
      <c r="D127" s="120">
        <f t="shared" si="10"/>
        <v>-7.9984175516987555E-2</v>
      </c>
    </row>
    <row r="128" spans="2:4" x14ac:dyDescent="0.25">
      <c r="B128" s="12">
        <v>44522</v>
      </c>
      <c r="C128" s="18">
        <v>75.889999000000003</v>
      </c>
      <c r="D128" s="120">
        <f t="shared" si="10"/>
        <v>-7.3721481752715756E-2</v>
      </c>
    </row>
    <row r="129" spans="2:4" x14ac:dyDescent="0.25">
      <c r="B129" s="12">
        <v>44515</v>
      </c>
      <c r="C129" s="18">
        <v>81.93</v>
      </c>
      <c r="D129" s="120">
        <f t="shared" si="10"/>
        <v>-3.0299420766940921E-2</v>
      </c>
    </row>
    <row r="130" spans="2:4" x14ac:dyDescent="0.25">
      <c r="B130" s="12">
        <v>44508</v>
      </c>
      <c r="C130" s="18">
        <v>84.489998</v>
      </c>
      <c r="D130" s="120">
        <f t="shared" si="10"/>
        <v>-7.1232306571041959E-2</v>
      </c>
    </row>
    <row r="131" spans="2:4" x14ac:dyDescent="0.25">
      <c r="B131" s="12">
        <v>44501</v>
      </c>
      <c r="C131" s="18">
        <v>90.970000999999996</v>
      </c>
      <c r="D131" s="120">
        <f t="shared" ref="D131:D194" si="11">C131/C132-1</f>
        <v>0.31516558667530958</v>
      </c>
    </row>
    <row r="132" spans="2:4" x14ac:dyDescent="0.25">
      <c r="B132" s="12">
        <v>44494</v>
      </c>
      <c r="C132" s="18">
        <v>69.169998000000007</v>
      </c>
      <c r="D132" s="120">
        <f t="shared" si="11"/>
        <v>-2.1363921901528027E-2</v>
      </c>
    </row>
    <row r="133" spans="2:4" x14ac:dyDescent="0.25">
      <c r="B133" s="12">
        <v>44487</v>
      </c>
      <c r="C133" s="18">
        <v>70.680000000000007</v>
      </c>
      <c r="D133" s="120">
        <f t="shared" si="11"/>
        <v>-6.2972292191435741E-2</v>
      </c>
    </row>
    <row r="134" spans="2:4" x14ac:dyDescent="0.25">
      <c r="B134" s="12">
        <v>44480</v>
      </c>
      <c r="C134" s="18">
        <v>75.430000000000007</v>
      </c>
      <c r="D134" s="120">
        <f t="shared" si="11"/>
        <v>-3.4804887145108321E-2</v>
      </c>
    </row>
    <row r="135" spans="2:4" x14ac:dyDescent="0.25">
      <c r="B135" s="12">
        <v>44473</v>
      </c>
      <c r="C135" s="18">
        <v>78.150002000000001</v>
      </c>
      <c r="D135" s="120">
        <f t="shared" si="11"/>
        <v>-4.0397837907715228E-2</v>
      </c>
    </row>
    <row r="136" spans="2:4" x14ac:dyDescent="0.25">
      <c r="B136" s="12">
        <v>44466</v>
      </c>
      <c r="C136" s="18">
        <v>81.440002000000007</v>
      </c>
      <c r="D136" s="120">
        <f t="shared" si="11"/>
        <v>-5.3023232558139455E-2</v>
      </c>
    </row>
    <row r="137" spans="2:4" x14ac:dyDescent="0.25">
      <c r="B137" s="12">
        <v>44459</v>
      </c>
      <c r="C137" s="18">
        <v>86</v>
      </c>
      <c r="D137" s="120">
        <f t="shared" si="11"/>
        <v>2.4175288505712933E-2</v>
      </c>
    </row>
    <row r="138" spans="2:4" x14ac:dyDescent="0.25">
      <c r="B138" s="12">
        <v>44452</v>
      </c>
      <c r="C138" s="18">
        <v>83.970000999999996</v>
      </c>
      <c r="D138" s="120">
        <f t="shared" si="11"/>
        <v>2.2030147418201196E-2</v>
      </c>
    </row>
    <row r="139" spans="2:4" x14ac:dyDescent="0.25">
      <c r="B139" s="12">
        <v>44445</v>
      </c>
      <c r="C139" s="18">
        <v>82.160004000000001</v>
      </c>
      <c r="D139" s="120">
        <f t="shared" si="11"/>
        <v>-3.7488249326519951E-2</v>
      </c>
    </row>
    <row r="140" spans="2:4" x14ac:dyDescent="0.25">
      <c r="B140" s="12">
        <v>44438</v>
      </c>
      <c r="C140" s="18">
        <v>85.360000999999997</v>
      </c>
      <c r="D140" s="120">
        <f t="shared" si="11"/>
        <v>-3.0330546749182674E-2</v>
      </c>
    </row>
    <row r="141" spans="2:4" x14ac:dyDescent="0.25">
      <c r="B141" s="12">
        <v>44431</v>
      </c>
      <c r="C141" s="18">
        <v>88.029999000000004</v>
      </c>
      <c r="D141" s="120">
        <f t="shared" si="11"/>
        <v>4.6108103479308271E-2</v>
      </c>
    </row>
    <row r="142" spans="2:4" x14ac:dyDescent="0.25">
      <c r="B142" s="12">
        <v>44424</v>
      </c>
      <c r="C142" s="18">
        <v>84.150002000000001</v>
      </c>
      <c r="D142" s="120">
        <f t="shared" si="11"/>
        <v>-5.9145794741820357E-2</v>
      </c>
    </row>
    <row r="143" spans="2:4" x14ac:dyDescent="0.25">
      <c r="B143" s="12">
        <v>44417</v>
      </c>
      <c r="C143" s="18">
        <v>89.440002000000007</v>
      </c>
      <c r="D143" s="120">
        <f t="shared" si="11"/>
        <v>-1.0181485057752404E-2</v>
      </c>
    </row>
    <row r="144" spans="2:4" x14ac:dyDescent="0.25">
      <c r="B144" s="12">
        <v>44410</v>
      </c>
      <c r="C144" s="18">
        <v>90.360000999999997</v>
      </c>
      <c r="D144" s="120">
        <f t="shared" si="11"/>
        <v>-0.10125323153716703</v>
      </c>
    </row>
    <row r="145" spans="2:4" x14ac:dyDescent="0.25">
      <c r="B145" s="12">
        <v>44403</v>
      </c>
      <c r="C145" s="18">
        <v>100.540001</v>
      </c>
      <c r="D145" s="120">
        <f t="shared" si="11"/>
        <v>-4.7514948946196789E-3</v>
      </c>
    </row>
    <row r="146" spans="2:4" x14ac:dyDescent="0.25">
      <c r="B146" s="12">
        <v>44396</v>
      </c>
      <c r="C146" s="18">
        <v>101.019997</v>
      </c>
      <c r="D146" s="120">
        <f t="shared" si="11"/>
        <v>8.9869401448497088E-2</v>
      </c>
    </row>
    <row r="147" spans="2:4" x14ac:dyDescent="0.25">
      <c r="B147" s="12">
        <v>44389</v>
      </c>
      <c r="C147" s="18">
        <v>92.690002000000007</v>
      </c>
      <c r="D147" s="120">
        <f t="shared" si="11"/>
        <v>-0.12606068500962997</v>
      </c>
    </row>
    <row r="148" spans="2:4" x14ac:dyDescent="0.25">
      <c r="B148" s="12">
        <v>44382</v>
      </c>
      <c r="C148" s="18">
        <v>106.05999799999999</v>
      </c>
      <c r="D148" s="120">
        <f t="shared" si="11"/>
        <v>1.7947940916634098E-2</v>
      </c>
    </row>
    <row r="149" spans="2:4" x14ac:dyDescent="0.25">
      <c r="B149" s="12">
        <v>44375</v>
      </c>
      <c r="C149" s="18">
        <v>104.19000200000001</v>
      </c>
      <c r="D149" s="120">
        <f t="shared" si="11"/>
        <v>-9.8831224018874897E-3</v>
      </c>
    </row>
    <row r="150" spans="2:4" x14ac:dyDescent="0.25">
      <c r="B150" s="12">
        <v>44368</v>
      </c>
      <c r="C150" s="18">
        <v>105.230003</v>
      </c>
      <c r="D150" s="120">
        <f t="shared" si="11"/>
        <v>0.11484271760613107</v>
      </c>
    </row>
    <row r="151" spans="2:4" x14ac:dyDescent="0.25">
      <c r="B151" s="12">
        <v>44361</v>
      </c>
      <c r="C151" s="18">
        <v>94.389999000000003</v>
      </c>
      <c r="D151" s="120">
        <f t="shared" si="11"/>
        <v>-5.8923268427020892E-2</v>
      </c>
    </row>
    <row r="152" spans="2:4" x14ac:dyDescent="0.25">
      <c r="B152" s="12">
        <v>44354</v>
      </c>
      <c r="C152" s="18">
        <v>100.300003</v>
      </c>
      <c r="D152" s="120">
        <f t="shared" si="11"/>
        <v>0.12343194582697081</v>
      </c>
    </row>
    <row r="153" spans="2:4" x14ac:dyDescent="0.25">
      <c r="B153" s="12">
        <v>44347</v>
      </c>
      <c r="C153" s="18">
        <v>89.279999000000004</v>
      </c>
      <c r="D153" s="120">
        <f t="shared" si="11"/>
        <v>-5.0010681527643652E-2</v>
      </c>
    </row>
    <row r="154" spans="2:4" x14ac:dyDescent="0.25">
      <c r="B154" s="12">
        <v>44340</v>
      </c>
      <c r="C154" s="18">
        <v>93.980002999999996</v>
      </c>
      <c r="D154" s="120">
        <f t="shared" si="11"/>
        <v>0.12308798996175896</v>
      </c>
    </row>
    <row r="155" spans="2:4" x14ac:dyDescent="0.25">
      <c r="B155" s="12">
        <v>44333</v>
      </c>
      <c r="C155" s="18">
        <v>83.68</v>
      </c>
      <c r="D155" s="120">
        <f t="shared" si="11"/>
        <v>5.1651651651651864E-3</v>
      </c>
    </row>
    <row r="156" spans="2:4" x14ac:dyDescent="0.25">
      <c r="B156" s="12">
        <v>44326</v>
      </c>
      <c r="C156" s="18">
        <v>83.25</v>
      </c>
      <c r="D156" s="120">
        <f t="shared" si="11"/>
        <v>-6.9624528287063114E-2</v>
      </c>
    </row>
    <row r="157" spans="2:4" x14ac:dyDescent="0.25">
      <c r="B157" s="12">
        <v>44319</v>
      </c>
      <c r="C157" s="18">
        <v>89.480002999999996</v>
      </c>
      <c r="D157" s="120">
        <f t="shared" si="11"/>
        <v>-0.17719537471264368</v>
      </c>
    </row>
    <row r="158" spans="2:4" x14ac:dyDescent="0.25">
      <c r="B158" s="12">
        <v>44312</v>
      </c>
      <c r="C158" s="18">
        <v>108.75</v>
      </c>
      <c r="D158" s="120">
        <f t="shared" si="11"/>
        <v>-1.4141945682928925E-2</v>
      </c>
    </row>
    <row r="159" spans="2:4" x14ac:dyDescent="0.25">
      <c r="B159" s="12">
        <v>44305</v>
      </c>
      <c r="C159" s="18">
        <v>110.30999799999999</v>
      </c>
      <c r="D159" s="120">
        <f t="shared" si="11"/>
        <v>-5.5403331524262245E-2</v>
      </c>
    </row>
    <row r="160" spans="2:4" x14ac:dyDescent="0.25">
      <c r="B160" s="12">
        <v>44298</v>
      </c>
      <c r="C160" s="18">
        <v>116.779999</v>
      </c>
      <c r="D160" s="120">
        <f t="shared" si="11"/>
        <v>1.8756015495664746E-2</v>
      </c>
    </row>
    <row r="161" spans="2:4" x14ac:dyDescent="0.25">
      <c r="B161" s="12">
        <v>44291</v>
      </c>
      <c r="C161" s="18">
        <v>114.629997</v>
      </c>
      <c r="D161" s="120">
        <f t="shared" si="11"/>
        <v>1.0401058009724018E-2</v>
      </c>
    </row>
    <row r="162" spans="2:4" x14ac:dyDescent="0.25">
      <c r="B162" s="12">
        <v>44284</v>
      </c>
      <c r="C162" s="18">
        <v>113.449997</v>
      </c>
      <c r="D162" s="120">
        <f t="shared" si="11"/>
        <v>-1.3478286956521757E-2</v>
      </c>
    </row>
    <row r="163" spans="2:4" x14ac:dyDescent="0.25">
      <c r="B163" s="12">
        <v>44277</v>
      </c>
      <c r="C163" s="18">
        <v>115</v>
      </c>
      <c r="D163" s="120">
        <f t="shared" si="11"/>
        <v>-6.0687739933023011E-2</v>
      </c>
    </row>
    <row r="164" spans="2:4" x14ac:dyDescent="0.25">
      <c r="B164" s="12">
        <v>44270</v>
      </c>
      <c r="C164" s="18">
        <v>122.43</v>
      </c>
      <c r="D164" s="120">
        <f t="shared" si="11"/>
        <v>5.0899105999493433E-3</v>
      </c>
    </row>
    <row r="165" spans="2:4" x14ac:dyDescent="0.25">
      <c r="B165" s="12">
        <v>44263</v>
      </c>
      <c r="C165" s="18">
        <v>121.80999799999999</v>
      </c>
      <c r="D165" s="120">
        <f t="shared" si="11"/>
        <v>8.0258920179870019E-2</v>
      </c>
    </row>
    <row r="166" spans="2:4" x14ac:dyDescent="0.25">
      <c r="B166" s="12">
        <v>44256</v>
      </c>
      <c r="C166" s="18">
        <v>112.760002</v>
      </c>
      <c r="D166" s="120">
        <f t="shared" si="11"/>
        <v>-4.8278197629687769E-2</v>
      </c>
    </row>
    <row r="167" spans="2:4" x14ac:dyDescent="0.25">
      <c r="B167" s="12">
        <v>44249</v>
      </c>
      <c r="C167" s="18">
        <v>118.480003</v>
      </c>
      <c r="D167" s="120">
        <f t="shared" si="11"/>
        <v>-4.8659048910719149E-2</v>
      </c>
    </row>
    <row r="168" spans="2:4" x14ac:dyDescent="0.25">
      <c r="B168" s="12">
        <v>44242</v>
      </c>
      <c r="C168" s="18">
        <v>124.540001</v>
      </c>
      <c r="D168" s="120">
        <f t="shared" si="11"/>
        <v>-3.299939615650116E-2</v>
      </c>
    </row>
    <row r="169" spans="2:4" x14ac:dyDescent="0.25">
      <c r="B169" s="12">
        <v>44235</v>
      </c>
      <c r="C169" s="18">
        <v>128.78999300000001</v>
      </c>
      <c r="D169" s="120">
        <f t="shared" si="11"/>
        <v>9.561879807012863E-2</v>
      </c>
    </row>
    <row r="170" spans="2:4" x14ac:dyDescent="0.25">
      <c r="B170" s="12">
        <v>44228</v>
      </c>
      <c r="C170" s="18">
        <v>117.550003</v>
      </c>
      <c r="D170" s="120">
        <f t="shared" si="11"/>
        <v>3.6413375708223894E-2</v>
      </c>
    </row>
    <row r="171" spans="2:4" x14ac:dyDescent="0.25">
      <c r="B171" s="12">
        <v>44221</v>
      </c>
      <c r="C171" s="18">
        <v>113.41999800000001</v>
      </c>
      <c r="D171" s="120">
        <f t="shared" si="11"/>
        <v>1.9872304827554421E-2</v>
      </c>
    </row>
    <row r="172" spans="2:4" x14ac:dyDescent="0.25">
      <c r="B172" s="12">
        <v>44214</v>
      </c>
      <c r="C172" s="18">
        <v>111.209999</v>
      </c>
      <c r="D172" s="120">
        <f t="shared" si="11"/>
        <v>-4.4942476272835652E-4</v>
      </c>
    </row>
    <row r="173" spans="2:4" x14ac:dyDescent="0.25">
      <c r="B173" s="12">
        <v>44207</v>
      </c>
      <c r="C173" s="18">
        <v>111.260002</v>
      </c>
      <c r="D173" s="120">
        <f t="shared" si="11"/>
        <v>0.21875343171482697</v>
      </c>
    </row>
    <row r="174" spans="2:4" x14ac:dyDescent="0.25">
      <c r="B174" s="12">
        <v>44200</v>
      </c>
      <c r="C174" s="18">
        <v>91.290001000000004</v>
      </c>
      <c r="D174" s="120">
        <f t="shared" si="11"/>
        <v>7.6787002557053619E-2</v>
      </c>
    </row>
    <row r="175" spans="2:4" x14ac:dyDescent="0.25">
      <c r="B175" s="12">
        <v>44193</v>
      </c>
      <c r="C175" s="18">
        <v>84.779999000000004</v>
      </c>
      <c r="D175" s="120">
        <f t="shared" si="11"/>
        <v>-3.4396399735886152E-2</v>
      </c>
    </row>
    <row r="176" spans="2:4" x14ac:dyDescent="0.25">
      <c r="B176" s="12">
        <v>44186</v>
      </c>
      <c r="C176" s="18">
        <v>87.800003000000004</v>
      </c>
      <c r="D176" s="120">
        <f t="shared" si="11"/>
        <v>-2.7793102154647253E-2</v>
      </c>
    </row>
    <row r="177" spans="2:4" x14ac:dyDescent="0.25">
      <c r="B177" s="12">
        <v>44179</v>
      </c>
      <c r="C177" s="18">
        <v>90.309997999999993</v>
      </c>
      <c r="D177" s="120">
        <f t="shared" si="11"/>
        <v>4.5738732680190575E-2</v>
      </c>
    </row>
    <row r="178" spans="2:4" x14ac:dyDescent="0.25">
      <c r="B178" s="12">
        <v>44172</v>
      </c>
      <c r="C178" s="18">
        <v>86.360000999999997</v>
      </c>
      <c r="D178" s="120">
        <f t="shared" si="11"/>
        <v>-1.6064669570400092E-2</v>
      </c>
    </row>
    <row r="179" spans="2:4" x14ac:dyDescent="0.25">
      <c r="B179" s="12">
        <v>44165</v>
      </c>
      <c r="C179" s="18">
        <v>87.769997000000004</v>
      </c>
      <c r="D179" s="120">
        <f t="shared" si="11"/>
        <v>6.1947911386620369E-2</v>
      </c>
    </row>
    <row r="180" spans="2:4" x14ac:dyDescent="0.25">
      <c r="B180" s="12">
        <v>44158</v>
      </c>
      <c r="C180" s="18">
        <v>82.650002000000001</v>
      </c>
      <c r="D180" s="120">
        <f t="shared" si="11"/>
        <v>8.9650681335548654E-2</v>
      </c>
    </row>
    <row r="181" spans="2:4" x14ac:dyDescent="0.25">
      <c r="B181" s="12">
        <v>44151</v>
      </c>
      <c r="C181" s="18">
        <v>75.849997999999999</v>
      </c>
      <c r="D181" s="120">
        <f t="shared" si="11"/>
        <v>-4.0602075401013682E-2</v>
      </c>
    </row>
    <row r="182" spans="2:4" x14ac:dyDescent="0.25">
      <c r="B182" s="12">
        <v>44144</v>
      </c>
      <c r="C182" s="18">
        <v>79.059997999999993</v>
      </c>
      <c r="D182" s="120">
        <f t="shared" si="11"/>
        <v>0.11054917514962259</v>
      </c>
    </row>
    <row r="183" spans="2:4" x14ac:dyDescent="0.25">
      <c r="B183" s="12">
        <v>44137</v>
      </c>
      <c r="C183" s="18">
        <v>71.190002000000007</v>
      </c>
      <c r="D183" s="120">
        <f t="shared" si="11"/>
        <v>5.4354341870009204E-2</v>
      </c>
    </row>
    <row r="184" spans="2:4" x14ac:dyDescent="0.25">
      <c r="B184" s="12">
        <v>44130</v>
      </c>
      <c r="C184" s="18">
        <v>67.519997000000004</v>
      </c>
      <c r="D184" s="120">
        <f t="shared" si="11"/>
        <v>-9.6601568011816075E-2</v>
      </c>
    </row>
    <row r="185" spans="2:4" x14ac:dyDescent="0.25">
      <c r="B185" s="12">
        <v>44123</v>
      </c>
      <c r="C185" s="18">
        <v>74.739998</v>
      </c>
      <c r="D185" s="120">
        <f t="shared" si="11"/>
        <v>6.361180006881173E-2</v>
      </c>
    </row>
    <row r="186" spans="2:4" x14ac:dyDescent="0.25">
      <c r="B186" s="12">
        <v>44116</v>
      </c>
      <c r="C186" s="18">
        <v>70.269997000000004</v>
      </c>
      <c r="D186" s="120">
        <f t="shared" si="11"/>
        <v>-2.6461665281241387E-2</v>
      </c>
    </row>
    <row r="187" spans="2:4" x14ac:dyDescent="0.25">
      <c r="B187" s="12">
        <v>44109</v>
      </c>
      <c r="C187" s="18">
        <v>72.180000000000007</v>
      </c>
      <c r="D187" s="120">
        <f t="shared" si="11"/>
        <v>8.1024460731966119E-2</v>
      </c>
    </row>
    <row r="188" spans="2:4" x14ac:dyDescent="0.25">
      <c r="B188" s="12">
        <v>44102</v>
      </c>
      <c r="C188" s="18">
        <v>66.769997000000004</v>
      </c>
      <c r="D188" s="120">
        <f t="shared" si="11"/>
        <v>7.8490113207547729E-3</v>
      </c>
    </row>
    <row r="189" spans="2:4" x14ac:dyDescent="0.25">
      <c r="B189" s="12">
        <v>44095</v>
      </c>
      <c r="C189" s="18">
        <v>66.25</v>
      </c>
      <c r="D189" s="120">
        <f t="shared" si="11"/>
        <v>-1.9680407822420531E-2</v>
      </c>
    </row>
    <row r="190" spans="2:4" x14ac:dyDescent="0.25">
      <c r="B190" s="12">
        <v>44088</v>
      </c>
      <c r="C190" s="18">
        <v>67.580001999999993</v>
      </c>
      <c r="D190" s="120">
        <f t="shared" si="11"/>
        <v>3.3965743054379605E-2</v>
      </c>
    </row>
    <row r="191" spans="2:4" x14ac:dyDescent="0.25">
      <c r="B191" s="12">
        <v>44081</v>
      </c>
      <c r="C191" s="18">
        <v>65.360000999999997</v>
      </c>
      <c r="D191" s="120">
        <f t="shared" si="11"/>
        <v>-2.3894833092814149E-2</v>
      </c>
    </row>
    <row r="192" spans="2:4" x14ac:dyDescent="0.25">
      <c r="B192" s="12">
        <v>44074</v>
      </c>
      <c r="C192" s="18">
        <v>66.959998999999996</v>
      </c>
      <c r="D192" s="120">
        <f t="shared" si="11"/>
        <v>-7.2646111459426788E-3</v>
      </c>
    </row>
    <row r="193" spans="2:4" x14ac:dyDescent="0.25">
      <c r="B193" s="12">
        <v>44067</v>
      </c>
      <c r="C193" s="18">
        <v>67.449996999999996</v>
      </c>
      <c r="D193" s="120">
        <f t="shared" si="11"/>
        <v>0.15615353102502549</v>
      </c>
    </row>
    <row r="194" spans="2:4" x14ac:dyDescent="0.25">
      <c r="B194" s="12">
        <v>44060</v>
      </c>
      <c r="C194" s="18">
        <v>58.34</v>
      </c>
      <c r="D194" s="120">
        <f t="shared" si="11"/>
        <v>7.006603081438012E-2</v>
      </c>
    </row>
    <row r="195" spans="2:4" x14ac:dyDescent="0.25">
      <c r="B195" s="12">
        <v>44053</v>
      </c>
      <c r="C195" s="18">
        <v>54.52</v>
      </c>
      <c r="D195" s="120">
        <f t="shared" ref="D195:D258" si="12">C195/C196-1</f>
        <v>6.7554337184256852E-2</v>
      </c>
    </row>
    <row r="196" spans="2:4" x14ac:dyDescent="0.25">
      <c r="B196" s="12">
        <v>44046</v>
      </c>
      <c r="C196" s="18">
        <v>51.07</v>
      </c>
      <c r="D196" s="120">
        <f t="shared" si="12"/>
        <v>5.1905273983630762E-2</v>
      </c>
    </row>
    <row r="197" spans="2:4" x14ac:dyDescent="0.25">
      <c r="B197" s="12">
        <v>44039</v>
      </c>
      <c r="C197" s="18">
        <v>48.549999</v>
      </c>
      <c r="D197" s="120">
        <f t="shared" si="12"/>
        <v>-6.3283867903381585E-2</v>
      </c>
    </row>
    <row r="198" spans="2:4" x14ac:dyDescent="0.25">
      <c r="B198" s="12">
        <v>44032</v>
      </c>
      <c r="C198" s="18">
        <v>51.830002</v>
      </c>
      <c r="D198" s="120">
        <f t="shared" si="12"/>
        <v>4.6436564636312738E-2</v>
      </c>
    </row>
    <row r="199" spans="2:4" x14ac:dyDescent="0.25">
      <c r="B199" s="12">
        <v>44025</v>
      </c>
      <c r="C199" s="18">
        <v>49.529998999999997</v>
      </c>
      <c r="D199" s="120">
        <f t="shared" si="12"/>
        <v>2.5678152294923429E-2</v>
      </c>
    </row>
    <row r="200" spans="2:4" x14ac:dyDescent="0.25">
      <c r="B200" s="12">
        <v>44018</v>
      </c>
      <c r="C200" s="18">
        <v>48.290000999999997</v>
      </c>
      <c r="D200" s="120">
        <f t="shared" si="12"/>
        <v>-9.9738965319518536E-2</v>
      </c>
    </row>
    <row r="201" spans="2:4" x14ac:dyDescent="0.25">
      <c r="B201" s="12">
        <v>44011</v>
      </c>
      <c r="C201" s="18">
        <v>53.639999000000003</v>
      </c>
      <c r="D201" s="120">
        <f t="shared" si="12"/>
        <v>8.1015721100679672E-2</v>
      </c>
    </row>
    <row r="202" spans="2:4" x14ac:dyDescent="0.25">
      <c r="B202" s="12">
        <v>44004</v>
      </c>
      <c r="C202" s="18">
        <v>49.619999</v>
      </c>
      <c r="D202" s="120">
        <f t="shared" si="12"/>
        <v>-8.9708295347946998E-2</v>
      </c>
    </row>
    <row r="203" spans="2:4" x14ac:dyDescent="0.25">
      <c r="B203" s="12">
        <v>43997</v>
      </c>
      <c r="C203" s="18">
        <v>54.509998000000003</v>
      </c>
      <c r="D203" s="120">
        <f t="shared" si="12"/>
        <v>-1.6483517087307886E-3</v>
      </c>
    </row>
    <row r="204" spans="2:4" x14ac:dyDescent="0.25">
      <c r="B204" s="12">
        <v>43990</v>
      </c>
      <c r="C204" s="18">
        <v>54.599997999999999</v>
      </c>
      <c r="D204" s="120">
        <f t="shared" si="12"/>
        <v>-8.6803862070515714E-2</v>
      </c>
    </row>
    <row r="205" spans="2:4" x14ac:dyDescent="0.25">
      <c r="B205" s="12">
        <v>43983</v>
      </c>
      <c r="C205" s="18">
        <v>59.790000999999997</v>
      </c>
      <c r="D205" s="120">
        <f t="shared" si="12"/>
        <v>7.6327670140912129E-2</v>
      </c>
    </row>
    <row r="206" spans="2:4" x14ac:dyDescent="0.25">
      <c r="B206" s="12">
        <v>43976</v>
      </c>
      <c r="C206" s="18">
        <v>55.549999</v>
      </c>
      <c r="D206" s="120">
        <f t="shared" si="12"/>
        <v>5.9103869225855643E-2</v>
      </c>
    </row>
    <row r="207" spans="2:4" x14ac:dyDescent="0.25">
      <c r="B207" s="12">
        <v>43969</v>
      </c>
      <c r="C207" s="18">
        <v>52.450001</v>
      </c>
      <c r="D207" s="120">
        <f t="shared" si="12"/>
        <v>7.3914844389844303E-2</v>
      </c>
    </row>
    <row r="208" spans="2:4" x14ac:dyDescent="0.25">
      <c r="B208" s="12">
        <v>43962</v>
      </c>
      <c r="C208" s="18">
        <v>48.84</v>
      </c>
      <c r="D208" s="120">
        <f t="shared" si="12"/>
        <v>-0.11216139291624772</v>
      </c>
    </row>
    <row r="209" spans="2:4" x14ac:dyDescent="0.25">
      <c r="B209" s="12">
        <v>43955</v>
      </c>
      <c r="C209" s="18">
        <v>55.009998000000003</v>
      </c>
      <c r="D209" s="120">
        <f t="shared" si="12"/>
        <v>6.4023151566283465E-2</v>
      </c>
    </row>
    <row r="210" spans="2:4" x14ac:dyDescent="0.25">
      <c r="B210" s="12">
        <v>43948</v>
      </c>
      <c r="C210" s="18">
        <v>51.700001</v>
      </c>
      <c r="D210" s="120">
        <f t="shared" si="12"/>
        <v>4.7194694089420564E-2</v>
      </c>
    </row>
    <row r="211" spans="2:4" x14ac:dyDescent="0.25">
      <c r="B211" s="12">
        <v>43941</v>
      </c>
      <c r="C211" s="18">
        <v>49.369999</v>
      </c>
      <c r="D211" s="120">
        <f t="shared" si="12"/>
        <v>0.13494250574712652</v>
      </c>
    </row>
    <row r="212" spans="2:4" x14ac:dyDescent="0.25">
      <c r="B212" s="12">
        <v>43934</v>
      </c>
      <c r="C212" s="18">
        <v>43.5</v>
      </c>
      <c r="D212" s="120">
        <f t="shared" si="12"/>
        <v>-2.3349819861925858E-2</v>
      </c>
    </row>
    <row r="213" spans="2:4" x14ac:dyDescent="0.25">
      <c r="B213" s="12">
        <v>43927</v>
      </c>
      <c r="C213" s="18">
        <v>44.540000999999997</v>
      </c>
      <c r="D213" s="120">
        <f t="shared" si="12"/>
        <v>0.34197054359658141</v>
      </c>
    </row>
    <row r="214" spans="2:4" x14ac:dyDescent="0.25">
      <c r="B214" s="12">
        <v>43920</v>
      </c>
      <c r="C214" s="18">
        <v>33.189999</v>
      </c>
      <c r="D214" s="120">
        <f t="shared" si="12"/>
        <v>-0.18331693364460966</v>
      </c>
    </row>
    <row r="215" spans="2:4" x14ac:dyDescent="0.25">
      <c r="B215" s="12">
        <v>43913</v>
      </c>
      <c r="C215" s="18">
        <v>40.639999000000003</v>
      </c>
      <c r="D215" s="120">
        <f t="shared" si="12"/>
        <v>0.16848764141712613</v>
      </c>
    </row>
    <row r="216" spans="2:4" x14ac:dyDescent="0.25">
      <c r="B216" s="12">
        <v>43906</v>
      </c>
      <c r="C216" s="18">
        <v>34.779998999999997</v>
      </c>
      <c r="D216" s="120">
        <f t="shared" si="12"/>
        <v>-0.10129203872630399</v>
      </c>
    </row>
    <row r="217" spans="2:4" x14ac:dyDescent="0.25">
      <c r="B217" s="12">
        <v>43899</v>
      </c>
      <c r="C217" s="18">
        <v>38.700001</v>
      </c>
      <c r="D217" s="120">
        <f t="shared" si="12"/>
        <v>-0.25933012440191383</v>
      </c>
    </row>
    <row r="218" spans="2:4" x14ac:dyDescent="0.25">
      <c r="B218" s="12">
        <v>43892</v>
      </c>
      <c r="C218" s="18">
        <v>52.25</v>
      </c>
      <c r="D218" s="120">
        <f t="shared" si="12"/>
        <v>-0.12096230015077891</v>
      </c>
    </row>
    <row r="219" spans="2:4" x14ac:dyDescent="0.25">
      <c r="B219" s="12">
        <v>43885</v>
      </c>
      <c r="C219" s="18">
        <v>59.439999</v>
      </c>
      <c r="D219" s="120">
        <f t="shared" si="12"/>
        <v>-0.2053476388229557</v>
      </c>
    </row>
    <row r="220" spans="2:4" x14ac:dyDescent="0.25">
      <c r="B220" s="12">
        <v>43878</v>
      </c>
      <c r="C220" s="18">
        <v>74.800003000000004</v>
      </c>
      <c r="D220" s="120">
        <f t="shared" si="12"/>
        <v>2.0742412946812339E-2</v>
      </c>
    </row>
    <row r="221" spans="2:4" x14ac:dyDescent="0.25">
      <c r="B221" s="12">
        <v>43871</v>
      </c>
      <c r="C221" s="18">
        <v>73.279999000000004</v>
      </c>
      <c r="D221" s="120">
        <f t="shared" si="12"/>
        <v>-9.5958780807102739E-3</v>
      </c>
    </row>
    <row r="222" spans="2:4" x14ac:dyDescent="0.25">
      <c r="B222" s="12">
        <v>43864</v>
      </c>
      <c r="C222" s="18">
        <v>73.989998</v>
      </c>
      <c r="D222" s="120">
        <f t="shared" si="12"/>
        <v>9.6960730776607829E-2</v>
      </c>
    </row>
    <row r="223" spans="2:4" x14ac:dyDescent="0.25">
      <c r="B223" s="12">
        <v>43857</v>
      </c>
      <c r="C223" s="18">
        <v>67.449996999999996</v>
      </c>
      <c r="D223" s="120">
        <f t="shared" si="12"/>
        <v>-1.4609204438679524E-2</v>
      </c>
    </row>
    <row r="224" spans="2:4" x14ac:dyDescent="0.25">
      <c r="B224" s="12">
        <v>43850</v>
      </c>
      <c r="C224" s="18">
        <v>68.449996999999996</v>
      </c>
      <c r="D224" s="120">
        <f t="shared" si="12"/>
        <v>-2.0884092640017671E-2</v>
      </c>
    </row>
    <row r="225" spans="2:4" x14ac:dyDescent="0.25">
      <c r="B225" s="12">
        <v>43843</v>
      </c>
      <c r="C225" s="18">
        <v>69.910004000000001</v>
      </c>
      <c r="D225" s="120">
        <f t="shared" si="12"/>
        <v>0.14381552918546348</v>
      </c>
    </row>
    <row r="226" spans="2:4" x14ac:dyDescent="0.25">
      <c r="B226" s="12">
        <v>43836</v>
      </c>
      <c r="C226" s="18">
        <v>61.119999</v>
      </c>
      <c r="D226" s="120">
        <f t="shared" si="12"/>
        <v>1.041489467962009E-2</v>
      </c>
    </row>
    <row r="227" spans="2:4" x14ac:dyDescent="0.25">
      <c r="B227" s="12">
        <v>43829</v>
      </c>
      <c r="C227" s="18">
        <v>60.490001999999997</v>
      </c>
      <c r="D227" s="120">
        <f t="shared" si="12"/>
        <v>-4.9567085261081889E-4</v>
      </c>
    </row>
    <row r="228" spans="2:4" x14ac:dyDescent="0.25">
      <c r="B228" s="12">
        <v>43822</v>
      </c>
      <c r="C228" s="18">
        <v>60.52</v>
      </c>
      <c r="D228" s="120">
        <f t="shared" si="12"/>
        <v>-1.5934959349593436E-2</v>
      </c>
    </row>
    <row r="229" spans="2:4" x14ac:dyDescent="0.25">
      <c r="B229" s="12">
        <v>43815</v>
      </c>
      <c r="C229" s="18">
        <v>61.5</v>
      </c>
      <c r="D229" s="120">
        <f t="shared" si="12"/>
        <v>4.2549549328715131E-2</v>
      </c>
    </row>
    <row r="230" spans="2:4" x14ac:dyDescent="0.25">
      <c r="B230" s="12">
        <v>43808</v>
      </c>
      <c r="C230" s="18">
        <v>58.990001999999997</v>
      </c>
      <c r="D230" s="120">
        <f t="shared" si="12"/>
        <v>5.6256733719741714E-3</v>
      </c>
    </row>
    <row r="231" spans="2:4" x14ac:dyDescent="0.25">
      <c r="B231" s="12">
        <v>43801</v>
      </c>
      <c r="C231" s="18">
        <v>58.66</v>
      </c>
      <c r="D231" s="120">
        <f t="shared" si="12"/>
        <v>-5.3565666343981966E-2</v>
      </c>
    </row>
    <row r="232" spans="2:4" x14ac:dyDescent="0.25">
      <c r="B232" s="12">
        <v>43794</v>
      </c>
      <c r="C232" s="18">
        <v>61.98</v>
      </c>
      <c r="D232" s="120">
        <f t="shared" si="12"/>
        <v>3.7843251208250939E-2</v>
      </c>
    </row>
    <row r="233" spans="2:4" x14ac:dyDescent="0.25">
      <c r="B233" s="12">
        <v>43787</v>
      </c>
      <c r="C233" s="18">
        <v>59.720001000000003</v>
      </c>
      <c r="D233" s="120">
        <f t="shared" si="12"/>
        <v>-4.6919869135014225E-2</v>
      </c>
    </row>
    <row r="234" spans="2:4" x14ac:dyDescent="0.25">
      <c r="B234" s="12">
        <v>43780</v>
      </c>
      <c r="C234" s="18">
        <v>62.66</v>
      </c>
      <c r="D234" s="120">
        <f t="shared" si="12"/>
        <v>9.6680468954553067E-3</v>
      </c>
    </row>
    <row r="235" spans="2:4" x14ac:dyDescent="0.25">
      <c r="B235" s="12">
        <v>43773</v>
      </c>
      <c r="C235" s="18">
        <v>62.060001</v>
      </c>
      <c r="D235" s="120">
        <f t="shared" si="12"/>
        <v>-0.25021139000403736</v>
      </c>
    </row>
    <row r="236" spans="2:4" x14ac:dyDescent="0.25">
      <c r="B236" s="12">
        <v>43766</v>
      </c>
      <c r="C236" s="18">
        <v>82.769997000000004</v>
      </c>
      <c r="D236" s="120">
        <f t="shared" si="12"/>
        <v>-2.3017044109808205E-2</v>
      </c>
    </row>
    <row r="237" spans="2:4" x14ac:dyDescent="0.25">
      <c r="B237" s="12">
        <v>43759</v>
      </c>
      <c r="C237" s="18">
        <v>84.720000999999996</v>
      </c>
      <c r="D237" s="120">
        <f t="shared" si="12"/>
        <v>-8.7167300660861979E-2</v>
      </c>
    </row>
    <row r="238" spans="2:4" x14ac:dyDescent="0.25">
      <c r="B238" s="12">
        <v>43752</v>
      </c>
      <c r="C238" s="18">
        <v>92.809997999999993</v>
      </c>
      <c r="D238" s="120">
        <f t="shared" si="12"/>
        <v>1.2988375475167846E-2</v>
      </c>
    </row>
    <row r="239" spans="2:4" x14ac:dyDescent="0.25">
      <c r="B239" s="12">
        <v>43745</v>
      </c>
      <c r="C239" s="18">
        <v>91.620002999999997</v>
      </c>
      <c r="D239" s="120">
        <f t="shared" si="12"/>
        <v>-3.211494687872618E-2</v>
      </c>
    </row>
    <row r="240" spans="2:4" x14ac:dyDescent="0.25">
      <c r="B240" s="12">
        <v>43738</v>
      </c>
      <c r="C240" s="18">
        <v>94.660004000000001</v>
      </c>
      <c r="D240" s="120">
        <f t="shared" si="12"/>
        <v>-9.0032770834362896E-3</v>
      </c>
    </row>
    <row r="241" spans="2:4" x14ac:dyDescent="0.25">
      <c r="B241" s="12">
        <v>43731</v>
      </c>
      <c r="C241" s="18">
        <v>95.519997000000004</v>
      </c>
      <c r="D241" s="120">
        <f t="shared" si="12"/>
        <v>-8.4004622976645793E-2</v>
      </c>
    </row>
    <row r="242" spans="2:4" x14ac:dyDescent="0.25">
      <c r="B242" s="12">
        <v>43724</v>
      </c>
      <c r="C242" s="18">
        <v>104.279999</v>
      </c>
      <c r="D242" s="120">
        <f t="shared" si="12"/>
        <v>4.3426024746327174E-2</v>
      </c>
    </row>
    <row r="243" spans="2:4" x14ac:dyDescent="0.25">
      <c r="B243" s="12">
        <v>43717</v>
      </c>
      <c r="C243" s="18">
        <v>99.940002000000007</v>
      </c>
      <c r="D243" s="120">
        <f t="shared" si="12"/>
        <v>-3.0837867605570057E-2</v>
      </c>
    </row>
    <row r="244" spans="2:4" x14ac:dyDescent="0.25">
      <c r="B244" s="12">
        <v>43710</v>
      </c>
      <c r="C244" s="18">
        <v>103.120003</v>
      </c>
      <c r="D244" s="120">
        <f t="shared" si="12"/>
        <v>3.9935446150244136E-2</v>
      </c>
    </row>
    <row r="245" spans="2:4" x14ac:dyDescent="0.25">
      <c r="B245" s="12">
        <v>43703</v>
      </c>
      <c r="C245" s="18">
        <v>99.160004000000001</v>
      </c>
      <c r="D245" s="120">
        <f t="shared" si="12"/>
        <v>1.3387900120345408E-2</v>
      </c>
    </row>
    <row r="246" spans="2:4" x14ac:dyDescent="0.25">
      <c r="B246" s="12">
        <v>43696</v>
      </c>
      <c r="C246" s="18">
        <v>97.849997999999999</v>
      </c>
      <c r="D246" s="120">
        <f t="shared" si="12"/>
        <v>7.827809571647304E-3</v>
      </c>
    </row>
    <row r="247" spans="2:4" x14ac:dyDescent="0.25">
      <c r="B247" s="12">
        <v>43689</v>
      </c>
      <c r="C247" s="18">
        <v>97.089995999999999</v>
      </c>
      <c r="D247" s="120">
        <f t="shared" si="12"/>
        <v>9.4218333340978289E-2</v>
      </c>
    </row>
    <row r="248" spans="2:4" x14ac:dyDescent="0.25">
      <c r="B248" s="12">
        <v>43682</v>
      </c>
      <c r="C248" s="18">
        <v>88.730002999999996</v>
      </c>
      <c r="D248" s="120">
        <f t="shared" si="12"/>
        <v>0.17835324654635132</v>
      </c>
    </row>
    <row r="249" spans="2:4" x14ac:dyDescent="0.25">
      <c r="B249" s="12">
        <v>43675</v>
      </c>
      <c r="C249" s="18">
        <v>75.300003000000004</v>
      </c>
      <c r="D249" s="120">
        <f t="shared" si="12"/>
        <v>1.5646129156273725E-2</v>
      </c>
    </row>
    <row r="250" spans="2:4" x14ac:dyDescent="0.25">
      <c r="B250" s="12">
        <v>43668</v>
      </c>
      <c r="C250" s="18">
        <v>74.139999000000003</v>
      </c>
      <c r="D250" s="120">
        <f t="shared" si="12"/>
        <v>-4.0446273168304181E-4</v>
      </c>
    </row>
    <row r="251" spans="2:4" x14ac:dyDescent="0.25">
      <c r="B251" s="12">
        <v>43661</v>
      </c>
      <c r="C251" s="18">
        <v>74.169998000000007</v>
      </c>
      <c r="D251" s="120">
        <f t="shared" si="12"/>
        <v>-1.7355656437904377E-2</v>
      </c>
    </row>
    <row r="252" spans="2:4" x14ac:dyDescent="0.25">
      <c r="B252" s="12">
        <v>43654</v>
      </c>
      <c r="C252" s="18">
        <v>75.480002999999996</v>
      </c>
      <c r="D252" s="120">
        <f t="shared" si="12"/>
        <v>2.5961709936115351E-2</v>
      </c>
    </row>
    <row r="253" spans="2:4" x14ac:dyDescent="0.25">
      <c r="B253" s="12">
        <v>43647</v>
      </c>
      <c r="C253" s="18">
        <v>73.569999999999993</v>
      </c>
      <c r="D253" s="120">
        <f t="shared" si="12"/>
        <v>1.8975111591763572E-2</v>
      </c>
    </row>
    <row r="254" spans="2:4" x14ac:dyDescent="0.25">
      <c r="B254" s="12">
        <v>43640</v>
      </c>
      <c r="C254" s="18">
        <v>72.199996999999996</v>
      </c>
      <c r="D254" s="120">
        <f t="shared" si="12"/>
        <v>8.1647895131086168E-2</v>
      </c>
    </row>
    <row r="255" spans="2:4" x14ac:dyDescent="0.25">
      <c r="B255" s="12">
        <v>43633</v>
      </c>
      <c r="C255" s="18">
        <v>66.75</v>
      </c>
      <c r="D255" s="120">
        <f t="shared" si="12"/>
        <v>-4.3257905082668691E-3</v>
      </c>
    </row>
    <row r="256" spans="2:4" x14ac:dyDescent="0.25">
      <c r="B256" s="12">
        <v>43626</v>
      </c>
      <c r="C256" s="18">
        <v>67.040001000000004</v>
      </c>
      <c r="D256" s="120">
        <f t="shared" si="12"/>
        <v>5.2763834798994935E-2</v>
      </c>
    </row>
    <row r="257" spans="2:4" x14ac:dyDescent="0.25">
      <c r="B257" s="12">
        <v>43619</v>
      </c>
      <c r="C257" s="18">
        <v>63.68</v>
      </c>
      <c r="D257" s="120">
        <f t="shared" si="12"/>
        <v>3.7978843943890617E-2</v>
      </c>
    </row>
    <row r="258" spans="2:4" x14ac:dyDescent="0.25">
      <c r="B258" s="12">
        <v>43612</v>
      </c>
      <c r="C258" s="18">
        <v>61.349997999999999</v>
      </c>
      <c r="D258" s="120">
        <f t="shared" si="12"/>
        <v>3.7018221771467186E-2</v>
      </c>
    </row>
    <row r="259" spans="2:4" x14ac:dyDescent="0.25">
      <c r="B259" s="12">
        <v>43605</v>
      </c>
      <c r="C259" s="18">
        <v>59.16</v>
      </c>
      <c r="D259" s="120">
        <f t="shared" ref="D259:D322" si="13">C259/C260-1</f>
        <v>-1.0205788857286402E-2</v>
      </c>
    </row>
    <row r="260" spans="2:4" x14ac:dyDescent="0.25">
      <c r="B260" s="12">
        <v>43598</v>
      </c>
      <c r="C260" s="18">
        <v>59.77</v>
      </c>
      <c r="D260" s="120">
        <f t="shared" si="13"/>
        <v>-1.0266584041506599E-2</v>
      </c>
    </row>
    <row r="261" spans="2:4" x14ac:dyDescent="0.25">
      <c r="B261" s="12">
        <v>43591</v>
      </c>
      <c r="C261" s="18">
        <v>60.389999000000003</v>
      </c>
      <c r="D261" s="120">
        <f t="shared" si="13"/>
        <v>3.1561129043835567E-3</v>
      </c>
    </row>
    <row r="262" spans="2:4" x14ac:dyDescent="0.25">
      <c r="B262" s="12">
        <v>43584</v>
      </c>
      <c r="C262" s="18">
        <v>60.200001</v>
      </c>
      <c r="D262" s="120">
        <f t="shared" si="13"/>
        <v>-2.856220705886392E-2</v>
      </c>
    </row>
    <row r="263" spans="2:4" x14ac:dyDescent="0.25">
      <c r="B263" s="12">
        <v>43577</v>
      </c>
      <c r="C263" s="18">
        <v>61.970001000000003</v>
      </c>
      <c r="D263" s="120">
        <f t="shared" si="13"/>
        <v>3.5941173520561698E-2</v>
      </c>
    </row>
    <row r="264" spans="2:4" x14ac:dyDescent="0.25">
      <c r="B264" s="12">
        <v>43570</v>
      </c>
      <c r="C264" s="18">
        <v>59.82</v>
      </c>
      <c r="D264" s="120">
        <f t="shared" si="13"/>
        <v>-1.3847675568743778E-2</v>
      </c>
    </row>
    <row r="265" spans="2:4" x14ac:dyDescent="0.25">
      <c r="B265" s="12">
        <v>43563</v>
      </c>
      <c r="C265" s="18">
        <v>60.66</v>
      </c>
      <c r="D265" s="120">
        <f t="shared" si="13"/>
        <v>8.8142190451649949E-3</v>
      </c>
    </row>
    <row r="266" spans="2:4" x14ac:dyDescent="0.25">
      <c r="B266" s="12">
        <v>43556</v>
      </c>
      <c r="C266" s="18">
        <v>60.130001</v>
      </c>
      <c r="D266" s="120">
        <f t="shared" si="13"/>
        <v>1.6568029870903445E-2</v>
      </c>
    </row>
    <row r="267" spans="2:4" x14ac:dyDescent="0.25">
      <c r="B267" s="12">
        <v>43549</v>
      </c>
      <c r="C267" s="18">
        <v>59.150002000000001</v>
      </c>
      <c r="D267" s="120">
        <f t="shared" si="13"/>
        <v>8.8116278732224496E-2</v>
      </c>
    </row>
    <row r="268" spans="2:4" x14ac:dyDescent="0.25">
      <c r="B268" s="12">
        <v>43542</v>
      </c>
      <c r="C268" s="18">
        <v>54.360000999999997</v>
      </c>
      <c r="D268" s="120">
        <f t="shared" si="13"/>
        <v>1.8931640822179574E-2</v>
      </c>
    </row>
    <row r="269" spans="2:4" x14ac:dyDescent="0.25">
      <c r="B269" s="12">
        <v>43535</v>
      </c>
      <c r="C269" s="18">
        <v>53.349997999999999</v>
      </c>
      <c r="D269" s="120">
        <f t="shared" si="13"/>
        <v>2.0466698937771755E-2</v>
      </c>
    </row>
    <row r="270" spans="2:4" x14ac:dyDescent="0.25">
      <c r="B270" s="12">
        <v>43528</v>
      </c>
      <c r="C270" s="18">
        <v>52.279998999999997</v>
      </c>
      <c r="D270" s="120">
        <f t="shared" si="13"/>
        <v>-3.6211548766695856E-3</v>
      </c>
    </row>
    <row r="271" spans="2:4" x14ac:dyDescent="0.25">
      <c r="B271" s="12">
        <v>43521</v>
      </c>
      <c r="C271" s="18">
        <v>52.470001000000003</v>
      </c>
      <c r="D271" s="120">
        <f t="shared" si="13"/>
        <v>-7.9409719784642174E-3</v>
      </c>
    </row>
    <row r="272" spans="2:4" x14ac:dyDescent="0.25">
      <c r="B272" s="12">
        <v>43514</v>
      </c>
      <c r="C272" s="18">
        <v>52.889999000000003</v>
      </c>
      <c r="D272" s="120">
        <f t="shared" si="13"/>
        <v>-2.451923802338718E-3</v>
      </c>
    </row>
    <row r="273" spans="2:4" x14ac:dyDescent="0.25">
      <c r="B273" s="12">
        <v>43507</v>
      </c>
      <c r="C273" s="18">
        <v>53.02</v>
      </c>
      <c r="D273" s="120">
        <f t="shared" si="13"/>
        <v>4.2879622344610624E-2</v>
      </c>
    </row>
    <row r="274" spans="2:4" x14ac:dyDescent="0.25">
      <c r="B274" s="12">
        <v>43500</v>
      </c>
      <c r="C274" s="18">
        <v>50.84</v>
      </c>
      <c r="D274" s="120">
        <f t="shared" si="13"/>
        <v>5.718444583073401E-2</v>
      </c>
    </row>
    <row r="275" spans="2:4" x14ac:dyDescent="0.25">
      <c r="B275" s="12">
        <v>43493</v>
      </c>
      <c r="C275" s="18">
        <v>48.09</v>
      </c>
      <c r="D275" s="120">
        <f t="shared" si="13"/>
        <v>-3.3160621761657572E-3</v>
      </c>
    </row>
    <row r="276" spans="2:4" x14ac:dyDescent="0.25">
      <c r="B276" s="12">
        <v>43486</v>
      </c>
      <c r="C276" s="18">
        <v>48.25</v>
      </c>
      <c r="D276" s="120">
        <f t="shared" si="13"/>
        <v>-2.3081575684988476E-2</v>
      </c>
    </row>
    <row r="277" spans="2:4" x14ac:dyDescent="0.25">
      <c r="B277" s="12">
        <v>43479</v>
      </c>
      <c r="C277" s="18">
        <v>49.389999000000003</v>
      </c>
      <c r="D277" s="120">
        <f t="shared" si="13"/>
        <v>-2.7564520032200668E-2</v>
      </c>
    </row>
    <row r="278" spans="2:4" x14ac:dyDescent="0.25">
      <c r="B278" s="12">
        <v>43472</v>
      </c>
      <c r="C278" s="18">
        <v>50.790000999999997</v>
      </c>
      <c r="D278" s="120">
        <f t="shared" si="13"/>
        <v>9.7450347827362727E-2</v>
      </c>
    </row>
    <row r="279" spans="2:4" x14ac:dyDescent="0.25">
      <c r="B279" s="12">
        <v>43465</v>
      </c>
      <c r="C279" s="18">
        <v>46.279998999999997</v>
      </c>
      <c r="D279" s="120">
        <f t="shared" si="13"/>
        <v>6.3663551535902085E-2</v>
      </c>
    </row>
    <row r="280" spans="2:4" x14ac:dyDescent="0.25">
      <c r="B280" s="12">
        <v>43458</v>
      </c>
      <c r="C280" s="18">
        <v>43.509998000000003</v>
      </c>
      <c r="D280" s="120">
        <f t="shared" si="13"/>
        <v>2.4246657250470927E-2</v>
      </c>
    </row>
    <row r="281" spans="2:4" x14ac:dyDescent="0.25">
      <c r="B281" s="12">
        <v>43451</v>
      </c>
      <c r="C281" s="18">
        <v>42.48</v>
      </c>
      <c r="D281" s="120">
        <f t="shared" si="13"/>
        <v>-7.1678281104820107E-2</v>
      </c>
    </row>
    <row r="282" spans="2:4" x14ac:dyDescent="0.25">
      <c r="B282" s="12">
        <v>43444</v>
      </c>
      <c r="C282" s="18">
        <v>45.759998000000003</v>
      </c>
      <c r="D282" s="120">
        <f t="shared" si="13"/>
        <v>-4.5274400166909978E-2</v>
      </c>
    </row>
    <row r="283" spans="2:4" x14ac:dyDescent="0.25">
      <c r="B283" s="12">
        <v>43437</v>
      </c>
      <c r="C283" s="18">
        <v>47.93</v>
      </c>
      <c r="D283" s="120">
        <f t="shared" si="13"/>
        <v>-0.13717370183931055</v>
      </c>
    </row>
    <row r="284" spans="2:4" x14ac:dyDescent="0.25">
      <c r="B284" s="12">
        <v>43430</v>
      </c>
      <c r="C284" s="18">
        <v>55.549999</v>
      </c>
      <c r="D284" s="120">
        <f t="shared" si="13"/>
        <v>8.1791648755273672E-2</v>
      </c>
    </row>
    <row r="285" spans="2:4" x14ac:dyDescent="0.25">
      <c r="B285" s="12">
        <v>43423</v>
      </c>
      <c r="C285" s="18">
        <v>51.349997999999999</v>
      </c>
      <c r="D285" s="120">
        <f t="shared" si="13"/>
        <v>1.5624940355519312E-2</v>
      </c>
    </row>
    <row r="286" spans="2:4" x14ac:dyDescent="0.25">
      <c r="B286" s="12">
        <v>43416</v>
      </c>
      <c r="C286" s="18">
        <v>50.560001</v>
      </c>
      <c r="D286" s="120">
        <f t="shared" si="13"/>
        <v>-7.459717460928883E-3</v>
      </c>
    </row>
    <row r="287" spans="2:4" x14ac:dyDescent="0.25">
      <c r="B287" s="12">
        <v>43409</v>
      </c>
      <c r="C287" s="18">
        <v>50.939999</v>
      </c>
      <c r="D287" s="120">
        <f t="shared" si="13"/>
        <v>7.9465990240855877E-2</v>
      </c>
    </row>
    <row r="288" spans="2:4" x14ac:dyDescent="0.25">
      <c r="B288" s="12">
        <v>43402</v>
      </c>
      <c r="C288" s="18">
        <v>47.189999</v>
      </c>
      <c r="D288" s="120">
        <f t="shared" si="13"/>
        <v>-9.6842124401913865E-2</v>
      </c>
    </row>
    <row r="289" spans="2:4" x14ac:dyDescent="0.25">
      <c r="B289" s="12">
        <v>43395</v>
      </c>
      <c r="C289" s="18">
        <v>52.25</v>
      </c>
      <c r="D289" s="120">
        <f t="shared" si="13"/>
        <v>-4.339068186361561E-2</v>
      </c>
    </row>
    <row r="290" spans="2:4" x14ac:dyDescent="0.25">
      <c r="B290" s="12">
        <v>43388</v>
      </c>
      <c r="C290" s="18">
        <v>54.619999</v>
      </c>
      <c r="D290" s="120">
        <f t="shared" si="13"/>
        <v>-4.3600104296968922E-2</v>
      </c>
    </row>
    <row r="291" spans="2:4" x14ac:dyDescent="0.25">
      <c r="B291" s="12">
        <v>43381</v>
      </c>
      <c r="C291" s="18">
        <v>57.110000999999997</v>
      </c>
      <c r="D291" s="120">
        <f t="shared" si="13"/>
        <v>-6.6524991827394575E-2</v>
      </c>
    </row>
    <row r="292" spans="2:4" x14ac:dyDescent="0.25">
      <c r="B292" s="12">
        <v>43374</v>
      </c>
      <c r="C292" s="18">
        <v>61.18</v>
      </c>
      <c r="D292" s="120">
        <f t="shared" si="13"/>
        <v>-2.9042978227042715E-2</v>
      </c>
    </row>
    <row r="293" spans="2:4" x14ac:dyDescent="0.25">
      <c r="B293" s="12">
        <v>43367</v>
      </c>
      <c r="C293" s="18">
        <v>63.009998000000003</v>
      </c>
      <c r="D293" s="120">
        <f t="shared" si="13"/>
        <v>8.2832085974086311E-2</v>
      </c>
    </row>
    <row r="294" spans="2:4" x14ac:dyDescent="0.25">
      <c r="B294" s="12">
        <v>43360</v>
      </c>
      <c r="C294" s="18">
        <v>58.189999</v>
      </c>
      <c r="D294" s="120">
        <f t="shared" si="13"/>
        <v>1.7307657040075863E-2</v>
      </c>
    </row>
    <row r="295" spans="2:4" x14ac:dyDescent="0.25">
      <c r="B295" s="12">
        <v>43353</v>
      </c>
      <c r="C295" s="18">
        <v>57.200001</v>
      </c>
      <c r="D295" s="120">
        <f t="shared" si="13"/>
        <v>-1.2089826870817721E-2</v>
      </c>
    </row>
    <row r="296" spans="2:4" x14ac:dyDescent="0.25">
      <c r="B296" s="12">
        <v>43346</v>
      </c>
      <c r="C296" s="18">
        <v>57.900002000000001</v>
      </c>
      <c r="D296" s="120">
        <f t="shared" si="13"/>
        <v>-4.218360558836054E-2</v>
      </c>
    </row>
    <row r="297" spans="2:4" x14ac:dyDescent="0.25">
      <c r="B297" s="12">
        <v>43339</v>
      </c>
      <c r="C297" s="18">
        <v>60.450001</v>
      </c>
      <c r="D297" s="120">
        <f t="shared" si="13"/>
        <v>3.2450931382594916E-2</v>
      </c>
    </row>
    <row r="298" spans="2:4" x14ac:dyDescent="0.25">
      <c r="B298" s="12">
        <v>43332</v>
      </c>
      <c r="C298" s="18">
        <v>58.549999</v>
      </c>
      <c r="D298" s="120">
        <f t="shared" si="13"/>
        <v>4.8051999313540872E-3</v>
      </c>
    </row>
    <row r="299" spans="2:4" x14ac:dyDescent="0.25">
      <c r="B299" s="12">
        <v>43325</v>
      </c>
      <c r="C299" s="18">
        <v>58.27</v>
      </c>
      <c r="D299" s="120">
        <f t="shared" si="13"/>
        <v>2.9869175331595166E-2</v>
      </c>
    </row>
    <row r="300" spans="2:4" x14ac:dyDescent="0.25">
      <c r="B300" s="12">
        <v>43318</v>
      </c>
      <c r="C300" s="18">
        <v>56.580002</v>
      </c>
      <c r="D300" s="120">
        <f t="shared" si="13"/>
        <v>4.2598864039757878E-3</v>
      </c>
    </row>
    <row r="301" spans="2:4" x14ac:dyDescent="0.25">
      <c r="B301" s="12">
        <v>43311</v>
      </c>
      <c r="C301" s="18">
        <v>56.34</v>
      </c>
      <c r="D301" s="120">
        <f t="shared" si="13"/>
        <v>-0.12542685890800565</v>
      </c>
    </row>
    <row r="302" spans="2:4" x14ac:dyDescent="0.25">
      <c r="B302" s="12">
        <v>43304</v>
      </c>
      <c r="C302" s="18">
        <v>64.419998000000007</v>
      </c>
      <c r="D302" s="120">
        <f t="shared" si="13"/>
        <v>-5.2228967894233036E-2</v>
      </c>
    </row>
    <row r="303" spans="2:4" x14ac:dyDescent="0.25">
      <c r="B303" s="12">
        <v>43297</v>
      </c>
      <c r="C303" s="18">
        <v>67.970000999999996</v>
      </c>
      <c r="D303" s="120">
        <f t="shared" si="13"/>
        <v>5.6419105155057769E-2</v>
      </c>
    </row>
    <row r="304" spans="2:4" x14ac:dyDescent="0.25">
      <c r="B304" s="12">
        <v>43290</v>
      </c>
      <c r="C304" s="18">
        <v>64.339995999999999</v>
      </c>
      <c r="D304" s="120">
        <f t="shared" si="13"/>
        <v>1.2448490119871813E-3</v>
      </c>
    </row>
    <row r="305" spans="2:4" x14ac:dyDescent="0.25">
      <c r="B305" s="12">
        <v>43283</v>
      </c>
      <c r="C305" s="18">
        <v>64.260002</v>
      </c>
      <c r="D305" s="120">
        <f t="shared" si="13"/>
        <v>-2.9011755817467622E-2</v>
      </c>
    </row>
    <row r="306" spans="2:4" x14ac:dyDescent="0.25">
      <c r="B306" s="12">
        <v>43276</v>
      </c>
      <c r="C306" s="18">
        <v>66.180000000000007</v>
      </c>
      <c r="D306" s="120">
        <f t="shared" si="13"/>
        <v>-3.8779928504863448E-2</v>
      </c>
    </row>
    <row r="307" spans="2:4" x14ac:dyDescent="0.25">
      <c r="B307" s="12">
        <v>43269</v>
      </c>
      <c r="C307" s="18">
        <v>68.849997999999999</v>
      </c>
      <c r="D307" s="120">
        <f t="shared" si="13"/>
        <v>5.3880237138214104E-2</v>
      </c>
    </row>
    <row r="308" spans="2:4" x14ac:dyDescent="0.25">
      <c r="B308" s="12">
        <v>43262</v>
      </c>
      <c r="C308" s="18">
        <v>65.330001999999993</v>
      </c>
      <c r="D308" s="120">
        <f t="shared" si="13"/>
        <v>2.3013501073947396E-3</v>
      </c>
    </row>
    <row r="309" spans="2:4" x14ac:dyDescent="0.25">
      <c r="B309" s="12">
        <v>43255</v>
      </c>
      <c r="C309" s="18">
        <v>65.180000000000007</v>
      </c>
      <c r="D309" s="120">
        <f t="shared" si="13"/>
        <v>8.3444148936170359E-2</v>
      </c>
    </row>
    <row r="310" spans="2:4" x14ac:dyDescent="0.25">
      <c r="B310" s="12">
        <v>43248</v>
      </c>
      <c r="C310" s="18">
        <v>60.16</v>
      </c>
      <c r="D310" s="120">
        <f t="shared" si="13"/>
        <v>3.1019743993821569E-2</v>
      </c>
    </row>
    <row r="311" spans="2:4" x14ac:dyDescent="0.25">
      <c r="B311" s="12">
        <v>43241</v>
      </c>
      <c r="C311" s="18">
        <v>58.349997999999999</v>
      </c>
      <c r="D311" s="120">
        <f t="shared" si="13"/>
        <v>-1.881645601807258E-3</v>
      </c>
    </row>
    <row r="312" spans="2:4" x14ac:dyDescent="0.25">
      <c r="B312" s="12">
        <v>43234</v>
      </c>
      <c r="C312" s="18">
        <v>58.459999000000003</v>
      </c>
      <c r="D312" s="120">
        <f t="shared" si="13"/>
        <v>-3.7491649625084333E-3</v>
      </c>
    </row>
    <row r="313" spans="2:4" x14ac:dyDescent="0.25">
      <c r="B313" s="12">
        <v>43227</v>
      </c>
      <c r="C313" s="18">
        <v>58.68</v>
      </c>
      <c r="D313" s="120">
        <f t="shared" si="13"/>
        <v>4.8793546938453058E-2</v>
      </c>
    </row>
    <row r="314" spans="2:4" x14ac:dyDescent="0.25">
      <c r="B314" s="12">
        <v>43220</v>
      </c>
      <c r="C314" s="18">
        <v>55.950001</v>
      </c>
      <c r="D314" s="120">
        <f t="shared" si="13"/>
        <v>0.18387649952926366</v>
      </c>
    </row>
    <row r="315" spans="2:4" x14ac:dyDescent="0.25">
      <c r="B315" s="12">
        <v>43213</v>
      </c>
      <c r="C315" s="18">
        <v>47.259998000000003</v>
      </c>
      <c r="D315" s="120">
        <f t="shared" si="13"/>
        <v>8.8187842505180747E-2</v>
      </c>
    </row>
    <row r="316" spans="2:4" x14ac:dyDescent="0.25">
      <c r="B316" s="12">
        <v>43206</v>
      </c>
      <c r="C316" s="18">
        <v>43.43</v>
      </c>
      <c r="D316" s="120">
        <f t="shared" si="13"/>
        <v>-2.3017956330984024E-4</v>
      </c>
    </row>
    <row r="317" spans="2:4" x14ac:dyDescent="0.25">
      <c r="B317" s="12">
        <v>43199</v>
      </c>
      <c r="C317" s="18">
        <v>43.439999</v>
      </c>
      <c r="D317" s="120">
        <f t="shared" si="13"/>
        <v>6.7206717626571155E-3</v>
      </c>
    </row>
    <row r="318" spans="2:4" x14ac:dyDescent="0.25">
      <c r="B318" s="12">
        <v>43192</v>
      </c>
      <c r="C318" s="18">
        <v>43.150002000000001</v>
      </c>
      <c r="D318" s="120">
        <f t="shared" si="13"/>
        <v>3.6512153819069137E-2</v>
      </c>
    </row>
    <row r="319" spans="2:4" x14ac:dyDescent="0.25">
      <c r="B319" s="12">
        <v>43185</v>
      </c>
      <c r="C319" s="18">
        <v>41.630001</v>
      </c>
      <c r="D319" s="120">
        <f t="shared" si="13"/>
        <v>3.5829859065186875E-2</v>
      </c>
    </row>
    <row r="320" spans="2:4" x14ac:dyDescent="0.25">
      <c r="B320" s="12">
        <v>43178</v>
      </c>
      <c r="C320" s="18">
        <v>40.189999</v>
      </c>
      <c r="D320" s="120">
        <f t="shared" si="13"/>
        <v>-2.0234056557776769E-2</v>
      </c>
    </row>
    <row r="321" spans="2:4" x14ac:dyDescent="0.25">
      <c r="B321" s="12">
        <v>43171</v>
      </c>
      <c r="C321" s="18">
        <v>41.02</v>
      </c>
      <c r="D321" s="120">
        <f t="shared" si="13"/>
        <v>-3.094736447213009E-2</v>
      </c>
    </row>
    <row r="322" spans="2:4" x14ac:dyDescent="0.25">
      <c r="B322" s="12">
        <v>43164</v>
      </c>
      <c r="C322" s="18">
        <v>42.330002</v>
      </c>
      <c r="D322" s="120">
        <f t="shared" si="13"/>
        <v>7.029084880634251E-2</v>
      </c>
    </row>
    <row r="323" spans="2:4" x14ac:dyDescent="0.25">
      <c r="B323" s="12">
        <v>43157</v>
      </c>
      <c r="C323" s="18">
        <v>39.549999</v>
      </c>
      <c r="D323" s="120">
        <f t="shared" ref="D323:D386" si="14">C323/C324-1</f>
        <v>4.3811033090816354E-2</v>
      </c>
    </row>
    <row r="324" spans="2:4" x14ac:dyDescent="0.25">
      <c r="B324" s="12">
        <v>43150</v>
      </c>
      <c r="C324" s="18">
        <v>37.889999000000003</v>
      </c>
      <c r="D324" s="120">
        <f t="shared" si="14"/>
        <v>-3.6813043302996729E-3</v>
      </c>
    </row>
    <row r="325" spans="2:4" x14ac:dyDescent="0.25">
      <c r="B325" s="12">
        <v>43143</v>
      </c>
      <c r="C325" s="18">
        <v>38.029998999999997</v>
      </c>
      <c r="D325" s="120">
        <f t="shared" si="14"/>
        <v>-3.916126633849093E-2</v>
      </c>
    </row>
    <row r="326" spans="2:4" x14ac:dyDescent="0.25">
      <c r="B326" s="12">
        <v>43136</v>
      </c>
      <c r="C326" s="18">
        <v>39.580002</v>
      </c>
      <c r="D326" s="120">
        <f t="shared" si="14"/>
        <v>-5.5595275590551108E-2</v>
      </c>
    </row>
    <row r="327" spans="2:4" x14ac:dyDescent="0.25">
      <c r="B327" s="12">
        <v>43129</v>
      </c>
      <c r="C327" s="18">
        <v>41.91</v>
      </c>
      <c r="D327" s="120">
        <f t="shared" si="14"/>
        <v>-4.3805656226071021E-2</v>
      </c>
    </row>
    <row r="328" spans="2:4" x14ac:dyDescent="0.25">
      <c r="B328" s="12">
        <v>43122</v>
      </c>
      <c r="C328" s="18">
        <v>43.830002</v>
      </c>
      <c r="D328" s="120">
        <f t="shared" si="14"/>
        <v>7.5862528735632928E-3</v>
      </c>
    </row>
    <row r="329" spans="2:4" x14ac:dyDescent="0.25">
      <c r="B329" s="12">
        <v>43115</v>
      </c>
      <c r="C329" s="18">
        <v>43.5</v>
      </c>
      <c r="D329" s="120">
        <f t="shared" si="14"/>
        <v>8.1111931350548172E-3</v>
      </c>
    </row>
    <row r="330" spans="2:4" x14ac:dyDescent="0.25">
      <c r="B330" s="12">
        <v>43108</v>
      </c>
      <c r="C330" s="18">
        <v>43.150002000000001</v>
      </c>
      <c r="D330" s="120">
        <f t="shared" si="14"/>
        <v>-2.3092507271564755E-2</v>
      </c>
    </row>
    <row r="331" spans="2:4" x14ac:dyDescent="0.25">
      <c r="B331" s="12">
        <v>43101</v>
      </c>
      <c r="C331" s="18">
        <v>44.169998</v>
      </c>
      <c r="D331" s="120">
        <f t="shared" si="14"/>
        <v>2.2453633739499157E-2</v>
      </c>
    </row>
    <row r="332" spans="2:4" x14ac:dyDescent="0.25">
      <c r="B332" s="12">
        <v>43094</v>
      </c>
      <c r="C332" s="18">
        <v>43.200001</v>
      </c>
      <c r="D332" s="120">
        <f t="shared" si="14"/>
        <v>-3.5498994518888161E-2</v>
      </c>
    </row>
    <row r="333" spans="2:4" x14ac:dyDescent="0.25">
      <c r="B333" s="12">
        <v>43087</v>
      </c>
      <c r="C333" s="18">
        <v>44.790000999999997</v>
      </c>
      <c r="D333" s="120">
        <f t="shared" si="14"/>
        <v>-1.7978513089705883E-2</v>
      </c>
    </row>
    <row r="334" spans="2:4" x14ac:dyDescent="0.25">
      <c r="B334" s="12">
        <v>43080</v>
      </c>
      <c r="C334" s="18">
        <v>45.610000999999997</v>
      </c>
      <c r="D334" s="120">
        <f t="shared" si="14"/>
        <v>-1.4902764900707743E-2</v>
      </c>
    </row>
    <row r="335" spans="2:4" x14ac:dyDescent="0.25">
      <c r="B335" s="12">
        <v>43073</v>
      </c>
      <c r="C335" s="18">
        <v>46.299999</v>
      </c>
      <c r="D335" s="120">
        <f t="shared" si="14"/>
        <v>0.1350820756292701</v>
      </c>
    </row>
    <row r="336" spans="2:4" x14ac:dyDescent="0.25">
      <c r="B336" s="12">
        <v>43066</v>
      </c>
      <c r="C336" s="18">
        <v>40.790000999999997</v>
      </c>
      <c r="D336" s="120">
        <f t="shared" si="14"/>
        <v>9.4739752804066102E-2</v>
      </c>
    </row>
    <row r="337" spans="2:4" x14ac:dyDescent="0.25">
      <c r="B337" s="12">
        <v>43059</v>
      </c>
      <c r="C337" s="18">
        <v>37.259998000000003</v>
      </c>
      <c r="D337" s="120">
        <f t="shared" si="14"/>
        <v>-1.8752744776171504E-3</v>
      </c>
    </row>
    <row r="338" spans="2:4" x14ac:dyDescent="0.25">
      <c r="B338" s="12">
        <v>43052</v>
      </c>
      <c r="C338" s="18">
        <v>37.330002</v>
      </c>
      <c r="D338" s="120">
        <f t="shared" si="14"/>
        <v>-2.6597028766468189E-2</v>
      </c>
    </row>
    <row r="339" spans="2:4" x14ac:dyDescent="0.25">
      <c r="B339" s="12">
        <v>43045</v>
      </c>
      <c r="C339" s="18">
        <v>38.349997999999999</v>
      </c>
      <c r="D339" s="120">
        <f t="shared" si="14"/>
        <v>3.7046998377501472E-2</v>
      </c>
    </row>
    <row r="340" spans="2:4" x14ac:dyDescent="0.25">
      <c r="B340" s="12">
        <v>43038</v>
      </c>
      <c r="C340" s="18">
        <v>36.979999999999997</v>
      </c>
      <c r="D340" s="120">
        <f t="shared" si="14"/>
        <v>2.5513005393427379E-2</v>
      </c>
    </row>
    <row r="341" spans="2:4" x14ac:dyDescent="0.25">
      <c r="B341" s="12">
        <v>43031</v>
      </c>
      <c r="C341" s="18">
        <v>36.060001</v>
      </c>
      <c r="D341" s="120">
        <f t="shared" si="14"/>
        <v>3.8893749319900417E-2</v>
      </c>
    </row>
    <row r="342" spans="2:4" x14ac:dyDescent="0.25">
      <c r="B342" s="12">
        <v>43024</v>
      </c>
      <c r="C342" s="18">
        <v>34.709999000000003</v>
      </c>
      <c r="D342" s="120">
        <f t="shared" si="14"/>
        <v>3.4883660259879212E-2</v>
      </c>
    </row>
    <row r="343" spans="2:4" x14ac:dyDescent="0.25">
      <c r="B343" s="12">
        <v>43017</v>
      </c>
      <c r="C343" s="18">
        <v>33.540000999999997</v>
      </c>
      <c r="D343" s="120">
        <f t="shared" si="14"/>
        <v>-6.8107491856679303E-3</v>
      </c>
    </row>
    <row r="344" spans="2:4" x14ac:dyDescent="0.25">
      <c r="B344" s="12">
        <v>43010</v>
      </c>
      <c r="C344" s="18">
        <v>33.770000000000003</v>
      </c>
      <c r="D344" s="120">
        <f t="shared" si="14"/>
        <v>1.6250376166115243E-2</v>
      </c>
    </row>
    <row r="345" spans="2:4" x14ac:dyDescent="0.25">
      <c r="B345" s="12">
        <v>43003</v>
      </c>
      <c r="C345" s="18">
        <v>33.229999999999997</v>
      </c>
      <c r="D345" s="120">
        <f t="shared" si="14"/>
        <v>-1.2022843402466066E-3</v>
      </c>
    </row>
    <row r="346" spans="2:4" x14ac:dyDescent="0.25">
      <c r="B346" s="12">
        <v>42996</v>
      </c>
      <c r="C346" s="18">
        <v>33.270000000000003</v>
      </c>
      <c r="D346" s="120">
        <f t="shared" si="14"/>
        <v>3.774170187954784E-2</v>
      </c>
    </row>
    <row r="347" spans="2:4" x14ac:dyDescent="0.25">
      <c r="B347" s="12">
        <v>42989</v>
      </c>
      <c r="C347" s="18">
        <v>32.060001</v>
      </c>
      <c r="D347" s="120">
        <f t="shared" si="14"/>
        <v>3.7876401355662059E-2</v>
      </c>
    </row>
    <row r="348" spans="2:4" x14ac:dyDescent="0.25">
      <c r="B348" s="12">
        <v>42982</v>
      </c>
      <c r="C348" s="18">
        <v>30.889999</v>
      </c>
      <c r="D348" s="120">
        <f t="shared" si="14"/>
        <v>-2.2609819851738822E-3</v>
      </c>
    </row>
    <row r="349" spans="2:4" x14ac:dyDescent="0.25">
      <c r="B349" s="12">
        <v>42975</v>
      </c>
      <c r="C349" s="18">
        <v>30.959999</v>
      </c>
      <c r="D349" s="120">
        <f t="shared" si="14"/>
        <v>6.4634774898686409E-4</v>
      </c>
    </row>
    <row r="350" spans="2:4" x14ac:dyDescent="0.25">
      <c r="B350" s="12">
        <v>42968</v>
      </c>
      <c r="C350" s="18">
        <v>30.940000999999999</v>
      </c>
      <c r="D350" s="120">
        <f t="shared" si="14"/>
        <v>-1.0553213943076512E-2</v>
      </c>
    </row>
    <row r="351" spans="2:4" x14ac:dyDescent="0.25">
      <c r="B351" s="12">
        <v>42961</v>
      </c>
      <c r="C351" s="18">
        <v>31.27</v>
      </c>
      <c r="D351" s="120">
        <f t="shared" si="14"/>
        <v>-3.2786945079681717E-2</v>
      </c>
    </row>
    <row r="352" spans="2:4" x14ac:dyDescent="0.25">
      <c r="B352" s="12">
        <v>42954</v>
      </c>
      <c r="C352" s="18">
        <v>32.330002</v>
      </c>
      <c r="D352" s="120">
        <f t="shared" si="14"/>
        <v>3.1260031897926588E-2</v>
      </c>
    </row>
    <row r="353" spans="2:4" x14ac:dyDescent="0.25">
      <c r="B353" s="12">
        <v>42947</v>
      </c>
      <c r="C353" s="18">
        <v>31.35</v>
      </c>
      <c r="D353" s="120">
        <f t="shared" si="14"/>
        <v>-7.3581560283688008E-2</v>
      </c>
    </row>
    <row r="354" spans="2:4" x14ac:dyDescent="0.25">
      <c r="B354" s="12">
        <v>42940</v>
      </c>
      <c r="C354" s="18">
        <v>33.840000000000003</v>
      </c>
      <c r="D354" s="120">
        <f t="shared" si="14"/>
        <v>-3.1482513780266452E-2</v>
      </c>
    </row>
    <row r="355" spans="2:4" x14ac:dyDescent="0.25">
      <c r="B355" s="12">
        <v>42933</v>
      </c>
      <c r="C355" s="18">
        <v>34.939999</v>
      </c>
      <c r="D355" s="120">
        <f t="shared" si="14"/>
        <v>-3.9909632844377096E-3</v>
      </c>
    </row>
    <row r="356" spans="2:4" x14ac:dyDescent="0.25">
      <c r="B356" s="12">
        <v>42926</v>
      </c>
      <c r="C356" s="18">
        <v>35.080002</v>
      </c>
      <c r="D356" s="120">
        <f t="shared" si="14"/>
        <v>6.3109866233224121E-3</v>
      </c>
    </row>
    <row r="357" spans="2:4" x14ac:dyDescent="0.25">
      <c r="B357" s="12">
        <v>42919</v>
      </c>
      <c r="C357" s="18">
        <v>34.860000999999997</v>
      </c>
      <c r="D357" s="120">
        <f t="shared" si="14"/>
        <v>-5.7339447897386542E-4</v>
      </c>
    </row>
    <row r="358" spans="2:4" x14ac:dyDescent="0.25">
      <c r="B358" s="12">
        <v>42912</v>
      </c>
      <c r="C358" s="18">
        <v>34.880001</v>
      </c>
      <c r="D358" s="120">
        <f t="shared" si="14"/>
        <v>-5.7297270270270317E-2</v>
      </c>
    </row>
    <row r="359" spans="2:4" x14ac:dyDescent="0.25">
      <c r="B359" s="12">
        <v>42905</v>
      </c>
      <c r="C359" s="18">
        <v>37</v>
      </c>
      <c r="D359" s="120">
        <f t="shared" si="14"/>
        <v>-2.3746753364287443E-2</v>
      </c>
    </row>
    <row r="360" spans="2:4" x14ac:dyDescent="0.25">
      <c r="B360" s="12">
        <v>42898</v>
      </c>
      <c r="C360" s="18">
        <v>37.900002000000001</v>
      </c>
      <c r="D360" s="120">
        <f t="shared" si="14"/>
        <v>-3.4394853503184719E-2</v>
      </c>
    </row>
    <row r="361" spans="2:4" x14ac:dyDescent="0.25">
      <c r="B361" s="12">
        <v>42891</v>
      </c>
      <c r="C361" s="18">
        <v>39.25</v>
      </c>
      <c r="D361" s="120">
        <f t="shared" si="14"/>
        <v>3.9184537993116164E-2</v>
      </c>
    </row>
    <row r="362" spans="2:4" x14ac:dyDescent="0.25">
      <c r="B362" s="12">
        <v>42884</v>
      </c>
      <c r="C362" s="18">
        <v>37.770000000000003</v>
      </c>
      <c r="D362" s="120">
        <f t="shared" si="14"/>
        <v>5.591027540175153E-3</v>
      </c>
    </row>
    <row r="363" spans="2:4" x14ac:dyDescent="0.25">
      <c r="B363" s="12">
        <v>42877</v>
      </c>
      <c r="C363" s="18">
        <v>37.560001</v>
      </c>
      <c r="D363" s="120">
        <f t="shared" si="14"/>
        <v>-6.3491536071205168E-3</v>
      </c>
    </row>
    <row r="364" spans="2:4" x14ac:dyDescent="0.25">
      <c r="B364" s="12">
        <v>42870</v>
      </c>
      <c r="C364" s="18">
        <v>37.799999</v>
      </c>
      <c r="D364" s="120">
        <f t="shared" si="14"/>
        <v>4.7091443052157622E-2</v>
      </c>
    </row>
    <row r="365" spans="2:4" x14ac:dyDescent="0.25">
      <c r="B365" s="12">
        <v>42863</v>
      </c>
      <c r="C365" s="18">
        <v>36.099997999999999</v>
      </c>
      <c r="D365" s="120">
        <f t="shared" si="14"/>
        <v>-1.9353056088087239E-3</v>
      </c>
    </row>
    <row r="366" spans="2:4" x14ac:dyDescent="0.25">
      <c r="B366" s="12">
        <v>42856</v>
      </c>
      <c r="C366" s="18">
        <v>36.169998</v>
      </c>
      <c r="D366" s="120">
        <f t="shared" si="14"/>
        <v>6.5704156325991692E-2</v>
      </c>
    </row>
    <row r="367" spans="2:4" x14ac:dyDescent="0.25">
      <c r="B367" s="12">
        <v>42849</v>
      </c>
      <c r="C367" s="18">
        <v>33.939999</v>
      </c>
      <c r="D367" s="120">
        <f t="shared" si="14"/>
        <v>1.3436756438533592E-2</v>
      </c>
    </row>
    <row r="368" spans="2:4" x14ac:dyDescent="0.25">
      <c r="B368" s="12">
        <v>42842</v>
      </c>
      <c r="C368" s="18">
        <v>33.490001999999997</v>
      </c>
      <c r="D368" s="120">
        <f t="shared" si="14"/>
        <v>1.7314824867243228E-2</v>
      </c>
    </row>
    <row r="369" spans="2:4" x14ac:dyDescent="0.25">
      <c r="B369" s="12">
        <v>42835</v>
      </c>
      <c r="C369" s="18">
        <v>32.919998</v>
      </c>
      <c r="D369" s="120">
        <f t="shared" si="14"/>
        <v>1.1367097123413217E-2</v>
      </c>
    </row>
    <row r="370" spans="2:4" x14ac:dyDescent="0.25">
      <c r="B370" s="12">
        <v>42828</v>
      </c>
      <c r="C370" s="18">
        <v>32.549999</v>
      </c>
      <c r="D370" s="120">
        <f t="shared" si="14"/>
        <v>-2.544919009286295E-2</v>
      </c>
    </row>
    <row r="371" spans="2:4" x14ac:dyDescent="0.25">
      <c r="B371" s="12">
        <v>42821</v>
      </c>
      <c r="C371" s="18">
        <v>33.400002000000001</v>
      </c>
      <c r="D371" s="120">
        <f t="shared" si="14"/>
        <v>3.277680890538015E-2</v>
      </c>
    </row>
    <row r="372" spans="2:4" x14ac:dyDescent="0.25">
      <c r="B372" s="12">
        <v>42814</v>
      </c>
      <c r="C372" s="18">
        <v>32.340000000000003</v>
      </c>
      <c r="D372" s="120">
        <f t="shared" si="14"/>
        <v>-3.3898612206513246E-3</v>
      </c>
    </row>
    <row r="373" spans="2:4" x14ac:dyDescent="0.25">
      <c r="B373" s="12">
        <v>42807</v>
      </c>
      <c r="C373" s="18">
        <v>32.450001</v>
      </c>
      <c r="D373" s="120">
        <f t="shared" si="14"/>
        <v>3.2781699554423893E-2</v>
      </c>
    </row>
    <row r="374" spans="2:4" x14ac:dyDescent="0.25">
      <c r="B374" s="12">
        <v>42800</v>
      </c>
      <c r="C374" s="18">
        <v>31.42</v>
      </c>
      <c r="D374" s="120">
        <f t="shared" si="14"/>
        <v>-4.7012464452154568E-2</v>
      </c>
    </row>
    <row r="375" spans="2:4" x14ac:dyDescent="0.25">
      <c r="B375" s="12">
        <v>42793</v>
      </c>
      <c r="C375" s="18">
        <v>32.970001000000003</v>
      </c>
      <c r="D375" s="120">
        <f t="shared" si="14"/>
        <v>-8.212686982889017E-2</v>
      </c>
    </row>
    <row r="376" spans="2:4" x14ac:dyDescent="0.25">
      <c r="B376" s="12">
        <v>42786</v>
      </c>
      <c r="C376" s="18">
        <v>35.919998</v>
      </c>
      <c r="D376" s="120">
        <f t="shared" si="14"/>
        <v>-3.4668127779310165E-2</v>
      </c>
    </row>
    <row r="377" spans="2:4" x14ac:dyDescent="0.25">
      <c r="B377" s="12">
        <v>42779</v>
      </c>
      <c r="C377" s="18">
        <v>37.209999000000003</v>
      </c>
      <c r="D377" s="120">
        <f t="shared" si="14"/>
        <v>1.7500656275635906E-2</v>
      </c>
    </row>
    <row r="378" spans="2:4" x14ac:dyDescent="0.25">
      <c r="B378" s="12">
        <v>42772</v>
      </c>
      <c r="C378" s="18">
        <v>36.57</v>
      </c>
      <c r="D378" s="120">
        <f t="shared" si="14"/>
        <v>3.3050789093175714E-2</v>
      </c>
    </row>
    <row r="379" spans="2:4" x14ac:dyDescent="0.25">
      <c r="B379" s="12">
        <v>42765</v>
      </c>
      <c r="C379" s="18">
        <v>35.400002000000001</v>
      </c>
      <c r="D379" s="120">
        <f t="shared" si="14"/>
        <v>9.9858205416782919E-3</v>
      </c>
    </row>
    <row r="380" spans="2:4" x14ac:dyDescent="0.25">
      <c r="B380" s="12">
        <v>42758</v>
      </c>
      <c r="C380" s="18">
        <v>35.049999</v>
      </c>
      <c r="D380" s="120">
        <f t="shared" si="14"/>
        <v>8.342952148616245E-3</v>
      </c>
    </row>
    <row r="381" spans="2:4" x14ac:dyDescent="0.25">
      <c r="B381" s="12">
        <v>42751</v>
      </c>
      <c r="C381" s="18">
        <v>34.759998000000003</v>
      </c>
      <c r="D381" s="120">
        <f t="shared" si="14"/>
        <v>-1.8910584250634965E-2</v>
      </c>
    </row>
    <row r="382" spans="2:4" x14ac:dyDescent="0.25">
      <c r="B382" s="12">
        <v>42744</v>
      </c>
      <c r="C382" s="18">
        <v>35.43</v>
      </c>
      <c r="D382" s="120">
        <f t="shared" si="14"/>
        <v>-3.1702650997540438E-2</v>
      </c>
    </row>
    <row r="383" spans="2:4" x14ac:dyDescent="0.25">
      <c r="B383" s="12">
        <v>42737</v>
      </c>
      <c r="C383" s="18">
        <v>36.590000000000003</v>
      </c>
      <c r="D383" s="120">
        <f t="shared" si="14"/>
        <v>2.2352583896267708E-2</v>
      </c>
    </row>
    <row r="384" spans="2:4" x14ac:dyDescent="0.25">
      <c r="B384" s="12">
        <v>42730</v>
      </c>
      <c r="C384" s="18">
        <v>35.790000999999997</v>
      </c>
      <c r="D384" s="120">
        <f t="shared" si="14"/>
        <v>-3.4268752448225914E-2</v>
      </c>
    </row>
    <row r="385" spans="2:4" x14ac:dyDescent="0.25">
      <c r="B385" s="12">
        <v>42723</v>
      </c>
      <c r="C385" s="18">
        <v>37.060001</v>
      </c>
      <c r="D385" s="120">
        <f t="shared" si="14"/>
        <v>-3.3637472419164149E-2</v>
      </c>
    </row>
    <row r="386" spans="2:4" x14ac:dyDescent="0.25">
      <c r="B386" s="12">
        <v>42716</v>
      </c>
      <c r="C386" s="18">
        <v>38.349997999999999</v>
      </c>
      <c r="D386" s="120">
        <f t="shared" si="14"/>
        <v>7.090230720050883E-3</v>
      </c>
    </row>
    <row r="387" spans="2:4" x14ac:dyDescent="0.25">
      <c r="B387" s="12">
        <v>42709</v>
      </c>
      <c r="C387" s="18">
        <v>38.080002</v>
      </c>
      <c r="D387" s="120">
        <f t="shared" ref="D387:D450" si="15">C387/C388-1</f>
        <v>6.3687236415844506E-2</v>
      </c>
    </row>
    <row r="388" spans="2:4" x14ac:dyDescent="0.25">
      <c r="B388" s="12">
        <v>42702</v>
      </c>
      <c r="C388" s="18">
        <v>35.799999</v>
      </c>
      <c r="D388" s="120">
        <f t="shared" si="15"/>
        <v>-5.6404851249468924E-2</v>
      </c>
    </row>
    <row r="389" spans="2:4" x14ac:dyDescent="0.25">
      <c r="B389" s="12">
        <v>42695</v>
      </c>
      <c r="C389" s="18">
        <v>37.939999</v>
      </c>
      <c r="D389" s="120">
        <f t="shared" si="15"/>
        <v>2.8462998874030809E-2</v>
      </c>
    </row>
    <row r="390" spans="2:4" x14ac:dyDescent="0.25">
      <c r="B390" s="12">
        <v>42688</v>
      </c>
      <c r="C390" s="18">
        <v>36.889999000000003</v>
      </c>
      <c r="D390" s="120">
        <f t="shared" si="15"/>
        <v>-2.174489582988326E-2</v>
      </c>
    </row>
    <row r="391" spans="2:4" x14ac:dyDescent="0.25">
      <c r="B391" s="12">
        <v>42681</v>
      </c>
      <c r="C391" s="18">
        <v>37.709999000000003</v>
      </c>
      <c r="D391" s="120">
        <f t="shared" si="15"/>
        <v>0.18771650393700789</v>
      </c>
    </row>
    <row r="392" spans="2:4" x14ac:dyDescent="0.25">
      <c r="B392" s="12">
        <v>42674</v>
      </c>
      <c r="C392" s="18">
        <v>31.75</v>
      </c>
      <c r="D392" s="120">
        <f t="shared" si="15"/>
        <v>-5.9486848481938859E-3</v>
      </c>
    </row>
    <row r="393" spans="2:4" x14ac:dyDescent="0.25">
      <c r="B393" s="12">
        <v>42667</v>
      </c>
      <c r="C393" s="18">
        <v>31.940000999999999</v>
      </c>
      <c r="D393" s="120">
        <f t="shared" si="15"/>
        <v>-1.8438843932426341E-2</v>
      </c>
    </row>
    <row r="394" spans="2:4" x14ac:dyDescent="0.25">
      <c r="B394" s="12">
        <v>42660</v>
      </c>
      <c r="C394" s="18">
        <v>32.540000999999997</v>
      </c>
      <c r="D394" s="120">
        <f t="shared" si="15"/>
        <v>7.4304027068234912E-3</v>
      </c>
    </row>
    <row r="395" spans="2:4" x14ac:dyDescent="0.25">
      <c r="B395" s="12">
        <v>42653</v>
      </c>
      <c r="C395" s="18">
        <v>32.299999</v>
      </c>
      <c r="D395" s="120">
        <f t="shared" si="15"/>
        <v>-2.0915518586509863E-2</v>
      </c>
    </row>
    <row r="396" spans="2:4" x14ac:dyDescent="0.25">
      <c r="B396" s="12">
        <v>42646</v>
      </c>
      <c r="C396" s="18">
        <v>32.990001999999997</v>
      </c>
      <c r="D396" s="120">
        <f t="shared" si="15"/>
        <v>-4.8456766568028109E-2</v>
      </c>
    </row>
    <row r="397" spans="2:4" x14ac:dyDescent="0.25">
      <c r="B397" s="12">
        <v>42639</v>
      </c>
      <c r="C397" s="18">
        <v>34.669998</v>
      </c>
      <c r="D397" s="120">
        <f t="shared" si="15"/>
        <v>-1.6732842696134065E-2</v>
      </c>
    </row>
    <row r="398" spans="2:4" x14ac:dyDescent="0.25">
      <c r="B398" s="12">
        <v>42632</v>
      </c>
      <c r="C398" s="18">
        <v>35.259998000000003</v>
      </c>
      <c r="D398" s="120">
        <f t="shared" si="15"/>
        <v>8.8697279293354914E-3</v>
      </c>
    </row>
    <row r="399" spans="2:4" x14ac:dyDescent="0.25">
      <c r="B399" s="12">
        <v>42625</v>
      </c>
      <c r="C399" s="18">
        <v>34.950001</v>
      </c>
      <c r="D399" s="120">
        <f t="shared" si="15"/>
        <v>1.7467337261562577E-2</v>
      </c>
    </row>
    <row r="400" spans="2:4" x14ac:dyDescent="0.25">
      <c r="B400" s="12">
        <v>42618</v>
      </c>
      <c r="C400" s="18">
        <v>34.349997999999999</v>
      </c>
      <c r="D400" s="120">
        <f t="shared" si="15"/>
        <v>-1.9411961730287142E-2</v>
      </c>
    </row>
    <row r="401" spans="2:4" x14ac:dyDescent="0.25">
      <c r="B401" s="12">
        <v>42611</v>
      </c>
      <c r="C401" s="18">
        <v>35.029998999999997</v>
      </c>
      <c r="D401" s="120">
        <f t="shared" si="15"/>
        <v>-4.5467463639314865E-3</v>
      </c>
    </row>
    <row r="402" spans="2:4" x14ac:dyDescent="0.25">
      <c r="B402" s="12">
        <v>42604</v>
      </c>
      <c r="C402" s="18">
        <v>35.189999</v>
      </c>
      <c r="D402" s="120">
        <f t="shared" si="15"/>
        <v>-1.7862209441127042E-2</v>
      </c>
    </row>
    <row r="403" spans="2:4" x14ac:dyDescent="0.25">
      <c r="B403" s="12">
        <v>42597</v>
      </c>
      <c r="C403" s="18">
        <v>35.830002</v>
      </c>
      <c r="D403" s="120">
        <f t="shared" si="15"/>
        <v>-5.6111618970274502E-2</v>
      </c>
    </row>
    <row r="404" spans="2:4" x14ac:dyDescent="0.25">
      <c r="B404" s="12">
        <v>42590</v>
      </c>
      <c r="C404" s="18">
        <v>37.959999000000003</v>
      </c>
      <c r="D404" s="120">
        <f t="shared" si="15"/>
        <v>-5.8064517569839103E-2</v>
      </c>
    </row>
    <row r="405" spans="2:4" x14ac:dyDescent="0.25">
      <c r="B405" s="12">
        <v>42583</v>
      </c>
      <c r="C405" s="18">
        <v>40.299999</v>
      </c>
      <c r="D405" s="120">
        <f t="shared" si="15"/>
        <v>7.2482133090832068E-3</v>
      </c>
    </row>
    <row r="406" spans="2:4" x14ac:dyDescent="0.25">
      <c r="B406" s="12">
        <v>42576</v>
      </c>
      <c r="C406" s="18">
        <v>40.009998000000003</v>
      </c>
      <c r="D406" s="120">
        <f t="shared" si="15"/>
        <v>-1.6711747768782148E-2</v>
      </c>
    </row>
    <row r="407" spans="2:4" x14ac:dyDescent="0.25">
      <c r="B407" s="12">
        <v>42569</v>
      </c>
      <c r="C407" s="18">
        <v>40.689999</v>
      </c>
      <c r="D407" s="120">
        <f t="shared" si="15"/>
        <v>6.7979032439844156E-2</v>
      </c>
    </row>
    <row r="408" spans="2:4" x14ac:dyDescent="0.25">
      <c r="B408" s="12">
        <v>42562</v>
      </c>
      <c r="C408" s="18">
        <v>38.099997999999999</v>
      </c>
      <c r="D408" s="120">
        <f t="shared" si="15"/>
        <v>3.5607419526843875E-2</v>
      </c>
    </row>
    <row r="409" spans="2:4" x14ac:dyDescent="0.25">
      <c r="B409" s="12">
        <v>42555</v>
      </c>
      <c r="C409" s="18">
        <v>36.790000999999997</v>
      </c>
      <c r="D409" s="120">
        <f t="shared" si="15"/>
        <v>-1.1287234917689903E-2</v>
      </c>
    </row>
    <row r="410" spans="2:4" x14ac:dyDescent="0.25">
      <c r="B410" s="12">
        <v>42548</v>
      </c>
      <c r="C410" s="18">
        <v>37.209999000000003</v>
      </c>
      <c r="D410" s="120">
        <f t="shared" si="15"/>
        <v>4.6694797375381292E-2</v>
      </c>
    </row>
    <row r="411" spans="2:4" x14ac:dyDescent="0.25">
      <c r="B411" s="12">
        <v>42541</v>
      </c>
      <c r="C411" s="18">
        <v>35.549999</v>
      </c>
      <c r="D411" s="120">
        <f t="shared" si="15"/>
        <v>-2.5493448464912194E-2</v>
      </c>
    </row>
    <row r="412" spans="2:4" x14ac:dyDescent="0.25">
      <c r="B412" s="12">
        <v>42534</v>
      </c>
      <c r="C412" s="18">
        <v>36.479999999999997</v>
      </c>
      <c r="D412" s="120">
        <f t="shared" si="15"/>
        <v>4.3776794169476441E-2</v>
      </c>
    </row>
    <row r="413" spans="2:4" x14ac:dyDescent="0.25">
      <c r="B413" s="12">
        <v>42527</v>
      </c>
      <c r="C413" s="18">
        <v>34.950001</v>
      </c>
      <c r="D413" s="120">
        <f t="shared" si="15"/>
        <v>-4.4037197920207882E-2</v>
      </c>
    </row>
    <row r="414" spans="2:4" x14ac:dyDescent="0.25">
      <c r="B414" s="12">
        <v>42520</v>
      </c>
      <c r="C414" s="18">
        <v>36.560001</v>
      </c>
      <c r="D414" s="120">
        <f t="shared" si="15"/>
        <v>-3.713457895352712E-2</v>
      </c>
    </row>
    <row r="415" spans="2:4" x14ac:dyDescent="0.25">
      <c r="B415" s="12">
        <v>42513</v>
      </c>
      <c r="C415" s="18">
        <v>37.970001000000003</v>
      </c>
      <c r="D415" s="120">
        <f t="shared" si="15"/>
        <v>8.5167157178213548E-2</v>
      </c>
    </row>
    <row r="416" spans="2:4" x14ac:dyDescent="0.25">
      <c r="B416" s="12">
        <v>42506</v>
      </c>
      <c r="C416" s="18">
        <v>34.990001999999997</v>
      </c>
      <c r="D416" s="120">
        <f t="shared" si="15"/>
        <v>-6.9414790926318748E-2</v>
      </c>
    </row>
    <row r="417" spans="2:4" x14ac:dyDescent="0.25">
      <c r="B417" s="12">
        <v>42499</v>
      </c>
      <c r="C417" s="18">
        <v>37.599997999999999</v>
      </c>
      <c r="D417" s="120">
        <f t="shared" si="15"/>
        <v>9.5251844144955244E-2</v>
      </c>
    </row>
    <row r="418" spans="2:4" x14ac:dyDescent="0.25">
      <c r="B418" s="12">
        <v>42492</v>
      </c>
      <c r="C418" s="18">
        <v>34.330002</v>
      </c>
      <c r="D418" s="120">
        <f t="shared" si="15"/>
        <v>-5.9967086527929925E-2</v>
      </c>
    </row>
    <row r="419" spans="2:4" x14ac:dyDescent="0.25">
      <c r="B419" s="12">
        <v>42485</v>
      </c>
      <c r="C419" s="18">
        <v>36.520000000000003</v>
      </c>
      <c r="D419" s="120">
        <f t="shared" si="15"/>
        <v>-3.3350953767891656E-2</v>
      </c>
    </row>
    <row r="420" spans="2:4" x14ac:dyDescent="0.25">
      <c r="B420" s="12">
        <v>42478</v>
      </c>
      <c r="C420" s="18">
        <v>37.779998999999997</v>
      </c>
      <c r="D420" s="120">
        <f t="shared" si="15"/>
        <v>1.3251789027299843E-3</v>
      </c>
    </row>
    <row r="421" spans="2:4" x14ac:dyDescent="0.25">
      <c r="B421" s="12">
        <v>42471</v>
      </c>
      <c r="C421" s="18">
        <v>37.729999999999997</v>
      </c>
      <c r="D421" s="120">
        <f t="shared" si="15"/>
        <v>1.8903619198045396E-2</v>
      </c>
    </row>
    <row r="422" spans="2:4" x14ac:dyDescent="0.25">
      <c r="B422" s="12">
        <v>42464</v>
      </c>
      <c r="C422" s="18">
        <v>37.029998999999997</v>
      </c>
      <c r="D422" s="120">
        <f t="shared" si="15"/>
        <v>4.8846949733891698E-3</v>
      </c>
    </row>
    <row r="423" spans="2:4" x14ac:dyDescent="0.25">
      <c r="B423" s="12">
        <v>42457</v>
      </c>
      <c r="C423" s="18">
        <v>36.849997999999999</v>
      </c>
      <c r="D423" s="120">
        <f t="shared" si="15"/>
        <v>0.12040131104899077</v>
      </c>
    </row>
    <row r="424" spans="2:4" x14ac:dyDescent="0.25">
      <c r="B424" s="12">
        <v>42450</v>
      </c>
      <c r="C424" s="18">
        <v>32.889999000000003</v>
      </c>
      <c r="D424" s="120">
        <f t="shared" si="15"/>
        <v>-5.5970177956371936E-2</v>
      </c>
    </row>
    <row r="425" spans="2:4" x14ac:dyDescent="0.25">
      <c r="B425" s="12">
        <v>42443</v>
      </c>
      <c r="C425" s="18">
        <v>34.840000000000003</v>
      </c>
      <c r="D425" s="120">
        <f t="shared" si="15"/>
        <v>7.5187387207207301E-3</v>
      </c>
    </row>
    <row r="426" spans="2:4" x14ac:dyDescent="0.25">
      <c r="B426" s="12">
        <v>42436</v>
      </c>
      <c r="C426" s="18">
        <v>34.580002</v>
      </c>
      <c r="D426" s="120">
        <f t="shared" si="15"/>
        <v>-0.17647057982993186</v>
      </c>
    </row>
    <row r="427" spans="2:4" x14ac:dyDescent="0.25">
      <c r="B427" s="12">
        <v>42429</v>
      </c>
      <c r="C427" s="18">
        <v>41.990001999999997</v>
      </c>
      <c r="D427" s="120">
        <f t="shared" si="15"/>
        <v>4.4527386952055048E-2</v>
      </c>
    </row>
    <row r="428" spans="2:4" x14ac:dyDescent="0.25">
      <c r="B428" s="12">
        <v>42422</v>
      </c>
      <c r="C428" s="18">
        <v>40.200001</v>
      </c>
      <c r="D428" s="120">
        <f t="shared" si="15"/>
        <v>4.5513652912518854E-2</v>
      </c>
    </row>
    <row r="429" spans="2:4" x14ac:dyDescent="0.25">
      <c r="B429" s="12">
        <v>42415</v>
      </c>
      <c r="C429" s="18">
        <v>38.450001</v>
      </c>
      <c r="D429" s="120">
        <f t="shared" si="15"/>
        <v>0.12822766266269592</v>
      </c>
    </row>
    <row r="430" spans="2:4" x14ac:dyDescent="0.25">
      <c r="B430" s="12">
        <v>42408</v>
      </c>
      <c r="C430" s="18">
        <v>34.080002</v>
      </c>
      <c r="D430" s="120">
        <f t="shared" si="15"/>
        <v>2.935720575285572E-4</v>
      </c>
    </row>
    <row r="431" spans="2:4" x14ac:dyDescent="0.25">
      <c r="B431" s="12">
        <v>42401</v>
      </c>
      <c r="C431" s="18">
        <v>34.07</v>
      </c>
      <c r="D431" s="120">
        <f t="shared" si="15"/>
        <v>-1.474846646914596E-2</v>
      </c>
    </row>
    <row r="432" spans="2:4" x14ac:dyDescent="0.25">
      <c r="B432" s="12">
        <v>42394</v>
      </c>
      <c r="C432" s="18">
        <v>34.580002</v>
      </c>
      <c r="D432" s="120">
        <f t="shared" si="15"/>
        <v>-2.6463907657657715E-2</v>
      </c>
    </row>
    <row r="433" spans="2:4" x14ac:dyDescent="0.25">
      <c r="B433" s="12">
        <v>42387</v>
      </c>
      <c r="C433" s="18">
        <v>35.520000000000003</v>
      </c>
      <c r="D433" s="120">
        <f t="shared" si="15"/>
        <v>0.10757717492984109</v>
      </c>
    </row>
    <row r="434" spans="2:4" x14ac:dyDescent="0.25">
      <c r="B434" s="12">
        <v>42380</v>
      </c>
      <c r="C434" s="18">
        <v>32.07</v>
      </c>
      <c r="D434" s="120">
        <f t="shared" si="15"/>
        <v>-8.108887787456287E-2</v>
      </c>
    </row>
    <row r="435" spans="2:4" x14ac:dyDescent="0.25">
      <c r="B435" s="12">
        <v>42373</v>
      </c>
      <c r="C435" s="18">
        <v>34.900002000000001</v>
      </c>
      <c r="D435" s="120">
        <f t="shared" si="15"/>
        <v>-0.11868677367104918</v>
      </c>
    </row>
    <row r="436" spans="2:4" x14ac:dyDescent="0.25">
      <c r="B436" s="12">
        <v>42366</v>
      </c>
      <c r="C436" s="18">
        <v>39.599997999999999</v>
      </c>
      <c r="D436" s="120">
        <f t="shared" si="15"/>
        <v>-2.1980833688276857E-2</v>
      </c>
    </row>
    <row r="437" spans="2:4" x14ac:dyDescent="0.25">
      <c r="B437" s="12">
        <v>42359</v>
      </c>
      <c r="C437" s="18">
        <v>40.490001999999997</v>
      </c>
      <c r="D437" s="120">
        <f t="shared" si="15"/>
        <v>1.8616402515723163E-2</v>
      </c>
    </row>
    <row r="438" spans="2:4" x14ac:dyDescent="0.25">
      <c r="B438" s="12">
        <v>42352</v>
      </c>
      <c r="C438" s="18">
        <v>39.75</v>
      </c>
      <c r="D438" s="120">
        <f t="shared" si="15"/>
        <v>-3.4959918304440896E-2</v>
      </c>
    </row>
    <row r="439" spans="2:4" x14ac:dyDescent="0.25">
      <c r="B439" s="12">
        <v>42345</v>
      </c>
      <c r="C439" s="18">
        <v>41.189999</v>
      </c>
      <c r="D439" s="120">
        <f t="shared" si="15"/>
        <v>-6.471394040159073E-2</v>
      </c>
    </row>
    <row r="440" spans="2:4" x14ac:dyDescent="0.25">
      <c r="B440" s="12">
        <v>42338</v>
      </c>
      <c r="C440" s="18">
        <v>44.040000999999997</v>
      </c>
      <c r="D440" s="120">
        <f t="shared" si="15"/>
        <v>-1.813191337561082E-3</v>
      </c>
    </row>
    <row r="441" spans="2:4" x14ac:dyDescent="0.25">
      <c r="B441" s="12">
        <v>42331</v>
      </c>
      <c r="C441" s="18">
        <v>44.119999</v>
      </c>
      <c r="D441" s="120">
        <f t="shared" si="15"/>
        <v>3.738537590842661E-2</v>
      </c>
    </row>
    <row r="442" spans="2:4" x14ac:dyDescent="0.25">
      <c r="B442" s="12">
        <v>42324</v>
      </c>
      <c r="C442" s="18">
        <v>42.529998999999997</v>
      </c>
      <c r="D442" s="120">
        <f t="shared" si="15"/>
        <v>4.1126097484753821E-2</v>
      </c>
    </row>
    <row r="443" spans="2:4" x14ac:dyDescent="0.25">
      <c r="B443" s="12">
        <v>42317</v>
      </c>
      <c r="C443" s="18">
        <v>40.849997999999999</v>
      </c>
      <c r="D443" s="120">
        <f t="shared" si="15"/>
        <v>-0.18283664001453726</v>
      </c>
    </row>
    <row r="444" spans="2:4" x14ac:dyDescent="0.25">
      <c r="B444" s="12">
        <v>42310</v>
      </c>
      <c r="C444" s="18">
        <v>49.990001999999997</v>
      </c>
      <c r="D444" s="120">
        <f t="shared" si="15"/>
        <v>9.6993680052666065E-2</v>
      </c>
    </row>
    <row r="445" spans="2:4" x14ac:dyDescent="0.25">
      <c r="B445" s="12">
        <v>42303</v>
      </c>
      <c r="C445" s="18">
        <v>45.57</v>
      </c>
      <c r="D445" s="120">
        <f t="shared" si="15"/>
        <v>1.2216792536650312E-2</v>
      </c>
    </row>
    <row r="446" spans="2:4" x14ac:dyDescent="0.25">
      <c r="B446" s="12">
        <v>42296</v>
      </c>
      <c r="C446" s="18">
        <v>45.02</v>
      </c>
      <c r="D446" s="120">
        <f t="shared" si="15"/>
        <v>3.5895099767489613E-2</v>
      </c>
    </row>
    <row r="447" spans="2:4" x14ac:dyDescent="0.25">
      <c r="B447" s="12">
        <v>42289</v>
      </c>
      <c r="C447" s="18">
        <v>43.459999000000003</v>
      </c>
      <c r="D447" s="120">
        <f t="shared" si="15"/>
        <v>-1.3393870905649696E-2</v>
      </c>
    </row>
    <row r="448" spans="2:4" x14ac:dyDescent="0.25">
      <c r="B448" s="12">
        <v>42282</v>
      </c>
      <c r="C448" s="18">
        <v>44.049999</v>
      </c>
      <c r="D448" s="120">
        <f t="shared" si="15"/>
        <v>-0.12093398281911827</v>
      </c>
    </row>
    <row r="449" spans="2:4" x14ac:dyDescent="0.25">
      <c r="B449" s="12">
        <v>42275</v>
      </c>
      <c r="C449" s="18">
        <v>50.110000999999997</v>
      </c>
      <c r="D449" s="120">
        <f t="shared" si="15"/>
        <v>1.4372448810831884E-2</v>
      </c>
    </row>
    <row r="450" spans="2:4" x14ac:dyDescent="0.25">
      <c r="B450" s="12">
        <v>42268</v>
      </c>
      <c r="C450" s="18">
        <v>49.400002000000001</v>
      </c>
      <c r="D450" s="120">
        <f t="shared" si="15"/>
        <v>-7.0729834462001429E-2</v>
      </c>
    </row>
    <row r="451" spans="2:4" x14ac:dyDescent="0.25">
      <c r="B451" s="12">
        <v>42261</v>
      </c>
      <c r="C451" s="18">
        <v>53.16</v>
      </c>
      <c r="D451" s="120">
        <f t="shared" ref="D451:D483" si="16">C451/C452-1</f>
        <v>-3.5908578815897485E-2</v>
      </c>
    </row>
    <row r="452" spans="2:4" x14ac:dyDescent="0.25">
      <c r="B452" s="12">
        <v>42254</v>
      </c>
      <c r="C452" s="18">
        <v>55.139999000000003</v>
      </c>
      <c r="D452" s="120">
        <f t="shared" si="16"/>
        <v>0.15331516098483244</v>
      </c>
    </row>
    <row r="453" spans="2:4" x14ac:dyDescent="0.25">
      <c r="B453" s="12">
        <v>42247</v>
      </c>
      <c r="C453" s="18">
        <v>47.810001</v>
      </c>
      <c r="D453" s="120">
        <f t="shared" si="16"/>
        <v>-5.5325033484982522E-2</v>
      </c>
    </row>
    <row r="454" spans="2:4" x14ac:dyDescent="0.25">
      <c r="B454" s="12">
        <v>42240</v>
      </c>
      <c r="C454" s="18">
        <v>50.610000999999997</v>
      </c>
      <c r="D454" s="120">
        <f t="shared" si="16"/>
        <v>6.5473705263157767E-2</v>
      </c>
    </row>
    <row r="455" spans="2:4" x14ac:dyDescent="0.25">
      <c r="B455" s="12">
        <v>42233</v>
      </c>
      <c r="C455" s="18">
        <v>47.5</v>
      </c>
      <c r="D455" s="120">
        <f t="shared" si="16"/>
        <v>-0.14151458010068385</v>
      </c>
    </row>
    <row r="456" spans="2:4" x14ac:dyDescent="0.25">
      <c r="B456" s="12">
        <v>42226</v>
      </c>
      <c r="C456" s="18">
        <v>55.330002</v>
      </c>
      <c r="D456" s="120">
        <f t="shared" si="16"/>
        <v>-0.22766606962124614</v>
      </c>
    </row>
    <row r="457" spans="2:4" x14ac:dyDescent="0.25">
      <c r="B457" s="12">
        <v>42219</v>
      </c>
      <c r="C457" s="18">
        <v>71.639999000000003</v>
      </c>
      <c r="D457" s="120">
        <f t="shared" si="16"/>
        <v>5.2755265859429912E-2</v>
      </c>
    </row>
    <row r="458" spans="2:4" x14ac:dyDescent="0.25">
      <c r="B458" s="12">
        <v>42212</v>
      </c>
      <c r="C458" s="18">
        <v>68.050003000000004</v>
      </c>
      <c r="D458" s="120">
        <f t="shared" si="16"/>
        <v>0.20335993286224463</v>
      </c>
    </row>
    <row r="459" spans="2:4" x14ac:dyDescent="0.25">
      <c r="B459" s="12">
        <v>42205</v>
      </c>
      <c r="C459" s="18">
        <v>56.549999</v>
      </c>
      <c r="D459" s="120">
        <f t="shared" si="16"/>
        <v>6.8190405519274799E-2</v>
      </c>
    </row>
    <row r="460" spans="2:4" x14ac:dyDescent="0.25">
      <c r="B460" s="12">
        <v>42198</v>
      </c>
      <c r="C460" s="18">
        <v>52.939999</v>
      </c>
      <c r="D460" s="120">
        <f t="shared" si="16"/>
        <v>4.8316811881188082E-2</v>
      </c>
    </row>
    <row r="461" spans="2:4" x14ac:dyDescent="0.25">
      <c r="B461" s="12">
        <v>42191</v>
      </c>
      <c r="C461" s="18">
        <v>50.5</v>
      </c>
      <c r="D461" s="120">
        <f t="shared" si="16"/>
        <v>-0.12765588405002393</v>
      </c>
    </row>
    <row r="462" spans="2:4" x14ac:dyDescent="0.25">
      <c r="B462" s="12">
        <v>42184</v>
      </c>
      <c r="C462" s="18">
        <v>57.889999000000003</v>
      </c>
      <c r="D462" s="120">
        <f t="shared" si="16"/>
        <v>-7.2275686786035687E-2</v>
      </c>
    </row>
    <row r="463" spans="2:4" x14ac:dyDescent="0.25">
      <c r="B463" s="12">
        <v>42177</v>
      </c>
      <c r="C463" s="18">
        <v>62.400002000000001</v>
      </c>
      <c r="D463" s="120">
        <f t="shared" si="16"/>
        <v>-0.10008644938485434</v>
      </c>
    </row>
    <row r="464" spans="2:4" x14ac:dyDescent="0.25">
      <c r="B464" s="12">
        <v>42170</v>
      </c>
      <c r="C464" s="18">
        <v>69.339995999999999</v>
      </c>
      <c r="D464" s="120">
        <f t="shared" si="16"/>
        <v>-8.0249410800496301E-2</v>
      </c>
    </row>
    <row r="465" spans="2:4" x14ac:dyDescent="0.25">
      <c r="B465" s="12">
        <v>42163</v>
      </c>
      <c r="C465" s="18">
        <v>75.389999000000003</v>
      </c>
      <c r="D465" s="120">
        <f t="shared" si="16"/>
        <v>-2.1036267470814995E-2</v>
      </c>
    </row>
    <row r="466" spans="2:4" x14ac:dyDescent="0.25">
      <c r="B466" s="12">
        <v>42156</v>
      </c>
      <c r="C466" s="18">
        <v>77.010002</v>
      </c>
      <c r="D466" s="120">
        <f t="shared" si="16"/>
        <v>-7.0039803647863774E-2</v>
      </c>
    </row>
    <row r="467" spans="2:4" x14ac:dyDescent="0.25">
      <c r="B467" s="12">
        <v>42149</v>
      </c>
      <c r="C467" s="18">
        <v>82.809997999999993</v>
      </c>
      <c r="D467" s="120">
        <f t="shared" si="16"/>
        <v>-0.10822747029692581</v>
      </c>
    </row>
    <row r="468" spans="2:4" x14ac:dyDescent="0.25">
      <c r="B468" s="12">
        <v>42142</v>
      </c>
      <c r="C468" s="18">
        <v>92.860000999999997</v>
      </c>
      <c r="D468" s="120">
        <f t="shared" si="16"/>
        <v>0.33823320850602689</v>
      </c>
    </row>
    <row r="469" spans="2:4" x14ac:dyDescent="0.25">
      <c r="B469" s="12">
        <v>42135</v>
      </c>
      <c r="C469" s="18">
        <v>69.389999000000003</v>
      </c>
      <c r="D469" s="120">
        <f t="shared" si="16"/>
        <v>2.0441161764706006E-2</v>
      </c>
    </row>
    <row r="470" spans="2:4" x14ac:dyDescent="0.25">
      <c r="B470" s="12">
        <v>42128</v>
      </c>
      <c r="C470" s="18">
        <v>68</v>
      </c>
      <c r="D470" s="120">
        <f t="shared" si="16"/>
        <v>-3.8869257950530089E-2</v>
      </c>
    </row>
    <row r="471" spans="2:4" x14ac:dyDescent="0.25">
      <c r="B471" s="12">
        <v>42121</v>
      </c>
      <c r="C471" s="18">
        <v>70.75</v>
      </c>
      <c r="D471" s="120">
        <f t="shared" si="16"/>
        <v>3.2394586785270407E-2</v>
      </c>
    </row>
    <row r="472" spans="2:4" x14ac:dyDescent="0.25">
      <c r="B472" s="12">
        <v>42114</v>
      </c>
      <c r="C472" s="18">
        <v>68.529999000000004</v>
      </c>
      <c r="D472" s="120">
        <f t="shared" si="16"/>
        <v>0.11123725024281672</v>
      </c>
    </row>
    <row r="473" spans="2:4" x14ac:dyDescent="0.25">
      <c r="B473" s="12">
        <v>42107</v>
      </c>
      <c r="C473" s="18">
        <v>61.669998</v>
      </c>
      <c r="D473" s="120">
        <f t="shared" si="16"/>
        <v>0.23860206389632332</v>
      </c>
    </row>
    <row r="474" spans="2:4" x14ac:dyDescent="0.25">
      <c r="B474" s="12">
        <v>42100</v>
      </c>
      <c r="C474" s="18">
        <v>49.790000999999997</v>
      </c>
      <c r="D474" s="120">
        <f t="shared" si="16"/>
        <v>3.2130989546808042E-2</v>
      </c>
    </row>
    <row r="475" spans="2:4" x14ac:dyDescent="0.25">
      <c r="B475" s="12">
        <v>42093</v>
      </c>
      <c r="C475" s="18">
        <v>48.240001999999997</v>
      </c>
      <c r="D475" s="120">
        <f t="shared" si="16"/>
        <v>-1.5510163265306187E-2</v>
      </c>
    </row>
    <row r="476" spans="2:4" x14ac:dyDescent="0.25">
      <c r="B476" s="12">
        <v>42086</v>
      </c>
      <c r="C476" s="18">
        <v>49</v>
      </c>
      <c r="D476" s="120">
        <f t="shared" si="16"/>
        <v>4.433082030395652E-2</v>
      </c>
    </row>
    <row r="477" spans="2:4" x14ac:dyDescent="0.25">
      <c r="B477" s="12">
        <v>42079</v>
      </c>
      <c r="C477" s="18">
        <v>46.919998</v>
      </c>
      <c r="D477" s="120">
        <f t="shared" si="16"/>
        <v>-3.2577360824742274E-2</v>
      </c>
    </row>
    <row r="478" spans="2:4" x14ac:dyDescent="0.25">
      <c r="B478" s="12">
        <v>42072</v>
      </c>
      <c r="C478" s="18">
        <v>48.5</v>
      </c>
      <c r="D478" s="120">
        <f t="shared" si="16"/>
        <v>0.10553911797444981</v>
      </c>
    </row>
    <row r="479" spans="2:4" x14ac:dyDescent="0.25">
      <c r="B479" s="12">
        <v>42065</v>
      </c>
      <c r="C479" s="18">
        <v>43.869999</v>
      </c>
      <c r="D479" s="120">
        <f t="shared" si="16"/>
        <v>1.6685908844222164E-2</v>
      </c>
    </row>
    <row r="480" spans="2:4" x14ac:dyDescent="0.25">
      <c r="B480" s="12">
        <v>42058</v>
      </c>
      <c r="C480" s="18">
        <v>43.150002000000001</v>
      </c>
      <c r="D480" s="120">
        <f t="shared" si="16"/>
        <v>-3.8332895884397034E-2</v>
      </c>
    </row>
    <row r="481" spans="2:4" x14ac:dyDescent="0.25">
      <c r="B481" s="12">
        <v>42051</v>
      </c>
      <c r="C481" s="18">
        <v>44.869999</v>
      </c>
      <c r="D481" s="120">
        <f t="shared" si="16"/>
        <v>0.10272794550818243</v>
      </c>
    </row>
    <row r="482" spans="2:4" x14ac:dyDescent="0.25">
      <c r="B482" s="12">
        <v>42044</v>
      </c>
      <c r="C482" s="18">
        <v>40.689999</v>
      </c>
      <c r="D482" s="120">
        <f t="shared" si="16"/>
        <v>-3.0266921598353758E-2</v>
      </c>
    </row>
    <row r="483" spans="2:4" x14ac:dyDescent="0.25">
      <c r="B483" s="12">
        <v>42037</v>
      </c>
      <c r="C483" s="18">
        <v>41.959999000000003</v>
      </c>
      <c r="D483" s="120">
        <f t="shared" si="16"/>
        <v>-8.5838841575649583E-2</v>
      </c>
    </row>
    <row r="484" spans="2:4" x14ac:dyDescent="0.25">
      <c r="B484" s="12">
        <v>42030</v>
      </c>
      <c r="C484" s="18">
        <v>45.900002000000001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2024-05-02T12:03:14Z</dcterms:modified>
</cp:coreProperties>
</file>