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33B40EB4-EE16-4784-A0C8-38F4AB7F9876}" xr6:coauthVersionLast="47" xr6:coauthVersionMax="47" xr10:uidLastSave="{00000000-0000-0000-0000-000000000000}"/>
  <bookViews>
    <workbookView xWindow="-105" yWindow="0" windowWidth="14610" windowHeight="15585" tabRatio="717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X67" i="2"/>
  <c r="W67" i="2"/>
  <c r="V67" i="2"/>
  <c r="U67" i="2"/>
  <c r="T67" i="2"/>
  <c r="Y67" i="2"/>
  <c r="Y47" i="2"/>
  <c r="Y48" i="2" s="1"/>
  <c r="Y55" i="2" s="1"/>
  <c r="O23" i="2"/>
  <c r="N10" i="2"/>
  <c r="Y28" i="2"/>
  <c r="Y27" i="2"/>
  <c r="Y26" i="2"/>
  <c r="Y29" i="2"/>
  <c r="AB31" i="2"/>
  <c r="AA31" i="2"/>
  <c r="Z31" i="2"/>
  <c r="W31" i="2"/>
  <c r="X31" i="2"/>
  <c r="AA19" i="2"/>
  <c r="AA24" i="2" s="1"/>
  <c r="Z19" i="2"/>
  <c r="Z24" i="2" s="1"/>
  <c r="W63" i="2"/>
  <c r="W61" i="2"/>
  <c r="W60" i="2"/>
  <c r="W59" i="2"/>
  <c r="W58" i="2"/>
  <c r="W57" i="2"/>
  <c r="W56" i="2"/>
  <c r="W54" i="2"/>
  <c r="W53" i="2"/>
  <c r="W52" i="2"/>
  <c r="W51" i="2"/>
  <c r="W50" i="2"/>
  <c r="W49" i="2"/>
  <c r="W47" i="2"/>
  <c r="W46" i="2"/>
  <c r="W45" i="2"/>
  <c r="W44" i="2"/>
  <c r="W43" i="2"/>
  <c r="W42" i="2"/>
  <c r="W41" i="2"/>
  <c r="W40" i="2"/>
  <c r="W39" i="2"/>
  <c r="W38" i="2"/>
  <c r="W37" i="2"/>
  <c r="G23" i="6"/>
  <c r="H23" i="6"/>
  <c r="F23" i="6"/>
  <c r="E23" i="6"/>
  <c r="AH23" i="6"/>
  <c r="AI23" i="6"/>
  <c r="AJ23" i="6"/>
  <c r="AK23" i="6"/>
  <c r="AL23" i="6"/>
  <c r="AG23" i="6"/>
  <c r="AA36" i="2"/>
  <c r="Z36" i="2"/>
  <c r="AA64" i="2"/>
  <c r="Z64" i="2"/>
  <c r="AA62" i="2"/>
  <c r="Z62" i="2"/>
  <c r="Y62" i="2"/>
  <c r="Y64" i="2" s="1"/>
  <c r="X62" i="2"/>
  <c r="X64" i="2" s="1"/>
  <c r="AA55" i="2"/>
  <c r="AA65" i="2" s="1"/>
  <c r="Z55" i="2"/>
  <c r="Z65" i="2" s="1"/>
  <c r="AA48" i="2"/>
  <c r="Z48" i="2"/>
  <c r="X48" i="2"/>
  <c r="X55" i="2" s="1"/>
  <c r="AA30" i="2"/>
  <c r="Z30" i="2"/>
  <c r="Y30" i="2"/>
  <c r="X30" i="2"/>
  <c r="AA29" i="2"/>
  <c r="Z29" i="2"/>
  <c r="X29" i="2"/>
  <c r="AA28" i="2"/>
  <c r="Z28" i="2"/>
  <c r="AA27" i="2"/>
  <c r="Z27" i="2"/>
  <c r="AA26" i="2"/>
  <c r="Z26" i="2"/>
  <c r="AA25" i="2"/>
  <c r="Z25" i="2"/>
  <c r="AA23" i="2"/>
  <c r="Z23" i="2"/>
  <c r="X6" i="2"/>
  <c r="X28" i="2" s="1"/>
  <c r="Y6" i="2"/>
  <c r="Z6" i="2"/>
  <c r="AA6" i="2"/>
  <c r="C32" i="1"/>
  <c r="C30" i="1"/>
  <c r="C29" i="1"/>
  <c r="C25" i="1"/>
  <c r="C24" i="1"/>
  <c r="C23" i="1"/>
  <c r="C22" i="1"/>
  <c r="C21" i="1"/>
  <c r="C20" i="1"/>
  <c r="C17" i="1"/>
  <c r="C15" i="1"/>
  <c r="C14" i="1"/>
  <c r="C13" i="1"/>
  <c r="C9" i="1"/>
  <c r="C7" i="1"/>
  <c r="I19" i="2"/>
  <c r="H19" i="2"/>
  <c r="O18" i="2"/>
  <c r="O16" i="2"/>
  <c r="O15" i="2"/>
  <c r="O13" i="2"/>
  <c r="O12" i="2"/>
  <c r="O11" i="2"/>
  <c r="O9" i="2"/>
  <c r="O8" i="2"/>
  <c r="O5" i="2"/>
  <c r="O4" i="2"/>
  <c r="O3" i="2"/>
  <c r="S29" i="2" s="1"/>
  <c r="P53" i="2"/>
  <c r="Q61" i="2"/>
  <c r="Q52" i="2"/>
  <c r="R61" i="2"/>
  <c r="R52" i="2"/>
  <c r="O63" i="2"/>
  <c r="O61" i="2"/>
  <c r="O60" i="2"/>
  <c r="O59" i="2"/>
  <c r="O58" i="2"/>
  <c r="O57" i="2"/>
  <c r="O56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40" i="2"/>
  <c r="O39" i="2"/>
  <c r="O38" i="2"/>
  <c r="O36" i="2" s="1"/>
  <c r="O37" i="2"/>
  <c r="S18" i="2"/>
  <c r="S16" i="2"/>
  <c r="S15" i="2"/>
  <c r="S13" i="2"/>
  <c r="S12" i="2"/>
  <c r="S11" i="2"/>
  <c r="S9" i="2"/>
  <c r="S8" i="2"/>
  <c r="S5" i="2"/>
  <c r="S4" i="2"/>
  <c r="S3" i="2"/>
  <c r="W18" i="2"/>
  <c r="W16" i="2"/>
  <c r="W13" i="2"/>
  <c r="W12" i="2"/>
  <c r="W11" i="2"/>
  <c r="W9" i="2"/>
  <c r="W8" i="2"/>
  <c r="W5" i="2"/>
  <c r="W4" i="2"/>
  <c r="W3" i="2"/>
  <c r="W30" i="2"/>
  <c r="W29" i="2"/>
  <c r="U30" i="2"/>
  <c r="T30" i="2"/>
  <c r="S30" i="2"/>
  <c r="R30" i="2"/>
  <c r="Q30" i="2"/>
  <c r="P30" i="2"/>
  <c r="U29" i="2"/>
  <c r="T29" i="2"/>
  <c r="R29" i="2"/>
  <c r="Q29" i="2"/>
  <c r="P29" i="2"/>
  <c r="V30" i="2"/>
  <c r="V29" i="2"/>
  <c r="S63" i="2"/>
  <c r="S61" i="2"/>
  <c r="S60" i="2"/>
  <c r="S59" i="2"/>
  <c r="S58" i="2"/>
  <c r="S57" i="2"/>
  <c r="S56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M36" i="2"/>
  <c r="N36" i="2"/>
  <c r="P36" i="2"/>
  <c r="Q36" i="2"/>
  <c r="R36" i="2"/>
  <c r="T36" i="2"/>
  <c r="U36" i="2"/>
  <c r="V36" i="2"/>
  <c r="X36" i="2"/>
  <c r="Y36" i="2"/>
  <c r="L36" i="2"/>
  <c r="V26" i="2"/>
  <c r="V27" i="2"/>
  <c r="V28" i="2"/>
  <c r="Y65" i="2" l="1"/>
  <c r="Y25" i="2"/>
  <c r="X65" i="2"/>
  <c r="X25" i="2"/>
  <c r="X27" i="2"/>
  <c r="X26" i="2"/>
  <c r="W36" i="2"/>
  <c r="S36" i="2"/>
  <c r="V21" i="2"/>
  <c r="V17" i="2"/>
  <c r="M6" i="2"/>
  <c r="N6" i="2"/>
  <c r="O6" i="2"/>
  <c r="P6" i="2"/>
  <c r="Q6" i="2"/>
  <c r="R6" i="2"/>
  <c r="S6" i="2"/>
  <c r="T6" i="2"/>
  <c r="U6" i="2"/>
  <c r="V6" i="2"/>
  <c r="W6" i="2"/>
  <c r="L6" i="2"/>
  <c r="F25" i="2"/>
  <c r="F36" i="2"/>
  <c r="E36" i="2"/>
  <c r="D36" i="2"/>
  <c r="C36" i="2"/>
  <c r="G36" i="2"/>
  <c r="O28" i="2" l="1"/>
  <c r="O27" i="2"/>
  <c r="O26" i="2"/>
  <c r="L26" i="2"/>
  <c r="L28" i="2"/>
  <c r="L27" i="2"/>
  <c r="M27" i="2"/>
  <c r="M26" i="2"/>
  <c r="M28" i="2"/>
  <c r="N27" i="2"/>
  <c r="N26" i="2"/>
  <c r="S28" i="2"/>
  <c r="S27" i="2"/>
  <c r="S26" i="2"/>
  <c r="W26" i="2"/>
  <c r="W28" i="2"/>
  <c r="W27" i="2"/>
  <c r="T26" i="2"/>
  <c r="T27" i="2"/>
  <c r="P27" i="2"/>
  <c r="P28" i="2"/>
  <c r="P26" i="2"/>
  <c r="Q26" i="2"/>
  <c r="Q28" i="2"/>
  <c r="Q27" i="2"/>
  <c r="U28" i="2"/>
  <c r="U26" i="2"/>
  <c r="U27" i="2"/>
  <c r="R27" i="2"/>
  <c r="R26" i="2"/>
  <c r="R28" i="2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AF23" i="6"/>
  <c r="AE23" i="6"/>
  <c r="AD23" i="6"/>
  <c r="AC23" i="6"/>
  <c r="AB23" i="6"/>
  <c r="AA23" i="6"/>
  <c r="Z23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1" i="2"/>
  <c r="M10" i="2"/>
  <c r="M14" i="2" s="1"/>
  <c r="N14" i="2"/>
  <c r="N17" i="2" s="1"/>
  <c r="O10" i="2"/>
  <c r="O14" i="2" s="1"/>
  <c r="P10" i="2"/>
  <c r="P14" i="2" s="1"/>
  <c r="Q10" i="2"/>
  <c r="Q14" i="2" s="1"/>
  <c r="R10" i="2"/>
  <c r="R14" i="2" s="1"/>
  <c r="S10" i="2"/>
  <c r="S14" i="2" s="1"/>
  <c r="T10" i="2"/>
  <c r="T14" i="2" s="1"/>
  <c r="U10" i="2"/>
  <c r="U14" i="2" s="1"/>
  <c r="V10" i="2"/>
  <c r="W10" i="2"/>
  <c r="W14" i="2" s="1"/>
  <c r="X10" i="2"/>
  <c r="Y10" i="2"/>
  <c r="L10" i="2"/>
  <c r="L14" i="2" s="1"/>
  <c r="D10" i="2"/>
  <c r="E10" i="2"/>
  <c r="F10" i="2"/>
  <c r="G10" i="2"/>
  <c r="H10" i="2"/>
  <c r="H14" i="2" s="1"/>
  <c r="H17" i="2" s="1"/>
  <c r="I10" i="2"/>
  <c r="I14" i="2" s="1"/>
  <c r="I17" i="2" s="1"/>
  <c r="C10" i="2"/>
  <c r="Y14" i="2" l="1"/>
  <c r="Y17" i="2" s="1"/>
  <c r="Y19" i="2" s="1"/>
  <c r="Y24" i="2" s="1"/>
  <c r="Y23" i="2"/>
  <c r="X14" i="2"/>
  <c r="X17" i="2" s="1"/>
  <c r="X19" i="2" s="1"/>
  <c r="X23" i="2"/>
  <c r="O17" i="2"/>
  <c r="O19" i="2" s="1"/>
  <c r="O21" i="2" s="1"/>
  <c r="L17" i="2"/>
  <c r="L19" i="2" s="1"/>
  <c r="L21" i="2" s="1"/>
  <c r="M17" i="2"/>
  <c r="M19" i="2" s="1"/>
  <c r="M21" i="2" s="1"/>
  <c r="N19" i="2"/>
  <c r="N21" i="2" s="1"/>
  <c r="S17" i="2"/>
  <c r="S19" i="2" s="1"/>
  <c r="S21" i="2" s="1"/>
  <c r="W17" i="2"/>
  <c r="W19" i="2" s="1"/>
  <c r="W21" i="2" s="1"/>
  <c r="T17" i="2"/>
  <c r="T19" i="2" s="1"/>
  <c r="T21" i="2" s="1"/>
  <c r="P17" i="2"/>
  <c r="P19" i="2" s="1"/>
  <c r="P21" i="2" s="1"/>
  <c r="Q17" i="2"/>
  <c r="Q19" i="2" s="1"/>
  <c r="Q21" i="2" s="1"/>
  <c r="U17" i="2"/>
  <c r="U19" i="2" s="1"/>
  <c r="U21" i="2" s="1"/>
  <c r="R17" i="2"/>
  <c r="R19" i="2" s="1"/>
  <c r="R21" i="2" s="1"/>
  <c r="V14" i="2"/>
  <c r="V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1" i="2" l="1"/>
  <c r="Y31" i="2" s="1"/>
  <c r="X21" i="2"/>
  <c r="X24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E23" i="2" s="1"/>
  <c r="F6" i="2"/>
  <c r="G6" i="2"/>
  <c r="M24" i="2"/>
  <c r="N24" i="2"/>
  <c r="O24" i="2"/>
  <c r="L23" i="2"/>
  <c r="M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W25" i="2"/>
  <c r="L48" i="2"/>
  <c r="L55" i="2" s="1"/>
  <c r="M48" i="2"/>
  <c r="M55" i="2" s="1"/>
  <c r="N48" i="2"/>
  <c r="N55" i="2" s="1"/>
  <c r="O48" i="2"/>
  <c r="O55" i="2" s="1"/>
  <c r="P48" i="2"/>
  <c r="P55" i="2" s="1"/>
  <c r="Q48" i="2"/>
  <c r="Q55" i="2" s="1"/>
  <c r="R48" i="2"/>
  <c r="R55" i="2" s="1"/>
  <c r="S48" i="2"/>
  <c r="S55" i="2" s="1"/>
  <c r="T48" i="2"/>
  <c r="T55" i="2" s="1"/>
  <c r="U48" i="2"/>
  <c r="U55" i="2" s="1"/>
  <c r="V48" i="2"/>
  <c r="V55" i="2" s="1"/>
  <c r="W48" i="2"/>
  <c r="W55" i="2" s="1"/>
  <c r="L62" i="2"/>
  <c r="L64" i="2" s="1"/>
  <c r="M62" i="2"/>
  <c r="M64" i="2" s="1"/>
  <c r="N62" i="2"/>
  <c r="N64" i="2" s="1"/>
  <c r="O62" i="2"/>
  <c r="O64" i="2" s="1"/>
  <c r="P62" i="2"/>
  <c r="P64" i="2" s="1"/>
  <c r="Q62" i="2"/>
  <c r="Q64" i="2" s="1"/>
  <c r="R62" i="2"/>
  <c r="R64" i="2" s="1"/>
  <c r="S62" i="2"/>
  <c r="S64" i="2" s="1"/>
  <c r="T62" i="2"/>
  <c r="T64" i="2" s="1"/>
  <c r="U62" i="2"/>
  <c r="U64" i="2" s="1"/>
  <c r="V62" i="2"/>
  <c r="V64" i="2" s="1"/>
  <c r="W62" i="2"/>
  <c r="W64" i="2" s="1"/>
  <c r="C48" i="2"/>
  <c r="C55" i="2" s="1"/>
  <c r="D48" i="2"/>
  <c r="D55" i="2" s="1"/>
  <c r="E48" i="2"/>
  <c r="E55" i="2" s="1"/>
  <c r="I24" i="2"/>
  <c r="H24" i="2"/>
  <c r="I25" i="2"/>
  <c r="E30" i="2"/>
  <c r="F30" i="2"/>
  <c r="G30" i="2"/>
  <c r="E29" i="2"/>
  <c r="F29" i="2"/>
  <c r="G29" i="2"/>
  <c r="F14" i="2" l="1"/>
  <c r="F28" i="2"/>
  <c r="D14" i="2"/>
  <c r="D28" i="2"/>
  <c r="G14" i="2"/>
  <c r="G28" i="2"/>
  <c r="E14" i="2"/>
  <c r="E28" i="2"/>
  <c r="C14" i="2"/>
  <c r="C27" i="2"/>
  <c r="C28" i="2"/>
  <c r="C26" i="2"/>
  <c r="W65" i="2"/>
  <c r="O65" i="2"/>
  <c r="S65" i="2"/>
  <c r="T65" i="2"/>
  <c r="V65" i="2"/>
  <c r="N65" i="2"/>
  <c r="M65" i="2"/>
  <c r="U65" i="2"/>
  <c r="L65" i="2"/>
  <c r="R65" i="2"/>
  <c r="Q65" i="2"/>
  <c r="P65" i="2"/>
  <c r="K11" i="5"/>
  <c r="L24" i="2"/>
  <c r="G26" i="2"/>
  <c r="G27" i="2"/>
  <c r="F27" i="2"/>
  <c r="E26" i="2"/>
  <c r="E27" i="2"/>
  <c r="D26" i="2"/>
  <c r="D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P24" i="2"/>
  <c r="S24" i="2"/>
  <c r="W24" i="2"/>
  <c r="V24" i="2"/>
  <c r="U24" i="2"/>
  <c r="R24" i="2"/>
  <c r="Q24" i="2"/>
  <c r="C23" i="2"/>
  <c r="H25" i="2"/>
  <c r="F23" i="2"/>
  <c r="F26" i="2"/>
  <c r="D23" i="2"/>
  <c r="G23" i="2"/>
  <c r="G25" i="2"/>
  <c r="G62" i="2"/>
  <c r="G64" i="2" s="1"/>
  <c r="G48" i="2"/>
  <c r="G55" i="2" s="1"/>
  <c r="E25" i="2"/>
  <c r="D25" i="2"/>
  <c r="D62" i="2"/>
  <c r="D64" i="2" s="1"/>
  <c r="D65" i="2" s="1"/>
  <c r="E62" i="2"/>
  <c r="F48" i="2"/>
  <c r="F55" i="2" s="1"/>
  <c r="G17" i="2" l="1"/>
  <c r="G19" i="2" s="1"/>
  <c r="E17" i="2"/>
  <c r="E19" i="2" s="1"/>
  <c r="D17" i="2"/>
  <c r="D19" i="2" s="1"/>
  <c r="C17" i="2"/>
  <c r="C19" i="2" s="1"/>
  <c r="F17" i="2"/>
  <c r="F19" i="2" s="1"/>
  <c r="G6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2" i="2"/>
  <c r="F64" i="2" s="1"/>
  <c r="F65" i="2" s="1"/>
  <c r="E64" i="2"/>
  <c r="E65" i="2" s="1"/>
  <c r="C62" i="2"/>
  <c r="C64" i="2" s="1"/>
  <c r="C65" i="2" s="1"/>
  <c r="C18" i="1" l="1"/>
  <c r="C21" i="2"/>
  <c r="E21" i="2"/>
  <c r="D24" i="2"/>
  <c r="G31" i="2"/>
  <c r="G21" i="2"/>
  <c r="H31" i="2" s="1"/>
  <c r="G24" i="2"/>
  <c r="C24" i="2" l="1"/>
  <c r="D31" i="2"/>
  <c r="E24" i="2"/>
  <c r="F31" i="2"/>
  <c r="F21" i="2"/>
  <c r="E31" i="2"/>
  <c r="D2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<sst xmlns="http://schemas.openxmlformats.org/spreadsheetml/2006/main" count="248" uniqueCount="230">
  <si>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</si>
  <si>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</si>
  <si>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</si>
  <si>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</si>
  <si>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</si>
  <si>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</si>
  <si>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</si>
  <si>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</si>
  <si>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</si>
  <si>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</si>
  <si>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</si>
  <si>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</si>
  <si>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</si>
  <si>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</si>
  <si>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</si>
  <si>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</si>
  <si>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</si>
  <si>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</si>
  <si>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</si>
  <si>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</si>
  <si>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</si>
  <si>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</si>
  <si>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</si>
  <si>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</si>
  <si>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</si>
  <si>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</si>
  <si>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</si>
  <si>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</si>
  <si>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</si>
  <si>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</si>
  <si>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</si>
  <si>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</si>
  <si>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</si>
  <si>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</si>
  <si>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</si>
  <si>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</si>
  <si>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</si>
  <si>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</si>
  <si>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</si>
  <si>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</si>
  <si>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</si>
  <si>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</si>
  <si>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</si>
  <si>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</si>
  <si>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</si>
  <si>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</si>
  <si>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</si>
  <si>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</si>
  <si>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</si>
  <si>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</si>
  <si>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</si>
  <si>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</si>
  <si>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</si>
  <si>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</si>
  <si>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</si>
  <si>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</si>
  <si>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</si>
  <si>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</si>
  <si>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</si>
  <si>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</si>
  <si>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</si>
  <si>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</si>
  <si>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</si>
  <si>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</si>
  <si>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</si>
  <si>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</si>
  <si>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</si>
  <si>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</si>
  <si>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</si>
  <si>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</si>
  <si>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</si>
  <si>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</si>
  <si>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</si>
  <si>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</si>
  <si>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</si>
  <si>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</si>
  <si>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</si>
  <si>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</si>
  <si>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</si>
  <si>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</si>
  <si>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</si>
  <si>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</si>
  <si>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</si>
  <si>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</si>
  <si>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</si>
  <si>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</si>
  <si>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</si>
  <si>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</si>
  <si>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</si>
  <si>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</si>
  <si>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</si>
  <si>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</si>
  <si>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</si>
  <si>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</si>
  <si>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</si>
  <si>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</si>
  <si>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</si>
  <si>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</si>
  <si>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</si>
  <si>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</si>
  <si>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</si>
  <si>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</si>
  <si>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</si>
  <si>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</si>
  <si>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</si>
  <si>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</si>
  <si>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</si>
  <si>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</si>
  <si>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</si>
  <si>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</si>
  <si>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</si>
  <si>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</si>
  <si>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</si>
  <si>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</si>
  <si>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</si>
  <si>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</si>
  <si>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</si>
  <si>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</si>
  <si>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</si>
  <si>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</si>
  <si>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</si>
  <si>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</si>
  <si>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</si>
  <si>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</si>
  <si>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</si>
  <si>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</si>
  <si>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</si>
  <si>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</si>
  <si>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</si>
  <si>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</si>
  <si>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</si>
  <si>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</si>
  <si>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Vladimir Tenev</t>
  </si>
  <si>
    <t>Co-Founder, President, CEO &amp; Chairman of the Board</t>
  </si>
  <si>
    <t>Mr. Baiju Prafulkumar Bhatt</t>
  </si>
  <si>
    <t>Co-Founder &amp; Director</t>
  </si>
  <si>
    <t>Mr. Jason Warnick</t>
  </si>
  <si>
    <t>Chief Financial Officer</t>
  </si>
  <si>
    <t>Mr. Daniel M. Gallagher Jr.</t>
  </si>
  <si>
    <t>Chief Legal, Compliance &amp; Corporate Affairs Officer</t>
  </si>
  <si>
    <t>Mr. Steven M. Quirk</t>
  </si>
  <si>
    <t>Chief Brokerage Officer</t>
  </si>
  <si>
    <t>Irvin Sha</t>
  </si>
  <si>
    <t>Head of Investor Relations &amp; Capital Markets</t>
  </si>
  <si>
    <t>Ms. Mary Elizabeth Taylor</t>
  </si>
  <si>
    <t>VP &amp; Head of External Affairs</t>
  </si>
  <si>
    <t>Surabhi Gupta</t>
  </si>
  <si>
    <t>Head of Engineering</t>
  </si>
  <si>
    <t>Ms. Christina Y. Lai Esq.</t>
  </si>
  <si>
    <t>VP, Deputy General Counsel &amp; Secretary</t>
  </si>
  <si>
    <t>Mr. Chris Koegel</t>
  </si>
  <si>
    <t>Vice President of Investor Relations</t>
  </si>
  <si>
    <t>Vanguard Group Inc</t>
  </si>
  <si>
    <t>7.40%</t>
  </si>
  <si>
    <t>Galileo (ptc) Ltd</t>
  </si>
  <si>
    <t>7.25%</t>
  </si>
  <si>
    <t>Index Venture Associates VI Ltd</t>
  </si>
  <si>
    <t>6.71%</t>
  </si>
  <si>
    <t>Ribbit Management Company, LLC</t>
  </si>
  <si>
    <t>5.83%</t>
  </si>
  <si>
    <t>Blackrock Inc.</t>
  </si>
  <si>
    <t>3.96%</t>
  </si>
  <si>
    <t>ARK Investment Management, LLC</t>
  </si>
  <si>
    <t>3.47%</t>
  </si>
  <si>
    <t>Sumitomo Mitsui Trust Holdings, Inc.</t>
  </si>
  <si>
    <t>3.46%</t>
  </si>
  <si>
    <t>Nikko Asset Management Americas, Inc.</t>
  </si>
  <si>
    <t>3.34%</t>
  </si>
  <si>
    <t>Newlands Management Operations LLC</t>
  </si>
  <si>
    <t>2.79%</t>
  </si>
  <si>
    <t>Thrive Capital Management, LLC</t>
  </si>
  <si>
    <t>2.70%</t>
  </si>
  <si>
    <t>FREI FRANCES X</t>
  </si>
  <si>
    <t>GALLAGHER DANIEL MARTIN JR</t>
  </si>
  <si>
    <t>MALKA MEYER</t>
  </si>
  <si>
    <t>QUIRK STEVEN M</t>
  </si>
  <si>
    <t>RUBINSTEIN JONATHAN J</t>
  </si>
  <si>
    <t>TENEV VLADIMIR</t>
  </si>
  <si>
    <t>TRESEDER OLUWADARA JOHNSOND</t>
  </si>
  <si>
    <t>WARNICK JASON</t>
  </si>
  <si>
    <t>ZOELLICK ROBERT B.</t>
  </si>
  <si>
    <t>Funded Customers</t>
  </si>
  <si>
    <t>Total AUC</t>
  </si>
  <si>
    <t>Net Deposits</t>
  </si>
  <si>
    <t>Trading</t>
  </si>
  <si>
    <t>Equity $B</t>
  </si>
  <si>
    <t>Options Contracts (M)</t>
  </si>
  <si>
    <t>Crypto $B</t>
  </si>
  <si>
    <t>Daily Average Revenue Trades (DARTs) (M)</t>
  </si>
  <si>
    <t>Options</t>
  </si>
  <si>
    <t>Crypto</t>
  </si>
  <si>
    <t>Customer Margin and Cash Sweep Balances $B</t>
  </si>
  <si>
    <t>Margin Book</t>
  </si>
  <si>
    <t>Gold Cash Sweep</t>
  </si>
  <si>
    <t>Non-Gold Cash Sweep</t>
  </si>
  <si>
    <t>Total Cash Sweep</t>
  </si>
  <si>
    <t>Total Securities Lending Revenue $M</t>
  </si>
  <si>
    <t>Assets under Custody AUC $B</t>
  </si>
  <si>
    <t>Cash segregated</t>
  </si>
  <si>
    <t>Receivables from brokers</t>
  </si>
  <si>
    <t>Receivables from users</t>
  </si>
  <si>
    <t>Securities Borrowed</t>
  </si>
  <si>
    <t>Deposits with clearing org</t>
  </si>
  <si>
    <t>Asset related to user crypto</t>
  </si>
  <si>
    <t>User-held fractional shares</t>
  </si>
  <si>
    <t>Held-to-maturity investments</t>
  </si>
  <si>
    <t>Other current</t>
  </si>
  <si>
    <t>Intangible Assets</t>
  </si>
  <si>
    <t>Non-current held to maturity</t>
  </si>
  <si>
    <t>Non-current prepraid expense</t>
  </si>
  <si>
    <t>Payables to users</t>
  </si>
  <si>
    <t>Securities loaned</t>
  </si>
  <si>
    <t>User crypto safeguarding</t>
  </si>
  <si>
    <t>Fractional shares</t>
  </si>
  <si>
    <t>Other non-current</t>
  </si>
  <si>
    <t>Transaction based</t>
  </si>
  <si>
    <t>Net interest</t>
  </si>
  <si>
    <t>Brokerage and transaction</t>
  </si>
  <si>
    <t>Tech and dev</t>
  </si>
  <si>
    <t>Operations</t>
  </si>
  <si>
    <t>Marketing</t>
  </si>
  <si>
    <t>Operations / REV</t>
  </si>
  <si>
    <t>Marketing / REV</t>
  </si>
  <si>
    <t>Transaction y/y</t>
  </si>
  <si>
    <t>Interest y/y</t>
  </si>
  <si>
    <t>Change in fair value convert.</t>
  </si>
  <si>
    <t>Q324</t>
  </si>
  <si>
    <t>Q424</t>
  </si>
  <si>
    <t>MAUs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</si>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</sst>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9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9" fontId="5" fillId="0" borderId="0" xfId="1" applyFont="1" applyFill="1"/>
    <xf numFmtId="9" fontId="5" fillId="0" borderId="0" xfId="0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169" fontId="0" fillId="0" borderId="0" xfId="0" applyNumberFormat="1"/>
    <xf numFmtId="3" fontId="0" fillId="0" borderId="0" xfId="0" applyNumberFormat="1" applyFill="1" applyBorder="1"/>
    <xf numFmtId="3" fontId="0" fillId="3" borderId="0" xfId="0" applyNumberFormat="1" applyFill="1"/>
    <xf numFmtId="3" fontId="5" fillId="3" borderId="2" xfId="0" applyNumberFormat="1" applyFont="1" applyFill="1" applyBorder="1"/>
    <xf numFmtId="2" fontId="2" fillId="3" borderId="0" xfId="0" applyNumberFormat="1" applyFont="1" applyFill="1" applyAlignment="1">
      <alignment horizontal="right"/>
    </xf>
    <xf numFmtId="2" fontId="2" fillId="3" borderId="2" xfId="0" applyNumberFormat="1" applyFont="1" applyFill="1" applyBorder="1" applyAlignment="1">
      <alignment horizontal="right"/>
    </xf>
    <xf numFmtId="10" fontId="2" fillId="0" borderId="0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522</c:v>
                </c:pt>
                <c:pt idx="1">
                  <c:v>565</c:v>
                </c:pt>
                <c:pt idx="2">
                  <c:v>355</c:v>
                </c:pt>
                <c:pt idx="3">
                  <c:v>373</c:v>
                </c:pt>
                <c:pt idx="4">
                  <c:v>299</c:v>
                </c:pt>
                <c:pt idx="5">
                  <c:v>318</c:v>
                </c:pt>
                <c:pt idx="6">
                  <c:v>361</c:v>
                </c:pt>
                <c:pt idx="7">
                  <c:v>380</c:v>
                </c:pt>
                <c:pt idx="8">
                  <c:v>441</c:v>
                </c:pt>
                <c:pt idx="9">
                  <c:v>486</c:v>
                </c:pt>
                <c:pt idx="10">
                  <c:v>467</c:v>
                </c:pt>
                <c:pt idx="11">
                  <c:v>471</c:v>
                </c:pt>
                <c:pt idx="1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-0.42720306513409967</c:v>
                </c:pt>
                <c:pt idx="5">
                  <c:v>-0.43716814159292039</c:v>
                </c:pt>
                <c:pt idx="6">
                  <c:v>1.6901408450704203E-2</c:v>
                </c:pt>
                <c:pt idx="7">
                  <c:v>1.8766756032171594E-2</c:v>
                </c:pt>
                <c:pt idx="8">
                  <c:v>0.47491638795986613</c:v>
                </c:pt>
                <c:pt idx="9">
                  <c:v>0.52830188679245293</c:v>
                </c:pt>
                <c:pt idx="10">
                  <c:v>0.29362880886426601</c:v>
                </c:pt>
                <c:pt idx="11">
                  <c:v>0.23947368421052628</c:v>
                </c:pt>
                <c:pt idx="12">
                  <c:v>0.40136054421768708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D5-4661-905D-F1F01CD0D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277.53299999999996</c:v>
                </c:pt>
                <c:pt idx="1">
                  <c:v>958.83300000000008</c:v>
                </c:pt>
                <c:pt idx="2">
                  <c:v>1815</c:v>
                </c:pt>
                <c:pt idx="3">
                  <c:v>1358</c:v>
                </c:pt>
                <c:pt idx="4">
                  <c:v>1865</c:v>
                </c:pt>
                <c:pt idx="5">
                  <c:v>2620</c:v>
                </c:pt>
                <c:pt idx="6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2.4548432078347449</c:v>
                </c:pt>
                <c:pt idx="2">
                  <c:v>0.89292608827606035</c:v>
                </c:pt>
                <c:pt idx="3">
                  <c:v>-0.25179063360881537</c:v>
                </c:pt>
                <c:pt idx="4">
                  <c:v>0.37334315169366716</c:v>
                </c:pt>
                <c:pt idx="5">
                  <c:v>0.4048257372654156</c:v>
                </c:pt>
                <c:pt idx="6">
                  <c:v>6.8702290076335881E-2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-1445</c:v>
                </c:pt>
                <c:pt idx="1">
                  <c:v>-502</c:v>
                </c:pt>
                <c:pt idx="2">
                  <c:v>-1327</c:v>
                </c:pt>
                <c:pt idx="3">
                  <c:v>-413</c:v>
                </c:pt>
                <c:pt idx="4">
                  <c:v>-392</c:v>
                </c:pt>
                <c:pt idx="5">
                  <c:v>-295</c:v>
                </c:pt>
                <c:pt idx="6">
                  <c:v>-175</c:v>
                </c:pt>
                <c:pt idx="7">
                  <c:v>-166</c:v>
                </c:pt>
                <c:pt idx="8">
                  <c:v>-511</c:v>
                </c:pt>
                <c:pt idx="9">
                  <c:v>25</c:v>
                </c:pt>
                <c:pt idx="10">
                  <c:v>-85</c:v>
                </c:pt>
                <c:pt idx="11">
                  <c:v>30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0.69731800766283525</c:v>
                </c:pt>
                <c:pt idx="1">
                  <c:v>0.6566371681415929</c:v>
                </c:pt>
                <c:pt idx="3">
                  <c:v>0.15013404825737264</c:v>
                </c:pt>
                <c:pt idx="4">
                  <c:v>0</c:v>
                </c:pt>
                <c:pt idx="5">
                  <c:v>0.13522012578616349</c:v>
                </c:pt>
                <c:pt idx="6">
                  <c:v>0.39612188365650969</c:v>
                </c:pt>
                <c:pt idx="7">
                  <c:v>0.30263157894736847</c:v>
                </c:pt>
                <c:pt idx="8">
                  <c:v>0.46712018140589573</c:v>
                </c:pt>
                <c:pt idx="9">
                  <c:v>0.49382716049382713</c:v>
                </c:pt>
                <c:pt idx="10">
                  <c:v>0.48394004282655245</c:v>
                </c:pt>
                <c:pt idx="11">
                  <c:v>0.5138004246284501</c:v>
                </c:pt>
                <c:pt idx="12">
                  <c:v>0.62621359223300965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#,##0</c:formatCode>
                <c:ptCount val="7"/>
                <c:pt idx="0">
                  <c:v>-106.56900000000006</c:v>
                </c:pt>
                <c:pt idx="1">
                  <c:v>7.4490000000002006</c:v>
                </c:pt>
                <c:pt idx="2">
                  <c:v>-3687</c:v>
                </c:pt>
                <c:pt idx="3">
                  <c:v>-1028</c:v>
                </c:pt>
                <c:pt idx="4">
                  <c:v>-541</c:v>
                </c:pt>
                <c:pt idx="5">
                  <c:v>641.52</c:v>
                </c:pt>
                <c:pt idx="6">
                  <c:v>668.25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Model!$C$31:$I$31</c:f>
              <c:numCache>
                <c:formatCode>0%</c:formatCode>
                <c:ptCount val="7"/>
                <c:pt idx="1">
                  <c:v>1.0698983757002525</c:v>
                </c:pt>
                <c:pt idx="2">
                  <c:v>495.96576721706276</c:v>
                </c:pt>
                <c:pt idx="3">
                  <c:v>-0.72118253322484405</c:v>
                </c:pt>
                <c:pt idx="4">
                  <c:v>-0.47373540856031127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Operations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0.12835249042145594</c:v>
                </c:pt>
                <c:pt idx="1">
                  <c:v>0.17876106194690267</c:v>
                </c:pt>
                <c:pt idx="2">
                  <c:v>0.30422535211267604</c:v>
                </c:pt>
                <c:pt idx="3">
                  <c:v>0.24664879356568364</c:v>
                </c:pt>
                <c:pt idx="4">
                  <c:v>0.30434782608695654</c:v>
                </c:pt>
                <c:pt idx="5">
                  <c:v>0.27044025157232704</c:v>
                </c:pt>
                <c:pt idx="6">
                  <c:v>0.18005540166204986</c:v>
                </c:pt>
                <c:pt idx="7">
                  <c:v>0.11315789473684211</c:v>
                </c:pt>
                <c:pt idx="8">
                  <c:v>9.5238095238095233E-2</c:v>
                </c:pt>
                <c:pt idx="9">
                  <c:v>7.407407407407407E-2</c:v>
                </c:pt>
                <c:pt idx="10">
                  <c:v>8.7794432548179868E-2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0.19540229885057472</c:v>
                </c:pt>
                <c:pt idx="1">
                  <c:v>0.1663716814159292</c:v>
                </c:pt>
                <c:pt idx="2">
                  <c:v>0.24507042253521127</c:v>
                </c:pt>
                <c:pt idx="3">
                  <c:v>0.1126005361930295</c:v>
                </c:pt>
                <c:pt idx="4">
                  <c:v>0.10702341137123746</c:v>
                </c:pt>
                <c:pt idx="5">
                  <c:v>7.2327044025157231E-2</c:v>
                </c:pt>
                <c:pt idx="6">
                  <c:v>5.2631578947368418E-2</c:v>
                </c:pt>
                <c:pt idx="7">
                  <c:v>7.6315789473684212E-2</c:v>
                </c:pt>
                <c:pt idx="8">
                  <c:v>5.8956916099773243E-2</c:v>
                </c:pt>
                <c:pt idx="9">
                  <c:v>5.1440329218106998E-2</c:v>
                </c:pt>
                <c:pt idx="10">
                  <c:v>5.9957173447537475E-2</c:v>
                </c:pt>
                <c:pt idx="11">
                  <c:v>9.1295116772823773E-2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0.26245210727969348</c:v>
                </c:pt>
                <c:pt idx="1">
                  <c:v>0.19823008849557522</c:v>
                </c:pt>
                <c:pt idx="3">
                  <c:v>0.89008042895442363</c:v>
                </c:pt>
                <c:pt idx="4">
                  <c:v>0.89632107023411367</c:v>
                </c:pt>
                <c:pt idx="5">
                  <c:v>0.71069182389937102</c:v>
                </c:pt>
                <c:pt idx="6">
                  <c:v>0.64542936288088648</c:v>
                </c:pt>
                <c:pt idx="7">
                  <c:v>0.51842105263157889</c:v>
                </c:pt>
                <c:pt idx="9">
                  <c:v>0.3271604938271605</c:v>
                </c:pt>
                <c:pt idx="10">
                  <c:v>0.49250535331905781</c:v>
                </c:pt>
                <c:pt idx="11">
                  <c:v>0.28237791932059447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Operations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0.12203593806862609</c:v>
                </c:pt>
                <c:pt idx="1">
                  <c:v>0.14382588000204413</c:v>
                </c:pt>
                <c:pt idx="2">
                  <c:v>0.20275482093663913</c:v>
                </c:pt>
                <c:pt idx="3">
                  <c:v>0.20986745213549338</c:v>
                </c:pt>
                <c:pt idx="4">
                  <c:v>8.5254691689008039E-2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0.44931233402874621</c:v>
                </c:pt>
                <c:pt idx="1">
                  <c:v>0.19371569397382027</c:v>
                </c:pt>
                <c:pt idx="2">
                  <c:v>0.1790633608815427</c:v>
                </c:pt>
                <c:pt idx="3">
                  <c:v>7.5846833578792336E-2</c:v>
                </c:pt>
                <c:pt idx="4">
                  <c:v>6.5415549597855227E-2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0.30808588528211067</c:v>
                </c:pt>
                <c:pt idx="1">
                  <c:v>0.30734653479803054</c:v>
                </c:pt>
                <c:pt idx="2">
                  <c:v>0.75537190082644623</c:v>
                </c:pt>
                <c:pt idx="3">
                  <c:v>0.68041237113402064</c:v>
                </c:pt>
                <c:pt idx="4">
                  <c:v>0.62680965147453083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17.610001</c:v>
                </c:pt>
                <c:pt idx="1">
                  <c:v>17.879999000000002</c:v>
                </c:pt>
                <c:pt idx="2">
                  <c:v>16.629999000000002</c:v>
                </c:pt>
                <c:pt idx="3">
                  <c:v>17.969999000000001</c:v>
                </c:pt>
                <c:pt idx="4">
                  <c:v>18.399999999999999</c:v>
                </c:pt>
                <c:pt idx="5">
                  <c:v>20.129999000000002</c:v>
                </c:pt>
                <c:pt idx="6">
                  <c:v>18.299999</c:v>
                </c:pt>
                <c:pt idx="7">
                  <c:v>18.149999999999999</c:v>
                </c:pt>
                <c:pt idx="8">
                  <c:v>17</c:v>
                </c:pt>
                <c:pt idx="9">
                  <c:v>16.579999999999998</c:v>
                </c:pt>
                <c:pt idx="10">
                  <c:v>14.48</c:v>
                </c:pt>
                <c:pt idx="11">
                  <c:v>14</c:v>
                </c:pt>
                <c:pt idx="12">
                  <c:v>11.55</c:v>
                </c:pt>
                <c:pt idx="13">
                  <c:v>10.92</c:v>
                </c:pt>
                <c:pt idx="14">
                  <c:v>10.79</c:v>
                </c:pt>
                <c:pt idx="15">
                  <c:v>10.71</c:v>
                </c:pt>
                <c:pt idx="16">
                  <c:v>11.02</c:v>
                </c:pt>
                <c:pt idx="17">
                  <c:v>11.89</c:v>
                </c:pt>
                <c:pt idx="18">
                  <c:v>12.74</c:v>
                </c:pt>
                <c:pt idx="19">
                  <c:v>12.95</c:v>
                </c:pt>
                <c:pt idx="20">
                  <c:v>11.69</c:v>
                </c:pt>
                <c:pt idx="21">
                  <c:v>11.73</c:v>
                </c:pt>
                <c:pt idx="22">
                  <c:v>9.32</c:v>
                </c:pt>
                <c:pt idx="23">
                  <c:v>8.2899999999999991</c:v>
                </c:pt>
                <c:pt idx="24">
                  <c:v>8.1</c:v>
                </c:pt>
                <c:pt idx="25">
                  <c:v>8.23</c:v>
                </c:pt>
                <c:pt idx="26">
                  <c:v>9.69</c:v>
                </c:pt>
                <c:pt idx="27">
                  <c:v>8.9</c:v>
                </c:pt>
                <c:pt idx="28">
                  <c:v>9.1300000000000008</c:v>
                </c:pt>
                <c:pt idx="29">
                  <c:v>9.14</c:v>
                </c:pt>
                <c:pt idx="30">
                  <c:v>9.93</c:v>
                </c:pt>
                <c:pt idx="31">
                  <c:v>9.81</c:v>
                </c:pt>
                <c:pt idx="32">
                  <c:v>9.6999999999999993</c:v>
                </c:pt>
                <c:pt idx="33">
                  <c:v>10.67</c:v>
                </c:pt>
                <c:pt idx="34">
                  <c:v>10.74</c:v>
                </c:pt>
                <c:pt idx="35">
                  <c:v>11.11</c:v>
                </c:pt>
                <c:pt idx="36">
                  <c:v>10.54</c:v>
                </c:pt>
                <c:pt idx="37">
                  <c:v>10.25</c:v>
                </c:pt>
                <c:pt idx="38">
                  <c:v>10.72</c:v>
                </c:pt>
                <c:pt idx="39">
                  <c:v>11.28</c:v>
                </c:pt>
                <c:pt idx="40">
                  <c:v>12.73</c:v>
                </c:pt>
                <c:pt idx="41">
                  <c:v>12.76</c:v>
                </c:pt>
                <c:pt idx="42">
                  <c:v>12.38</c:v>
                </c:pt>
                <c:pt idx="43">
                  <c:v>10.79</c:v>
                </c:pt>
                <c:pt idx="44">
                  <c:v>9.98</c:v>
                </c:pt>
                <c:pt idx="45">
                  <c:v>9.49</c:v>
                </c:pt>
                <c:pt idx="46">
                  <c:v>10.029999999999999</c:v>
                </c:pt>
                <c:pt idx="47">
                  <c:v>9.41</c:v>
                </c:pt>
                <c:pt idx="48">
                  <c:v>9.34</c:v>
                </c:pt>
                <c:pt idx="49">
                  <c:v>8.82</c:v>
                </c:pt>
                <c:pt idx="50">
                  <c:v>8.4700000000000006</c:v>
                </c:pt>
                <c:pt idx="51">
                  <c:v>8.74</c:v>
                </c:pt>
                <c:pt idx="52">
                  <c:v>8.85</c:v>
                </c:pt>
                <c:pt idx="53">
                  <c:v>8.85</c:v>
                </c:pt>
                <c:pt idx="54">
                  <c:v>9.64</c:v>
                </c:pt>
                <c:pt idx="55">
                  <c:v>10</c:v>
                </c:pt>
                <c:pt idx="56">
                  <c:v>10.01</c:v>
                </c:pt>
                <c:pt idx="57">
                  <c:v>9.7100000000000009</c:v>
                </c:pt>
                <c:pt idx="58">
                  <c:v>8.68</c:v>
                </c:pt>
                <c:pt idx="59">
                  <c:v>9.19</c:v>
                </c:pt>
                <c:pt idx="60">
                  <c:v>9.01</c:v>
                </c:pt>
                <c:pt idx="61">
                  <c:v>9.9</c:v>
                </c:pt>
                <c:pt idx="62">
                  <c:v>9.59</c:v>
                </c:pt>
                <c:pt idx="63">
                  <c:v>10.35</c:v>
                </c:pt>
                <c:pt idx="64">
                  <c:v>9.98</c:v>
                </c:pt>
                <c:pt idx="65">
                  <c:v>10.74</c:v>
                </c:pt>
                <c:pt idx="66">
                  <c:v>10.39</c:v>
                </c:pt>
                <c:pt idx="67">
                  <c:v>9.52</c:v>
                </c:pt>
                <c:pt idx="68">
                  <c:v>9.32</c:v>
                </c:pt>
                <c:pt idx="69">
                  <c:v>8.25</c:v>
                </c:pt>
                <c:pt idx="70">
                  <c:v>8.14</c:v>
                </c:pt>
                <c:pt idx="71">
                  <c:v>7.95</c:v>
                </c:pt>
                <c:pt idx="72">
                  <c:v>8.61</c:v>
                </c:pt>
                <c:pt idx="73">
                  <c:v>9.31</c:v>
                </c:pt>
                <c:pt idx="74">
                  <c:v>9.99</c:v>
                </c:pt>
                <c:pt idx="75">
                  <c:v>9.39</c:v>
                </c:pt>
                <c:pt idx="76">
                  <c:v>9.19</c:v>
                </c:pt>
                <c:pt idx="77">
                  <c:v>10.47</c:v>
                </c:pt>
                <c:pt idx="78">
                  <c:v>12.28</c:v>
                </c:pt>
                <c:pt idx="79">
                  <c:v>11.5</c:v>
                </c:pt>
                <c:pt idx="80">
                  <c:v>10.14</c:v>
                </c:pt>
                <c:pt idx="81">
                  <c:v>9.89</c:v>
                </c:pt>
                <c:pt idx="82">
                  <c:v>10.8</c:v>
                </c:pt>
                <c:pt idx="83">
                  <c:v>10.1</c:v>
                </c:pt>
                <c:pt idx="84">
                  <c:v>9.44</c:v>
                </c:pt>
                <c:pt idx="85">
                  <c:v>10.25</c:v>
                </c:pt>
                <c:pt idx="86">
                  <c:v>10.6</c:v>
                </c:pt>
                <c:pt idx="87">
                  <c:v>9.4499999999999993</c:v>
                </c:pt>
                <c:pt idx="88">
                  <c:v>9.3800000000000008</c:v>
                </c:pt>
                <c:pt idx="89">
                  <c:v>9.26</c:v>
                </c:pt>
                <c:pt idx="90">
                  <c:v>10.93</c:v>
                </c:pt>
                <c:pt idx="91">
                  <c:v>10.4</c:v>
                </c:pt>
                <c:pt idx="92">
                  <c:v>9.0500000000000007</c:v>
                </c:pt>
                <c:pt idx="93">
                  <c:v>9.08</c:v>
                </c:pt>
                <c:pt idx="94">
                  <c:v>8.41</c:v>
                </c:pt>
                <c:pt idx="95">
                  <c:v>9</c:v>
                </c:pt>
                <c:pt idx="96">
                  <c:v>8.18</c:v>
                </c:pt>
                <c:pt idx="97">
                  <c:v>8</c:v>
                </c:pt>
                <c:pt idx="98">
                  <c:v>7.19</c:v>
                </c:pt>
                <c:pt idx="99">
                  <c:v>7.81</c:v>
                </c:pt>
                <c:pt idx="100">
                  <c:v>9.17</c:v>
                </c:pt>
                <c:pt idx="101">
                  <c:v>10.38</c:v>
                </c:pt>
                <c:pt idx="102">
                  <c:v>10.08</c:v>
                </c:pt>
                <c:pt idx="103">
                  <c:v>10.69</c:v>
                </c:pt>
                <c:pt idx="104">
                  <c:v>10.119999999999999</c:v>
                </c:pt>
                <c:pt idx="105">
                  <c:v>9.8049999999999997</c:v>
                </c:pt>
                <c:pt idx="106">
                  <c:v>10.26</c:v>
                </c:pt>
                <c:pt idx="107">
                  <c:v>11.38</c:v>
                </c:pt>
                <c:pt idx="108">
                  <c:v>11.24</c:v>
                </c:pt>
                <c:pt idx="109">
                  <c:v>13.5</c:v>
                </c:pt>
                <c:pt idx="110">
                  <c:v>12.39</c:v>
                </c:pt>
                <c:pt idx="111">
                  <c:v>13.44</c:v>
                </c:pt>
                <c:pt idx="112">
                  <c:v>11.02</c:v>
                </c:pt>
                <c:pt idx="113">
                  <c:v>10.96</c:v>
                </c:pt>
                <c:pt idx="114">
                  <c:v>11.61</c:v>
                </c:pt>
                <c:pt idx="115">
                  <c:v>11.81</c:v>
                </c:pt>
                <c:pt idx="116">
                  <c:v>13.32</c:v>
                </c:pt>
                <c:pt idx="117">
                  <c:v>15.18</c:v>
                </c:pt>
                <c:pt idx="118">
                  <c:v>12.73</c:v>
                </c:pt>
                <c:pt idx="119">
                  <c:v>12.98</c:v>
                </c:pt>
                <c:pt idx="120">
                  <c:v>15.17</c:v>
                </c:pt>
                <c:pt idx="121">
                  <c:v>15.89</c:v>
                </c:pt>
                <c:pt idx="122">
                  <c:v>17.760000000000002</c:v>
                </c:pt>
                <c:pt idx="123">
                  <c:v>18.899999999999999</c:v>
                </c:pt>
                <c:pt idx="124">
                  <c:v>19.100000000000001</c:v>
                </c:pt>
                <c:pt idx="125">
                  <c:v>20.129999000000002</c:v>
                </c:pt>
                <c:pt idx="126">
                  <c:v>21.549999</c:v>
                </c:pt>
                <c:pt idx="127">
                  <c:v>27.92</c:v>
                </c:pt>
                <c:pt idx="128">
                  <c:v>28.99</c:v>
                </c:pt>
                <c:pt idx="129">
                  <c:v>35.209999000000003</c:v>
                </c:pt>
                <c:pt idx="130">
                  <c:v>37.009998000000003</c:v>
                </c:pt>
                <c:pt idx="131">
                  <c:v>34.970001000000003</c:v>
                </c:pt>
                <c:pt idx="132">
                  <c:v>39.590000000000003</c:v>
                </c:pt>
                <c:pt idx="133">
                  <c:v>41.029998999999997</c:v>
                </c:pt>
                <c:pt idx="134">
                  <c:v>41.779998999999997</c:v>
                </c:pt>
                <c:pt idx="135">
                  <c:v>41.900002000000001</c:v>
                </c:pt>
                <c:pt idx="136">
                  <c:v>44.91</c:v>
                </c:pt>
                <c:pt idx="137">
                  <c:v>42.380001</c:v>
                </c:pt>
                <c:pt idx="138">
                  <c:v>41.169998</c:v>
                </c:pt>
                <c:pt idx="139">
                  <c:v>43.349997999999999</c:v>
                </c:pt>
                <c:pt idx="140">
                  <c:v>46.869999</c:v>
                </c:pt>
                <c:pt idx="141">
                  <c:v>42.639999000000003</c:v>
                </c:pt>
                <c:pt idx="142">
                  <c:v>50.630001</c:v>
                </c:pt>
                <c:pt idx="143">
                  <c:v>55.009998000000003</c:v>
                </c:pt>
                <c:pt idx="144">
                  <c:v>35.150002000000001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-29,19%</c:v>
                </c:pt>
                <c:pt idx="1">
                  <c:v>-29,19% to -23,36%</c:v>
                </c:pt>
                <c:pt idx="2">
                  <c:v>-23,36% to -17,53%</c:v>
                </c:pt>
                <c:pt idx="3">
                  <c:v>-17,53% to -11,70%</c:v>
                </c:pt>
                <c:pt idx="4">
                  <c:v>-11,70% to -5,87%</c:v>
                </c:pt>
                <c:pt idx="5">
                  <c:v>-5,87% to -0,04%</c:v>
                </c:pt>
                <c:pt idx="6">
                  <c:v>-0,04% to 5,79%</c:v>
                </c:pt>
                <c:pt idx="7">
                  <c:v>5,79% to 11,62%</c:v>
                </c:pt>
                <c:pt idx="8">
                  <c:v>11,62% to 17,45%</c:v>
                </c:pt>
                <c:pt idx="9">
                  <c:v>17,45% to 23,28%</c:v>
                </c:pt>
                <c:pt idx="10">
                  <c:v>23,28% to 29,11%</c:v>
                </c:pt>
                <c:pt idx="11">
                  <c:v>Greater than 29,11%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29</c:v>
                </c:pt>
                <c:pt idx="5">
                  <c:v>35</c:v>
                </c:pt>
                <c:pt idx="6">
                  <c:v>36</c:v>
                </c:pt>
                <c:pt idx="7">
                  <c:v>20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opLeftCell="A13"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56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45585</v>
      </c>
      <c r="E3" s="5" t="s">
        <v>152</v>
      </c>
      <c r="F3" s="28" t="s">
        <v>153</v>
      </c>
      <c r="H3" t="s">
        <v>172</v>
      </c>
      <c r="I3" s="10">
        <v>81817</v>
      </c>
      <c r="J3" s="38"/>
      <c r="L3" s="5" t="s">
        <v>132</v>
      </c>
      <c r="M3" t="s">
        <v>133</v>
      </c>
      <c r="N3" s="37"/>
    </row>
    <row r="4" spans="2:14" x14ac:dyDescent="0.25">
      <c r="B4" s="5"/>
      <c r="C4" s="21">
        <v>0.78611111111111109</v>
      </c>
      <c r="E4" s="5" t="s">
        <v>154</v>
      </c>
      <c r="F4" s="28" t="s">
        <v>155</v>
      </c>
      <c r="H4" t="s">
        <v>173</v>
      </c>
      <c r="I4" s="10">
        <v>867495</v>
      </c>
      <c r="J4" s="38"/>
      <c r="L4" s="5" t="s">
        <v>134</v>
      </c>
      <c r="M4" t="s">
        <v>135</v>
      </c>
      <c r="N4" s="13"/>
    </row>
    <row r="5" spans="2:14" x14ac:dyDescent="0.25">
      <c r="B5" s="5"/>
      <c r="C5" s="13"/>
      <c r="E5" s="5" t="s">
        <v>156</v>
      </c>
      <c r="F5" s="28" t="s">
        <v>157</v>
      </c>
      <c r="H5" t="s">
        <v>174</v>
      </c>
      <c r="I5" s="10">
        <v>43731000</v>
      </c>
      <c r="J5" s="38"/>
      <c r="L5" s="5" t="s">
        <v>136</v>
      </c>
      <c r="M5" t="s">
        <v>137</v>
      </c>
      <c r="N5" s="13"/>
    </row>
    <row r="6" spans="2:14" x14ac:dyDescent="0.25">
      <c r="B6" s="5" t="s">
        <v>0</v>
      </c>
      <c r="C6" s="13">
        <v>26.83</v>
      </c>
      <c r="E6" s="5" t="s">
        <v>158</v>
      </c>
      <c r="F6" s="28" t="s">
        <v>159</v>
      </c>
      <c r="H6" t="s">
        <v>175</v>
      </c>
      <c r="I6" s="10">
        <v>423647</v>
      </c>
      <c r="J6" s="38"/>
      <c r="L6" s="5" t="s">
        <v>138</v>
      </c>
      <c r="M6" t="s">
        <v>139</v>
      </c>
      <c r="N6" s="13"/>
    </row>
    <row r="7" spans="2:14" x14ac:dyDescent="0.25">
      <c r="B7" s="5" t="s">
        <v>1</v>
      </c>
      <c r="C7" s="15">
        <f>Model!G20</f>
        <v>890.85765900000001</v>
      </c>
      <c r="E7" s="5" t="s">
        <v>160</v>
      </c>
      <c r="F7" s="28" t="s">
        <v>161</v>
      </c>
      <c r="H7" t="s">
        <v>176</v>
      </c>
      <c r="I7" s="10">
        <v>14524</v>
      </c>
      <c r="J7" s="38"/>
      <c r="L7" s="5" t="s">
        <v>140</v>
      </c>
      <c r="M7" t="s">
        <v>141</v>
      </c>
      <c r="N7" s="13"/>
    </row>
    <row r="8" spans="2:14" x14ac:dyDescent="0.25">
      <c r="B8" s="5" t="s">
        <v>2</v>
      </c>
      <c r="C8" s="15">
        <f>C6*C7</f>
        <v>23901.710990969998</v>
      </c>
      <c r="E8" s="5" t="s">
        <v>162</v>
      </c>
      <c r="F8" s="28" t="s">
        <v>163</v>
      </c>
      <c r="H8" t="s">
        <v>177</v>
      </c>
      <c r="I8" s="10">
        <v>39491</v>
      </c>
      <c r="J8" s="38"/>
      <c r="L8" s="5" t="s">
        <v>142</v>
      </c>
      <c r="M8" t="s">
        <v>143</v>
      </c>
      <c r="N8" s="13"/>
    </row>
    <row r="9" spans="2:14" x14ac:dyDescent="0.25">
      <c r="B9" s="5" t="s">
        <v>3</v>
      </c>
      <c r="C9" s="15">
        <f>Model!G37+Model!G38</f>
        <v>9283</v>
      </c>
      <c r="E9" s="5" t="s">
        <v>164</v>
      </c>
      <c r="F9" s="28" t="s">
        <v>165</v>
      </c>
      <c r="H9" t="s">
        <v>178</v>
      </c>
      <c r="I9" s="10">
        <v>56204</v>
      </c>
      <c r="J9" s="38"/>
      <c r="L9" s="5" t="s">
        <v>144</v>
      </c>
      <c r="M9" t="s">
        <v>145</v>
      </c>
      <c r="N9" s="13"/>
    </row>
    <row r="10" spans="2:14" x14ac:dyDescent="0.25">
      <c r="B10" s="5" t="s">
        <v>4</v>
      </c>
      <c r="C10" s="15">
        <v>0</v>
      </c>
      <c r="E10" s="5" t="s">
        <v>166</v>
      </c>
      <c r="F10" s="28" t="s">
        <v>167</v>
      </c>
      <c r="H10" t="s">
        <v>179</v>
      </c>
      <c r="I10" s="10">
        <v>997407</v>
      </c>
      <c r="J10" s="38"/>
      <c r="L10" s="5" t="s">
        <v>146</v>
      </c>
      <c r="M10" t="s">
        <v>147</v>
      </c>
      <c r="N10" s="13"/>
    </row>
    <row r="11" spans="2:14" x14ac:dyDescent="0.25">
      <c r="B11" s="5" t="s">
        <v>37</v>
      </c>
      <c r="C11" s="15">
        <f>C9-C10</f>
        <v>9283</v>
      </c>
      <c r="E11" s="5" t="s">
        <v>168</v>
      </c>
      <c r="F11" s="28" t="s">
        <v>169</v>
      </c>
      <c r="H11" t="s">
        <v>180</v>
      </c>
      <c r="I11">
        <v>71818</v>
      </c>
      <c r="J11" s="38"/>
      <c r="L11" s="5" t="s">
        <v>148</v>
      </c>
      <c r="M11" t="s">
        <v>149</v>
      </c>
      <c r="N11" s="13"/>
    </row>
    <row r="12" spans="2:14" x14ac:dyDescent="0.25">
      <c r="B12" s="5" t="s">
        <v>5</v>
      </c>
      <c r="C12" s="15">
        <f>C8-C9+C10</f>
        <v>14618.710990969998</v>
      </c>
      <c r="E12" s="5" t="s">
        <v>170</v>
      </c>
      <c r="F12" s="28" t="s">
        <v>171</v>
      </c>
      <c r="J12" s="13"/>
      <c r="L12" s="5" t="s">
        <v>150</v>
      </c>
      <c r="M12" t="s">
        <v>151</v>
      </c>
      <c r="N12" s="13"/>
    </row>
    <row r="13" spans="2:14" x14ac:dyDescent="0.25">
      <c r="B13" s="5" t="s">
        <v>48</v>
      </c>
      <c r="C13" s="36">
        <f>C6/Model!G21</f>
        <v>-44.180611813253229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C6/Model!H22</f>
        <v>37.263888888888886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C6/Model!I22</f>
        <v>35.773333333333333</v>
      </c>
    </row>
    <row r="16" spans="2:14" x14ac:dyDescent="0.25">
      <c r="B16" s="5" t="s">
        <v>44</v>
      </c>
      <c r="C16" s="6">
        <v>1</v>
      </c>
    </row>
    <row r="17" spans="2:14" x14ac:dyDescent="0.25">
      <c r="B17" s="5" t="s">
        <v>45</v>
      </c>
      <c r="C17" s="6">
        <f>Model!I22/Model!H22-1</f>
        <v>4.1666666666666741E-2</v>
      </c>
      <c r="E17" s="33" t="s">
        <v>55</v>
      </c>
      <c r="L17" s="123"/>
      <c r="M17" s="124"/>
      <c r="N17" s="125"/>
    </row>
    <row r="18" spans="2:14" x14ac:dyDescent="0.25">
      <c r="B18" s="5" t="s">
        <v>68</v>
      </c>
      <c r="C18" s="47">
        <f>C14/(C16*100)</f>
        <v>0.37263888888888885</v>
      </c>
      <c r="L18" s="126"/>
      <c r="M18" s="127"/>
      <c r="N18" s="128"/>
    </row>
    <row r="19" spans="2:14" x14ac:dyDescent="0.25">
      <c r="B19" s="5" t="s">
        <v>69</v>
      </c>
      <c r="C19" s="47">
        <f>C15/(C17*100)</f>
        <v>8.5855999999999852</v>
      </c>
      <c r="L19" s="126"/>
      <c r="M19" s="127"/>
      <c r="N19" s="128"/>
    </row>
    <row r="20" spans="2:14" x14ac:dyDescent="0.25">
      <c r="B20" s="5" t="s">
        <v>77</v>
      </c>
      <c r="C20" s="6">
        <f>Model!H6/Model!G6-1</f>
        <v>0.4048257372654156</v>
      </c>
      <c r="L20" s="126"/>
      <c r="M20" s="127"/>
      <c r="N20" s="128"/>
    </row>
    <row r="21" spans="2:14" x14ac:dyDescent="0.25">
      <c r="B21" s="5" t="s">
        <v>78</v>
      </c>
      <c r="C21" s="6">
        <f>Model!I6/Model!H6-1</f>
        <v>6.8702290076335881E-2</v>
      </c>
      <c r="L21" s="126"/>
      <c r="M21" s="127"/>
      <c r="N21" s="128"/>
    </row>
    <row r="22" spans="2:14" x14ac:dyDescent="0.25">
      <c r="B22" s="5" t="s">
        <v>70</v>
      </c>
      <c r="C22" s="15">
        <f>Model!G14</f>
        <v>-536</v>
      </c>
      <c r="L22" s="126"/>
      <c r="M22" s="127"/>
      <c r="N22" s="128"/>
    </row>
    <row r="23" spans="2:14" x14ac:dyDescent="0.25">
      <c r="B23" s="5" t="s">
        <v>19</v>
      </c>
      <c r="C23" s="15">
        <f>Model!G14</f>
        <v>-536</v>
      </c>
      <c r="L23" s="126"/>
      <c r="M23" s="127"/>
      <c r="N23" s="128"/>
    </row>
    <row r="24" spans="2:14" x14ac:dyDescent="0.25">
      <c r="B24" s="5" t="s">
        <v>30</v>
      </c>
      <c r="C24" s="7">
        <f>Model!G23</f>
        <v>0.49008042895442361</v>
      </c>
      <c r="L24" s="126"/>
      <c r="M24" s="127"/>
      <c r="N24" s="128"/>
    </row>
    <row r="25" spans="2:14" x14ac:dyDescent="0.25">
      <c r="B25" s="5" t="s">
        <v>31</v>
      </c>
      <c r="C25" s="7">
        <f>Model!G24</f>
        <v>-0.2900804289544236</v>
      </c>
      <c r="L25" s="126"/>
      <c r="M25" s="127"/>
      <c r="N25" s="128"/>
    </row>
    <row r="26" spans="2:14" x14ac:dyDescent="0.25">
      <c r="B26" s="5" t="s">
        <v>71</v>
      </c>
      <c r="C26" s="36">
        <f>C12/C23</f>
        <v>-27.273714535391786</v>
      </c>
      <c r="L26" s="126"/>
      <c r="M26" s="127"/>
      <c r="N26" s="128"/>
    </row>
    <row r="27" spans="2:14" x14ac:dyDescent="0.25">
      <c r="B27" s="5" t="s">
        <v>79</v>
      </c>
      <c r="C27" s="116">
        <v>0</v>
      </c>
      <c r="E27" t="s">
        <v>72</v>
      </c>
      <c r="L27" s="126"/>
      <c r="M27" s="127"/>
      <c r="N27" s="128"/>
    </row>
    <row r="28" spans="2:14" x14ac:dyDescent="0.25">
      <c r="B28" s="5" t="s">
        <v>80</v>
      </c>
      <c r="C28" s="36">
        <v>0</v>
      </c>
      <c r="L28" s="129"/>
      <c r="M28" s="130"/>
      <c r="N28" s="131"/>
    </row>
    <row r="29" spans="2:14" x14ac:dyDescent="0.25">
      <c r="B29" s="5" t="s">
        <v>81</v>
      </c>
      <c r="C29" s="36">
        <f>Model!G48/Model!G62</f>
        <v>1.2444705421804658</v>
      </c>
    </row>
    <row r="30" spans="2:14" x14ac:dyDescent="0.25">
      <c r="B30" s="5" t="s">
        <v>82</v>
      </c>
      <c r="C30" s="36">
        <f>(Model!G37+Model!G38)/Model!G62</f>
        <v>0.36339792522998632</v>
      </c>
    </row>
    <row r="31" spans="2:14" x14ac:dyDescent="0.25">
      <c r="B31" s="5" t="s">
        <v>83</v>
      </c>
      <c r="C31" s="6"/>
    </row>
    <row r="32" spans="2:14" x14ac:dyDescent="0.25">
      <c r="B32" s="5" t="s">
        <v>84</v>
      </c>
      <c r="C32" s="36">
        <f>(Model!G55-Model!G64)/C7</f>
        <v>7.5163522840633732</v>
      </c>
    </row>
    <row r="33" spans="2:9" x14ac:dyDescent="0.25">
      <c r="B33" s="5" t="s">
        <v>85</v>
      </c>
      <c r="C33" s="36"/>
    </row>
    <row r="34" spans="2:9" x14ac:dyDescent="0.25">
      <c r="B34" s="5" t="s">
        <v>86</v>
      </c>
      <c r="C34" s="38"/>
    </row>
    <row r="35" spans="2:9" x14ac:dyDescent="0.25">
      <c r="B35" s="5" t="s">
        <v>87</v>
      </c>
      <c r="C35" s="38"/>
    </row>
    <row r="36" spans="2:9" x14ac:dyDescent="0.25">
      <c r="B36" s="22" t="s">
        <v>88</v>
      </c>
      <c r="C36" s="23"/>
    </row>
    <row r="41" spans="2:9" x14ac:dyDescent="0.25">
      <c r="E41" s="54"/>
      <c r="F41" s="54"/>
      <c r="G41" s="55"/>
      <c r="H41" s="55"/>
      <c r="I41" s="5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86"/>
  <sheetViews>
    <sheetView tabSelected="1" zoomScaleNormal="100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Z16" sqref="Z1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3"/>
    <col min="25" max="25" width="11.42578125" style="13"/>
  </cols>
  <sheetData>
    <row r="1" spans="1:27" x14ac:dyDescent="0.25">
      <c r="A1" s="8" t="s">
        <v>38</v>
      </c>
    </row>
    <row r="2" spans="1:27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67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s="143" t="s">
        <v>41</v>
      </c>
      <c r="X2" t="s">
        <v>63</v>
      </c>
      <c r="Y2" s="13" t="s">
        <v>66</v>
      </c>
      <c r="Z2" t="s">
        <v>226</v>
      </c>
      <c r="AA2" t="s">
        <v>227</v>
      </c>
    </row>
    <row r="3" spans="1:27" x14ac:dyDescent="0.25">
      <c r="B3" s="9" t="s">
        <v>215</v>
      </c>
      <c r="C3" s="10">
        <v>170.83099999999999</v>
      </c>
      <c r="D3" s="10">
        <v>720.13300000000004</v>
      </c>
      <c r="E3" s="10">
        <v>1402</v>
      </c>
      <c r="F3" s="10">
        <v>814</v>
      </c>
      <c r="G3" s="15">
        <v>785</v>
      </c>
      <c r="L3">
        <v>420</v>
      </c>
      <c r="M3">
        <v>451</v>
      </c>
      <c r="N3">
        <v>267</v>
      </c>
      <c r="O3" s="10">
        <f>E3-N3-M3-L3</f>
        <v>264</v>
      </c>
      <c r="P3">
        <v>218</v>
      </c>
      <c r="Q3">
        <v>202</v>
      </c>
      <c r="R3">
        <v>208</v>
      </c>
      <c r="S3" s="10">
        <f>F3-R3-Q3-P3</f>
        <v>186</v>
      </c>
      <c r="T3">
        <v>207</v>
      </c>
      <c r="U3">
        <v>193</v>
      </c>
      <c r="V3">
        <v>185</v>
      </c>
      <c r="W3" s="144">
        <f>G3-V3-U3-T3</f>
        <v>200</v>
      </c>
      <c r="X3">
        <v>329</v>
      </c>
      <c r="Y3" s="13">
        <v>327</v>
      </c>
    </row>
    <row r="4" spans="1:27" x14ac:dyDescent="0.25">
      <c r="B4" s="9" t="s">
        <v>216</v>
      </c>
      <c r="C4" s="10">
        <v>70.638999999999996</v>
      </c>
      <c r="D4" s="10">
        <v>177.43700000000001</v>
      </c>
      <c r="E4" s="10">
        <v>256</v>
      </c>
      <c r="F4" s="10">
        <v>424</v>
      </c>
      <c r="G4" s="15">
        <v>929</v>
      </c>
      <c r="L4">
        <v>62</v>
      </c>
      <c r="M4">
        <v>68</v>
      </c>
      <c r="N4">
        <v>63</v>
      </c>
      <c r="O4" s="10">
        <f t="shared" ref="O4:O5" si="0">E4-N4-M4-L4</f>
        <v>63</v>
      </c>
      <c r="P4">
        <v>55</v>
      </c>
      <c r="Q4">
        <v>74</v>
      </c>
      <c r="R4">
        <v>128</v>
      </c>
      <c r="S4" s="10">
        <f t="shared" ref="S4:S5" si="1">F4-R4-Q4-P4</f>
        <v>167</v>
      </c>
      <c r="T4">
        <v>208</v>
      </c>
      <c r="U4">
        <v>234</v>
      </c>
      <c r="V4">
        <v>251</v>
      </c>
      <c r="W4" s="144">
        <f t="shared" ref="W4:W5" si="2">G4-V4-U4-T4</f>
        <v>236</v>
      </c>
      <c r="X4">
        <v>254</v>
      </c>
      <c r="Y4" s="13">
        <v>285</v>
      </c>
    </row>
    <row r="5" spans="1:27" x14ac:dyDescent="0.25">
      <c r="B5" s="9" t="s">
        <v>25</v>
      </c>
      <c r="C5" s="10">
        <v>36.063000000000002</v>
      </c>
      <c r="D5" s="10">
        <v>61.262999999999998</v>
      </c>
      <c r="E5" s="10">
        <v>157</v>
      </c>
      <c r="F5" s="10">
        <v>120</v>
      </c>
      <c r="G5" s="15">
        <v>151</v>
      </c>
      <c r="L5">
        <v>40</v>
      </c>
      <c r="M5">
        <v>46</v>
      </c>
      <c r="N5">
        <v>25</v>
      </c>
      <c r="O5" s="10">
        <f t="shared" si="0"/>
        <v>46</v>
      </c>
      <c r="P5">
        <v>26</v>
      </c>
      <c r="Q5">
        <v>42</v>
      </c>
      <c r="R5">
        <v>25</v>
      </c>
      <c r="S5" s="10">
        <f t="shared" si="1"/>
        <v>27</v>
      </c>
      <c r="T5">
        <v>26</v>
      </c>
      <c r="U5">
        <v>59</v>
      </c>
      <c r="V5">
        <v>31</v>
      </c>
      <c r="W5" s="144">
        <f t="shared" si="2"/>
        <v>35</v>
      </c>
      <c r="X5">
        <v>35</v>
      </c>
      <c r="Y5" s="13">
        <v>70</v>
      </c>
    </row>
    <row r="6" spans="1:27" s="1" customFormat="1" x14ac:dyDescent="0.25">
      <c r="B6" s="1" t="s">
        <v>17</v>
      </c>
      <c r="C6" s="11">
        <f>SUM(C3:C5)</f>
        <v>277.53299999999996</v>
      </c>
      <c r="D6" s="11">
        <f>SUM(D3:D5)</f>
        <v>958.83300000000008</v>
      </c>
      <c r="E6" s="11">
        <f>SUM(E3:E5)</f>
        <v>1815</v>
      </c>
      <c r="F6" s="11">
        <f>SUM(F3:F5)</f>
        <v>1358</v>
      </c>
      <c r="G6" s="14">
        <f>SUM(G3:G5)</f>
        <v>1865</v>
      </c>
      <c r="H6" s="43">
        <v>2620</v>
      </c>
      <c r="I6" s="43">
        <v>2800</v>
      </c>
      <c r="L6" s="11">
        <f>SUM(L3:L5)</f>
        <v>522</v>
      </c>
      <c r="M6" s="11">
        <f t="shared" ref="M6:AA6" si="3">SUM(M3:M5)</f>
        <v>565</v>
      </c>
      <c r="N6" s="11">
        <f t="shared" si="3"/>
        <v>355</v>
      </c>
      <c r="O6" s="11">
        <f t="shared" si="3"/>
        <v>373</v>
      </c>
      <c r="P6" s="11">
        <f t="shared" si="3"/>
        <v>299</v>
      </c>
      <c r="Q6" s="11">
        <f t="shared" si="3"/>
        <v>318</v>
      </c>
      <c r="R6" s="11">
        <f t="shared" si="3"/>
        <v>361</v>
      </c>
      <c r="S6" s="11">
        <f t="shared" si="3"/>
        <v>380</v>
      </c>
      <c r="T6" s="11">
        <f t="shared" si="3"/>
        <v>441</v>
      </c>
      <c r="U6" s="11">
        <f t="shared" si="3"/>
        <v>486</v>
      </c>
      <c r="V6" s="11">
        <f t="shared" si="3"/>
        <v>467</v>
      </c>
      <c r="W6" s="142">
        <f t="shared" si="3"/>
        <v>471</v>
      </c>
      <c r="X6" s="142">
        <f t="shared" si="3"/>
        <v>618</v>
      </c>
      <c r="Y6" s="14">
        <f t="shared" si="3"/>
        <v>682</v>
      </c>
      <c r="Z6" s="142">
        <f t="shared" si="3"/>
        <v>0</v>
      </c>
      <c r="AA6" s="142">
        <f t="shared" si="3"/>
        <v>0</v>
      </c>
    </row>
    <row r="7" spans="1:27" x14ac:dyDescent="0.25">
      <c r="B7" s="9" t="s">
        <v>65</v>
      </c>
      <c r="C7" s="10"/>
      <c r="D7" s="10"/>
      <c r="E7" s="10"/>
      <c r="F7" s="10"/>
      <c r="G7" s="15"/>
      <c r="H7" s="42">
        <v>2620</v>
      </c>
      <c r="I7" s="42">
        <v>2800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144"/>
      <c r="X7" s="152">
        <v>548.61</v>
      </c>
      <c r="Y7" s="153">
        <v>595.92999999999995</v>
      </c>
      <c r="Z7">
        <v>650.86</v>
      </c>
      <c r="AA7">
        <v>642.91</v>
      </c>
    </row>
    <row r="8" spans="1:27" x14ac:dyDescent="0.25">
      <c r="B8" t="s">
        <v>217</v>
      </c>
      <c r="C8" s="10">
        <v>45.459000000000003</v>
      </c>
      <c r="D8" s="10">
        <v>111.083</v>
      </c>
      <c r="E8" s="10">
        <v>158</v>
      </c>
      <c r="F8" s="10">
        <v>179</v>
      </c>
      <c r="G8" s="15">
        <v>146</v>
      </c>
      <c r="H8" s="10"/>
      <c r="I8" s="10"/>
      <c r="L8" s="10">
        <v>41</v>
      </c>
      <c r="M8" s="10">
        <v>38</v>
      </c>
      <c r="N8" s="10">
        <v>44</v>
      </c>
      <c r="O8" s="10">
        <f t="shared" ref="O8:O9" si="4">E8-N8-M8-L8</f>
        <v>35</v>
      </c>
      <c r="P8" s="10">
        <v>31</v>
      </c>
      <c r="Q8" s="10">
        <v>30</v>
      </c>
      <c r="R8" s="10">
        <v>33</v>
      </c>
      <c r="S8" s="10">
        <f t="shared" ref="S8:S9" si="5">F8-R8-Q8-P8</f>
        <v>85</v>
      </c>
      <c r="T8" s="10">
        <v>36</v>
      </c>
      <c r="U8" s="10">
        <v>39</v>
      </c>
      <c r="V8" s="10">
        <v>39</v>
      </c>
      <c r="W8" s="144">
        <f t="shared" ref="W8:W9" si="6">G8-V8-U8-T8</f>
        <v>32</v>
      </c>
      <c r="X8" s="10">
        <v>35</v>
      </c>
      <c r="Y8" s="15">
        <v>40</v>
      </c>
    </row>
    <row r="9" spans="1:27" x14ac:dyDescent="0.25">
      <c r="B9" t="s">
        <v>218</v>
      </c>
      <c r="C9" s="10">
        <v>94.932000000000002</v>
      </c>
      <c r="D9" s="10">
        <v>215.63</v>
      </c>
      <c r="E9" s="10">
        <v>1234</v>
      </c>
      <c r="F9" s="10">
        <v>878</v>
      </c>
      <c r="G9" s="15">
        <v>805</v>
      </c>
      <c r="H9" s="10"/>
      <c r="I9" s="10"/>
      <c r="L9" s="10">
        <v>117</v>
      </c>
      <c r="M9" s="10">
        <v>156</v>
      </c>
      <c r="N9" s="10">
        <v>679</v>
      </c>
      <c r="O9" s="10">
        <f t="shared" si="4"/>
        <v>282</v>
      </c>
      <c r="P9" s="10">
        <v>268</v>
      </c>
      <c r="Q9" s="10">
        <v>245</v>
      </c>
      <c r="R9" s="10">
        <v>185</v>
      </c>
      <c r="S9" s="10">
        <f t="shared" si="5"/>
        <v>180</v>
      </c>
      <c r="T9" s="10">
        <v>199</v>
      </c>
      <c r="U9" s="10">
        <v>207</v>
      </c>
      <c r="V9" s="10">
        <v>202</v>
      </c>
      <c r="W9" s="144">
        <f t="shared" si="6"/>
        <v>197</v>
      </c>
      <c r="X9" s="10">
        <v>196</v>
      </c>
      <c r="Y9" s="15">
        <v>209</v>
      </c>
    </row>
    <row r="10" spans="1:27" s="1" customFormat="1" x14ac:dyDescent="0.25">
      <c r="B10" s="1" t="s">
        <v>60</v>
      </c>
      <c r="C10" s="11">
        <f t="shared" ref="C10:I10" si="7">SUM(C8:C9)</f>
        <v>140.39100000000002</v>
      </c>
      <c r="D10" s="11">
        <f t="shared" si="7"/>
        <v>326.71299999999997</v>
      </c>
      <c r="E10" s="11">
        <f t="shared" si="7"/>
        <v>1392</v>
      </c>
      <c r="F10" s="11">
        <f t="shared" si="7"/>
        <v>1057</v>
      </c>
      <c r="G10" s="14">
        <f t="shared" si="7"/>
        <v>951</v>
      </c>
      <c r="H10" s="11">
        <f t="shared" si="7"/>
        <v>0</v>
      </c>
      <c r="I10" s="11">
        <f t="shared" si="7"/>
        <v>0</v>
      </c>
      <c r="L10" s="11">
        <f t="shared" ref="L10:Y10" si="8">SUM(L8:L9)</f>
        <v>158</v>
      </c>
      <c r="M10" s="11">
        <f t="shared" si="8"/>
        <v>194</v>
      </c>
      <c r="N10" s="11">
        <f>SUM(N8:N9)</f>
        <v>723</v>
      </c>
      <c r="O10" s="11">
        <f t="shared" si="8"/>
        <v>317</v>
      </c>
      <c r="P10" s="11">
        <f t="shared" si="8"/>
        <v>299</v>
      </c>
      <c r="Q10" s="11">
        <f t="shared" si="8"/>
        <v>275</v>
      </c>
      <c r="R10" s="11">
        <f t="shared" si="8"/>
        <v>218</v>
      </c>
      <c r="S10" s="11">
        <f t="shared" si="8"/>
        <v>265</v>
      </c>
      <c r="T10" s="11">
        <f t="shared" si="8"/>
        <v>235</v>
      </c>
      <c r="U10" s="11">
        <f t="shared" si="8"/>
        <v>246</v>
      </c>
      <c r="V10" s="11">
        <f t="shared" si="8"/>
        <v>241</v>
      </c>
      <c r="W10" s="142">
        <f t="shared" si="8"/>
        <v>229</v>
      </c>
      <c r="X10" s="11">
        <f t="shared" si="8"/>
        <v>231</v>
      </c>
      <c r="Y10" s="14">
        <f t="shared" si="8"/>
        <v>249</v>
      </c>
    </row>
    <row r="11" spans="1:27" x14ac:dyDescent="0.25">
      <c r="B11" t="s">
        <v>219</v>
      </c>
      <c r="C11" s="10">
        <v>33.869</v>
      </c>
      <c r="D11" s="10">
        <v>137.905</v>
      </c>
      <c r="E11" s="10">
        <v>368</v>
      </c>
      <c r="F11" s="10">
        <v>285</v>
      </c>
      <c r="G11" s="15">
        <v>159</v>
      </c>
      <c r="H11" s="40"/>
      <c r="I11" s="40"/>
      <c r="L11" s="10">
        <v>67</v>
      </c>
      <c r="M11" s="10">
        <v>101</v>
      </c>
      <c r="N11" s="10">
        <v>108</v>
      </c>
      <c r="O11" s="10">
        <f t="shared" ref="O11:O13" si="9">E11-N11-M11-L11</f>
        <v>92</v>
      </c>
      <c r="P11" s="10">
        <v>91</v>
      </c>
      <c r="Q11" s="10">
        <v>86</v>
      </c>
      <c r="R11" s="10">
        <v>65</v>
      </c>
      <c r="S11" s="10">
        <f t="shared" ref="S11:S13" si="10">F11-R11-Q11-P11</f>
        <v>43</v>
      </c>
      <c r="T11" s="10">
        <v>42</v>
      </c>
      <c r="U11" s="10">
        <v>36</v>
      </c>
      <c r="V11" s="10">
        <v>41</v>
      </c>
      <c r="W11" s="144">
        <f t="shared" ref="W11:W13" si="11">G11-V11-U11-T11</f>
        <v>40</v>
      </c>
      <c r="X11" s="10">
        <v>44</v>
      </c>
      <c r="Y11" s="13">
        <v>46</v>
      </c>
    </row>
    <row r="12" spans="1:27" x14ac:dyDescent="0.25">
      <c r="B12" t="s">
        <v>220</v>
      </c>
      <c r="C12" s="10">
        <v>124.699</v>
      </c>
      <c r="D12" s="10">
        <v>185.74100000000001</v>
      </c>
      <c r="E12" s="10">
        <v>325</v>
      </c>
      <c r="F12" s="10">
        <v>103</v>
      </c>
      <c r="G12" s="15">
        <v>122</v>
      </c>
      <c r="H12" s="40"/>
      <c r="I12" s="40"/>
      <c r="L12" s="10">
        <v>102</v>
      </c>
      <c r="M12" s="10">
        <v>94</v>
      </c>
      <c r="N12" s="10">
        <v>87</v>
      </c>
      <c r="O12" s="10">
        <f t="shared" si="9"/>
        <v>42</v>
      </c>
      <c r="P12" s="10">
        <v>32</v>
      </c>
      <c r="Q12" s="10">
        <v>23</v>
      </c>
      <c r="R12" s="10">
        <v>19</v>
      </c>
      <c r="S12" s="10">
        <f t="shared" si="10"/>
        <v>29</v>
      </c>
      <c r="T12" s="10">
        <v>26</v>
      </c>
      <c r="U12" s="10">
        <v>25</v>
      </c>
      <c r="V12" s="10">
        <v>28</v>
      </c>
      <c r="W12" s="144">
        <f t="shared" si="11"/>
        <v>43</v>
      </c>
      <c r="X12" s="10">
        <v>67</v>
      </c>
      <c r="Y12" s="13">
        <v>64</v>
      </c>
    </row>
    <row r="13" spans="1:27" x14ac:dyDescent="0.25">
      <c r="B13" t="s">
        <v>130</v>
      </c>
      <c r="C13" s="10">
        <v>85.504000000000005</v>
      </c>
      <c r="D13" s="10">
        <v>294.69400000000002</v>
      </c>
      <c r="E13" s="10">
        <v>1371</v>
      </c>
      <c r="F13" s="10">
        <v>924</v>
      </c>
      <c r="G13" s="15">
        <v>1169</v>
      </c>
      <c r="H13" s="10"/>
      <c r="I13" s="10"/>
      <c r="L13" s="10">
        <v>137</v>
      </c>
      <c r="M13" s="10">
        <v>112</v>
      </c>
      <c r="N13" s="10">
        <v>790</v>
      </c>
      <c r="O13" s="10">
        <f t="shared" si="9"/>
        <v>332</v>
      </c>
      <c r="P13" s="10">
        <v>268</v>
      </c>
      <c r="Q13" s="10">
        <v>226</v>
      </c>
      <c r="R13" s="10">
        <v>233</v>
      </c>
      <c r="S13" s="10">
        <f t="shared" si="10"/>
        <v>197</v>
      </c>
      <c r="T13" s="10">
        <v>647</v>
      </c>
      <c r="U13" s="10">
        <v>159</v>
      </c>
      <c r="V13" s="10">
        <v>230</v>
      </c>
      <c r="W13" s="144">
        <f t="shared" si="11"/>
        <v>133</v>
      </c>
      <c r="X13" s="10">
        <v>118</v>
      </c>
      <c r="Y13" s="13">
        <v>134</v>
      </c>
    </row>
    <row r="14" spans="1:27" s="1" customFormat="1" x14ac:dyDescent="0.25">
      <c r="B14" s="1" t="s">
        <v>23</v>
      </c>
      <c r="C14" s="11">
        <f t="shared" ref="C14:I14" si="12">C6-SUM(C10:C13)</f>
        <v>-106.93000000000006</v>
      </c>
      <c r="D14" s="11">
        <f t="shared" si="12"/>
        <v>13.7800000000002</v>
      </c>
      <c r="E14" s="11">
        <f t="shared" si="12"/>
        <v>-1641</v>
      </c>
      <c r="F14" s="11">
        <f t="shared" si="12"/>
        <v>-1011</v>
      </c>
      <c r="G14" s="14">
        <f t="shared" si="12"/>
        <v>-536</v>
      </c>
      <c r="H14" s="11">
        <f t="shared" si="12"/>
        <v>2620</v>
      </c>
      <c r="I14" s="11">
        <f t="shared" si="12"/>
        <v>2800</v>
      </c>
      <c r="J14" s="11"/>
      <c r="K14" s="11"/>
      <c r="L14" s="11">
        <f t="shared" ref="L14:Y14" si="13">L6-SUM(L10:L13)</f>
        <v>58</v>
      </c>
      <c r="M14" s="11">
        <f t="shared" si="13"/>
        <v>64</v>
      </c>
      <c r="N14" s="11">
        <f t="shared" si="13"/>
        <v>-1353</v>
      </c>
      <c r="O14" s="11">
        <f t="shared" si="13"/>
        <v>-410</v>
      </c>
      <c r="P14" s="11">
        <f t="shared" si="13"/>
        <v>-391</v>
      </c>
      <c r="Q14" s="11">
        <f t="shared" si="13"/>
        <v>-292</v>
      </c>
      <c r="R14" s="11">
        <f t="shared" si="13"/>
        <v>-174</v>
      </c>
      <c r="S14" s="11">
        <f t="shared" si="13"/>
        <v>-154</v>
      </c>
      <c r="T14" s="11">
        <f t="shared" si="13"/>
        <v>-509</v>
      </c>
      <c r="U14" s="11">
        <f t="shared" si="13"/>
        <v>20</v>
      </c>
      <c r="V14" s="11">
        <f t="shared" si="13"/>
        <v>-73</v>
      </c>
      <c r="W14" s="142">
        <f t="shared" si="13"/>
        <v>26</v>
      </c>
      <c r="X14" s="11">
        <f t="shared" si="13"/>
        <v>158</v>
      </c>
      <c r="Y14" s="14">
        <f t="shared" si="13"/>
        <v>189</v>
      </c>
    </row>
    <row r="15" spans="1:27" x14ac:dyDescent="0.25">
      <c r="B15" t="s">
        <v>225</v>
      </c>
      <c r="C15" s="10"/>
      <c r="D15" s="10"/>
      <c r="E15" s="10">
        <v>2045</v>
      </c>
      <c r="F15" s="10"/>
      <c r="G15" s="15"/>
      <c r="H15" s="40"/>
      <c r="I15" s="40"/>
      <c r="L15" s="10">
        <v>1492</v>
      </c>
      <c r="M15" s="10">
        <v>528</v>
      </c>
      <c r="N15" s="10">
        <v>25</v>
      </c>
      <c r="O15" s="10">
        <f t="shared" ref="O15:O16" si="14">E15-N15-M15-L15</f>
        <v>0</v>
      </c>
      <c r="P15" s="10"/>
      <c r="Q15" s="10"/>
      <c r="R15" s="10"/>
      <c r="S15" s="10">
        <f t="shared" ref="S15:S16" si="15">F15-R15-Q15-P15</f>
        <v>0</v>
      </c>
      <c r="T15" s="10"/>
      <c r="U15" s="10"/>
      <c r="V15" s="10"/>
      <c r="W15" s="144"/>
    </row>
    <row r="16" spans="1:27" x14ac:dyDescent="0.25">
      <c r="B16" t="s">
        <v>25</v>
      </c>
      <c r="C16" s="10">
        <v>0.65700000000000003</v>
      </c>
      <c r="D16" s="10">
        <v>-0.05</v>
      </c>
      <c r="E16" s="10">
        <v>-1</v>
      </c>
      <c r="F16" s="10">
        <v>16</v>
      </c>
      <c r="G16" s="15">
        <v>-3</v>
      </c>
      <c r="H16" s="40"/>
      <c r="I16" s="40"/>
      <c r="L16" s="10">
        <v>-1</v>
      </c>
      <c r="M16" s="10"/>
      <c r="N16" s="10">
        <v>-1</v>
      </c>
      <c r="O16" s="10">
        <f t="shared" si="14"/>
        <v>1</v>
      </c>
      <c r="P16" s="10"/>
      <c r="Q16" s="10">
        <v>2</v>
      </c>
      <c r="R16" s="10"/>
      <c r="S16" s="10">
        <f t="shared" si="15"/>
        <v>14</v>
      </c>
      <c r="T16" s="10"/>
      <c r="U16" s="10">
        <v>-2</v>
      </c>
      <c r="V16" s="10">
        <v>2</v>
      </c>
      <c r="W16" s="144">
        <f>G16-V16-U16-T16</f>
        <v>-3</v>
      </c>
      <c r="X16" s="10">
        <v>-4</v>
      </c>
      <c r="Y16" s="13">
        <v>2</v>
      </c>
    </row>
    <row r="17" spans="2:28" s="1" customFormat="1" x14ac:dyDescent="0.25">
      <c r="B17" s="1" t="s">
        <v>131</v>
      </c>
      <c r="C17" s="11">
        <f t="shared" ref="C17:D17" si="16">C14-SUM(C15:C16)</f>
        <v>-107.58700000000006</v>
      </c>
      <c r="D17" s="11">
        <f t="shared" si="16"/>
        <v>13.830000000000201</v>
      </c>
      <c r="E17" s="11">
        <f>E14-SUM(E15:E16)</f>
        <v>-3685</v>
      </c>
      <c r="F17" s="11">
        <f>F14-SUM(F15:F16)</f>
        <v>-1027</v>
      </c>
      <c r="G17" s="14">
        <f>G14-SUM(G15:G16)</f>
        <v>-533</v>
      </c>
      <c r="H17" s="11">
        <f>H14-SUM(H15:H16)</f>
        <v>2620</v>
      </c>
      <c r="I17" s="11">
        <f>I14-SUM(I15:I16)</f>
        <v>2800</v>
      </c>
      <c r="L17" s="11">
        <f>L14-SUM(L15:L16)</f>
        <v>-1433</v>
      </c>
      <c r="M17" s="11">
        <f t="shared" ref="M17:X17" si="17">M14-SUM(M15:M16)</f>
        <v>-464</v>
      </c>
      <c r="N17" s="11">
        <f>N14-SUM(N15:N16)</f>
        <v>-1377</v>
      </c>
      <c r="O17" s="11">
        <f t="shared" si="17"/>
        <v>-411</v>
      </c>
      <c r="P17" s="11">
        <f t="shared" si="17"/>
        <v>-391</v>
      </c>
      <c r="Q17" s="11">
        <f t="shared" si="17"/>
        <v>-294</v>
      </c>
      <c r="R17" s="11">
        <f t="shared" si="17"/>
        <v>-174</v>
      </c>
      <c r="S17" s="11">
        <f t="shared" si="17"/>
        <v>-168</v>
      </c>
      <c r="T17" s="11">
        <f t="shared" si="17"/>
        <v>-509</v>
      </c>
      <c r="U17" s="11">
        <f t="shared" si="17"/>
        <v>22</v>
      </c>
      <c r="V17" s="11">
        <f t="shared" si="17"/>
        <v>-75</v>
      </c>
      <c r="W17" s="142">
        <f t="shared" si="17"/>
        <v>29</v>
      </c>
      <c r="X17" s="11">
        <f t="shared" si="17"/>
        <v>162</v>
      </c>
      <c r="Y17" s="14">
        <f>Y14+SUM(Y15:Y16)</f>
        <v>191</v>
      </c>
    </row>
    <row r="18" spans="2:28" x14ac:dyDescent="0.25">
      <c r="B18" t="s">
        <v>20</v>
      </c>
      <c r="C18" s="10">
        <v>-1.018</v>
      </c>
      <c r="D18" s="10">
        <v>6.3810000000000002</v>
      </c>
      <c r="E18" s="10">
        <v>2</v>
      </c>
      <c r="F18" s="10">
        <v>1</v>
      </c>
      <c r="G18" s="15">
        <v>8</v>
      </c>
      <c r="H18" s="40"/>
      <c r="I18" s="40"/>
      <c r="L18" s="10">
        <v>12</v>
      </c>
      <c r="M18" s="10">
        <v>38</v>
      </c>
      <c r="N18" s="10">
        <v>-50</v>
      </c>
      <c r="O18" s="10">
        <f>E18-N18-M18-L18</f>
        <v>2</v>
      </c>
      <c r="P18" s="10">
        <v>1</v>
      </c>
      <c r="Q18" s="10">
        <v>1</v>
      </c>
      <c r="R18" s="10">
        <v>1</v>
      </c>
      <c r="S18" s="10">
        <f>F18-R18-Q18-P18</f>
        <v>-2</v>
      </c>
      <c r="T18" s="10">
        <v>2</v>
      </c>
      <c r="U18" s="10">
        <v>-3</v>
      </c>
      <c r="V18" s="10">
        <v>10</v>
      </c>
      <c r="W18" s="144">
        <f>G18-V18-U18-T18</f>
        <v>-1</v>
      </c>
      <c r="X18" s="151">
        <v>5</v>
      </c>
      <c r="Y18" s="13">
        <v>3</v>
      </c>
    </row>
    <row r="19" spans="2:28" s="1" customFormat="1" x14ac:dyDescent="0.25">
      <c r="B19" s="1" t="s">
        <v>21</v>
      </c>
      <c r="C19" s="11">
        <f>C17-SUM(C18:C18)</f>
        <v>-106.56900000000006</v>
      </c>
      <c r="D19" s="11">
        <f>D17-SUM(D18:D18)</f>
        <v>7.4490000000002006</v>
      </c>
      <c r="E19" s="11">
        <f>E17-SUM(E18:E18)</f>
        <v>-3687</v>
      </c>
      <c r="F19" s="11">
        <f>F17-SUM(F18:F18)</f>
        <v>-1028</v>
      </c>
      <c r="G19" s="14">
        <f>G17-SUM(G18:G18)</f>
        <v>-541</v>
      </c>
      <c r="H19" s="53">
        <f>H22*H20</f>
        <v>641.52</v>
      </c>
      <c r="I19" s="53">
        <f>I22*I20</f>
        <v>668.25</v>
      </c>
      <c r="L19" s="11">
        <f t="shared" ref="L19:AA19" si="18">L17-SUM(L18:L18)</f>
        <v>-1445</v>
      </c>
      <c r="M19" s="11">
        <f t="shared" si="18"/>
        <v>-502</v>
      </c>
      <c r="N19" s="11">
        <f t="shared" si="18"/>
        <v>-1327</v>
      </c>
      <c r="O19" s="11">
        <f t="shared" si="18"/>
        <v>-413</v>
      </c>
      <c r="P19" s="11">
        <f t="shared" si="18"/>
        <v>-392</v>
      </c>
      <c r="Q19" s="11">
        <f t="shared" si="18"/>
        <v>-295</v>
      </c>
      <c r="R19" s="11">
        <f t="shared" si="18"/>
        <v>-175</v>
      </c>
      <c r="S19" s="11">
        <f t="shared" si="18"/>
        <v>-166</v>
      </c>
      <c r="T19" s="11">
        <f t="shared" si="18"/>
        <v>-511</v>
      </c>
      <c r="U19" s="11">
        <f t="shared" si="18"/>
        <v>25</v>
      </c>
      <c r="V19" s="11">
        <f t="shared" si="18"/>
        <v>-85</v>
      </c>
      <c r="W19" s="142">
        <f t="shared" si="18"/>
        <v>30</v>
      </c>
      <c r="X19" s="142">
        <f t="shared" si="18"/>
        <v>157</v>
      </c>
      <c r="Y19" s="14">
        <f t="shared" si="18"/>
        <v>188</v>
      </c>
      <c r="Z19" s="142">
        <f t="shared" si="18"/>
        <v>0</v>
      </c>
      <c r="AA19" s="142">
        <f t="shared" si="18"/>
        <v>0</v>
      </c>
    </row>
    <row r="20" spans="2:28" x14ac:dyDescent="0.25">
      <c r="B20" t="s">
        <v>1</v>
      </c>
      <c r="C20" s="10">
        <v>221.66461000000001</v>
      </c>
      <c r="D20" s="10">
        <v>244.997388</v>
      </c>
      <c r="E20" s="10">
        <v>492.38119</v>
      </c>
      <c r="F20" s="10">
        <v>878.63002400000005</v>
      </c>
      <c r="G20" s="15">
        <v>890.85765900000001</v>
      </c>
      <c r="H20" s="40">
        <v>891</v>
      </c>
      <c r="I20" s="40">
        <v>891</v>
      </c>
      <c r="L20" s="10">
        <v>230.685464</v>
      </c>
      <c r="M20" s="10">
        <v>232.22301899999999</v>
      </c>
      <c r="N20" s="10">
        <v>638.16818799999999</v>
      </c>
      <c r="O20" s="10">
        <v>638.16818799999999</v>
      </c>
      <c r="P20" s="10">
        <v>867.76916800000004</v>
      </c>
      <c r="Q20" s="10">
        <v>874.87330099999997</v>
      </c>
      <c r="R20" s="10">
        <v>882.35657500000002</v>
      </c>
      <c r="S20" s="10">
        <v>882.35657500000002</v>
      </c>
      <c r="T20" s="10">
        <v>896.92469500000004</v>
      </c>
      <c r="U20" s="10">
        <v>904.98486300000002</v>
      </c>
      <c r="V20" s="10">
        <v>895.10879</v>
      </c>
      <c r="W20" s="144">
        <v>895.10879</v>
      </c>
      <c r="X20" s="10">
        <v>895.779</v>
      </c>
      <c r="Y20" s="15">
        <v>904.49</v>
      </c>
    </row>
    <row r="21" spans="2:28" s="1" customFormat="1" x14ac:dyDescent="0.25">
      <c r="B21" s="1" t="s">
        <v>22</v>
      </c>
      <c r="C21" s="2">
        <f>C19/C20</f>
        <v>-0.48076686666401125</v>
      </c>
      <c r="D21" s="2">
        <f>D19/D20</f>
        <v>3.0404405780849388E-2</v>
      </c>
      <c r="E21" s="2">
        <f>E19/E20</f>
        <v>-7.4881008350461151</v>
      </c>
      <c r="F21" s="2">
        <f>F19/F20</f>
        <v>-1.1700032686340343</v>
      </c>
      <c r="G21" s="35">
        <f>G19/G20</f>
        <v>-0.60727995604514418</v>
      </c>
      <c r="H21" s="50"/>
      <c r="I21" s="51"/>
      <c r="L21" s="2">
        <f>L19/L20</f>
        <v>-6.2639404102202123</v>
      </c>
      <c r="M21" s="2">
        <f t="shared" ref="M21:Y21" si="19">M19/M20</f>
        <v>-2.1617150709766633</v>
      </c>
      <c r="N21" s="2">
        <f t="shared" si="19"/>
        <v>-2.0793891405943916</v>
      </c>
      <c r="O21" s="2">
        <f t="shared" si="19"/>
        <v>-0.64716481919026647</v>
      </c>
      <c r="P21" s="2">
        <f t="shared" si="19"/>
        <v>-0.45173303506906803</v>
      </c>
      <c r="Q21" s="2">
        <f t="shared" si="19"/>
        <v>-0.33719168211306522</v>
      </c>
      <c r="R21" s="2">
        <f t="shared" si="19"/>
        <v>-0.1983325165339194</v>
      </c>
      <c r="S21" s="2">
        <f t="shared" si="19"/>
        <v>-0.1881325585407464</v>
      </c>
      <c r="T21" s="2">
        <f t="shared" si="19"/>
        <v>-0.56972452966076481</v>
      </c>
      <c r="U21" s="2">
        <f t="shared" si="19"/>
        <v>2.7624771443276616E-2</v>
      </c>
      <c r="V21" s="2">
        <f t="shared" si="19"/>
        <v>-9.4960524295599869E-2</v>
      </c>
      <c r="W21" s="145">
        <f t="shared" si="19"/>
        <v>3.3515479163152895E-2</v>
      </c>
      <c r="X21" s="2">
        <f>X19/X20</f>
        <v>0.17526644406711925</v>
      </c>
      <c r="Y21" s="35">
        <f>Y19/Y20</f>
        <v>0.20785193866156618</v>
      </c>
    </row>
    <row r="22" spans="2:28" s="1" customFormat="1" x14ac:dyDescent="0.25">
      <c r="B22" s="9" t="s">
        <v>64</v>
      </c>
      <c r="C22" s="2"/>
      <c r="D22" s="2"/>
      <c r="E22" s="2"/>
      <c r="F22" s="2"/>
      <c r="G22" s="35"/>
      <c r="H22" s="44">
        <v>0.72</v>
      </c>
      <c r="I22" s="45">
        <v>0.75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146"/>
      <c r="X22" s="154">
        <v>0.05</v>
      </c>
      <c r="Y22" s="155">
        <v>0.09</v>
      </c>
      <c r="Z22" s="1">
        <v>0.18</v>
      </c>
      <c r="AA22" s="1">
        <v>0.17</v>
      </c>
    </row>
    <row r="23" spans="2:28" s="1" customFormat="1" x14ac:dyDescent="0.25">
      <c r="B23" t="s">
        <v>30</v>
      </c>
      <c r="C23" s="3">
        <f>1-C10/C6</f>
        <v>0.49414664202094871</v>
      </c>
      <c r="D23" s="3">
        <f>1-D10/D6</f>
        <v>0.65925974596201842</v>
      </c>
      <c r="E23" s="3">
        <f>1-E10/E6</f>
        <v>0.23305785123966938</v>
      </c>
      <c r="F23" s="3">
        <f>1-F10/F6</f>
        <v>0.22164948453608246</v>
      </c>
      <c r="G23" s="6">
        <f>1-G10/G6</f>
        <v>0.49008042895442361</v>
      </c>
      <c r="H23" s="121"/>
      <c r="I23" s="121"/>
      <c r="L23" s="3">
        <f t="shared" ref="L23:W23" si="20">1-L10/L6</f>
        <v>0.69731800766283525</v>
      </c>
      <c r="M23" s="3">
        <f t="shared" si="20"/>
        <v>0.6566371681415929</v>
      </c>
      <c r="N23" s="3"/>
      <c r="O23" s="3">
        <f>1-O10/O6</f>
        <v>0.15013404825737264</v>
      </c>
      <c r="P23" s="3">
        <f t="shared" si="20"/>
        <v>0</v>
      </c>
      <c r="Q23" s="3">
        <f t="shared" si="20"/>
        <v>0.13522012578616349</v>
      </c>
      <c r="R23" s="3">
        <f t="shared" si="20"/>
        <v>0.39612188365650969</v>
      </c>
      <c r="S23" s="3">
        <f t="shared" si="20"/>
        <v>0.30263157894736847</v>
      </c>
      <c r="T23" s="3">
        <f t="shared" si="20"/>
        <v>0.46712018140589573</v>
      </c>
      <c r="U23" s="3">
        <f t="shared" si="20"/>
        <v>0.49382716049382713</v>
      </c>
      <c r="V23" s="3">
        <f t="shared" si="20"/>
        <v>0.48394004282655245</v>
      </c>
      <c r="W23" s="39">
        <f t="shared" si="20"/>
        <v>0.5138004246284501</v>
      </c>
      <c r="X23" s="39">
        <f t="shared" ref="X23:AA23" si="21">1-X10/X6</f>
        <v>0.62621359223300965</v>
      </c>
      <c r="Y23" s="6">
        <f t="shared" si="21"/>
        <v>0.63489736070381231</v>
      </c>
      <c r="Z23" s="39" t="e">
        <f t="shared" si="21"/>
        <v>#DIV/0!</v>
      </c>
      <c r="AA23" s="39" t="e">
        <f t="shared" si="21"/>
        <v>#DIV/0!</v>
      </c>
    </row>
    <row r="24" spans="2:28" x14ac:dyDescent="0.25">
      <c r="B24" t="s">
        <v>31</v>
      </c>
      <c r="C24" s="4">
        <f>C19/C6</f>
        <v>-0.3839867691409673</v>
      </c>
      <c r="D24" s="4">
        <f>D19/D6</f>
        <v>7.7688189705612965E-3</v>
      </c>
      <c r="E24" s="4">
        <f>E19/E6</f>
        <v>-2.0314049586776859</v>
      </c>
      <c r="F24" s="4">
        <f>F19/F6</f>
        <v>-0.75699558173784975</v>
      </c>
      <c r="G24" s="7">
        <f>G19/G6</f>
        <v>-0.2900804289544236</v>
      </c>
      <c r="H24" s="122">
        <f>H19/H7</f>
        <v>0.24485496183206107</v>
      </c>
      <c r="I24" s="122">
        <f>I19/I7</f>
        <v>0.23866071428571428</v>
      </c>
      <c r="L24" s="4">
        <f t="shared" ref="L24:W24" si="22">L19/L6</f>
        <v>-2.7681992337164751</v>
      </c>
      <c r="M24" s="4">
        <f t="shared" si="22"/>
        <v>-0.8884955752212389</v>
      </c>
      <c r="N24" s="4">
        <f t="shared" si="22"/>
        <v>-3.7380281690140844</v>
      </c>
      <c r="O24" s="4">
        <f t="shared" si="22"/>
        <v>-1.1072386058981234</v>
      </c>
      <c r="P24" s="4">
        <f t="shared" si="22"/>
        <v>-1.3110367892976589</v>
      </c>
      <c r="Q24" s="4">
        <f t="shared" si="22"/>
        <v>-0.92767295597484278</v>
      </c>
      <c r="R24" s="4">
        <f t="shared" si="22"/>
        <v>-0.48476454293628807</v>
      </c>
      <c r="S24" s="4">
        <f t="shared" si="22"/>
        <v>-0.43684210526315792</v>
      </c>
      <c r="T24" s="4">
        <f t="shared" si="22"/>
        <v>-1.1587301587301588</v>
      </c>
      <c r="U24" s="4">
        <f t="shared" si="22"/>
        <v>5.1440329218106998E-2</v>
      </c>
      <c r="V24" s="4">
        <f t="shared" si="22"/>
        <v>-0.18201284796573874</v>
      </c>
      <c r="W24" s="147">
        <f t="shared" si="22"/>
        <v>6.3694267515923567E-2</v>
      </c>
      <c r="X24" s="147">
        <f t="shared" ref="X24:AA24" si="23">X19/X6</f>
        <v>0.25404530744336568</v>
      </c>
      <c r="Y24" s="7">
        <f t="shared" si="23"/>
        <v>0.2756598240469208</v>
      </c>
      <c r="Z24" s="147" t="e">
        <f t="shared" si="23"/>
        <v>#DIV/0!</v>
      </c>
      <c r="AA24" s="147" t="e">
        <f t="shared" si="23"/>
        <v>#DIV/0!</v>
      </c>
    </row>
    <row r="25" spans="2:28" x14ac:dyDescent="0.25">
      <c r="B25" t="s">
        <v>32</v>
      </c>
      <c r="C25" s="3"/>
      <c r="D25" s="3">
        <f>D6/C6-1</f>
        <v>2.4548432078347449</v>
      </c>
      <c r="E25" s="3">
        <f>E6/D6-1</f>
        <v>0.89292608827606035</v>
      </c>
      <c r="F25" s="39">
        <f>F6/E6-1</f>
        <v>-0.25179063360881537</v>
      </c>
      <c r="G25" s="6">
        <f>G6/F6-1</f>
        <v>0.37334315169366716</v>
      </c>
      <c r="H25" s="117">
        <f>H7/G6-1</f>
        <v>0.4048257372654156</v>
      </c>
      <c r="I25" s="117">
        <f>I7/H7-1</f>
        <v>6.8702290076335881E-2</v>
      </c>
      <c r="L25" s="4"/>
      <c r="M25" s="4"/>
      <c r="N25" s="4"/>
      <c r="O25" s="4"/>
      <c r="P25" s="4">
        <f t="shared" ref="P25:W25" si="24">P6/L6-1</f>
        <v>-0.42720306513409967</v>
      </c>
      <c r="Q25" s="4">
        <f t="shared" si="24"/>
        <v>-0.43716814159292039</v>
      </c>
      <c r="R25" s="4">
        <f t="shared" si="24"/>
        <v>1.6901408450704203E-2</v>
      </c>
      <c r="S25" s="4">
        <f t="shared" si="24"/>
        <v>1.8766756032171594E-2</v>
      </c>
      <c r="T25" s="4">
        <f t="shared" si="24"/>
        <v>0.47491638795986613</v>
      </c>
      <c r="U25" s="4">
        <f t="shared" si="24"/>
        <v>0.52830188679245293</v>
      </c>
      <c r="V25" s="4">
        <f t="shared" si="24"/>
        <v>0.29362880886426601</v>
      </c>
      <c r="W25" s="147">
        <f t="shared" si="24"/>
        <v>0.23947368421052628</v>
      </c>
      <c r="X25" s="147">
        <f t="shared" ref="X25" si="25">X6/T6-1</f>
        <v>0.40136054421768708</v>
      </c>
      <c r="Y25" s="7">
        <f t="shared" ref="Y25" si="26">Y6/U6-1</f>
        <v>0.40329218106995879</v>
      </c>
      <c r="Z25" s="147">
        <f t="shared" ref="Z25" si="27">Z6/V6-1</f>
        <v>-1</v>
      </c>
      <c r="AA25" s="147">
        <f t="shared" ref="AA25" si="28">AA6/W6-1</f>
        <v>-1</v>
      </c>
    </row>
    <row r="26" spans="2:28" x14ac:dyDescent="0.25">
      <c r="B26" t="s">
        <v>221</v>
      </c>
      <c r="C26" s="4">
        <f>C11/C6</f>
        <v>0.12203593806862609</v>
      </c>
      <c r="D26" s="4">
        <f>D11/D6</f>
        <v>0.14382588000204413</v>
      </c>
      <c r="E26" s="4">
        <f>E11/E6</f>
        <v>0.20275482093663913</v>
      </c>
      <c r="F26" s="4">
        <f>F11/F6</f>
        <v>0.20986745213549338</v>
      </c>
      <c r="G26" s="7">
        <f>G11/G6</f>
        <v>8.5254691689008039E-2</v>
      </c>
      <c r="H26" s="117"/>
      <c r="I26" s="117"/>
      <c r="L26" s="4">
        <f>L11/L6</f>
        <v>0.12835249042145594</v>
      </c>
      <c r="M26" s="4">
        <f t="shared" ref="M26:Y26" si="29">M11/M6</f>
        <v>0.17876106194690267</v>
      </c>
      <c r="N26" s="4">
        <f t="shared" si="29"/>
        <v>0.30422535211267604</v>
      </c>
      <c r="O26" s="4">
        <f t="shared" si="29"/>
        <v>0.24664879356568364</v>
      </c>
      <c r="P26" s="4">
        <f t="shared" si="29"/>
        <v>0.30434782608695654</v>
      </c>
      <c r="Q26" s="4">
        <f t="shared" si="29"/>
        <v>0.27044025157232704</v>
      </c>
      <c r="R26" s="4">
        <f t="shared" si="29"/>
        <v>0.18005540166204986</v>
      </c>
      <c r="S26" s="4">
        <f t="shared" si="29"/>
        <v>0.11315789473684211</v>
      </c>
      <c r="T26" s="4">
        <f t="shared" si="29"/>
        <v>9.5238095238095233E-2</v>
      </c>
      <c r="U26" s="4">
        <f t="shared" si="29"/>
        <v>7.407407407407407E-2</v>
      </c>
      <c r="V26" s="4">
        <f t="shared" si="29"/>
        <v>8.7794432548179868E-2</v>
      </c>
      <c r="W26" s="147">
        <f t="shared" si="29"/>
        <v>8.4925690021231418E-2</v>
      </c>
      <c r="X26" s="147">
        <f t="shared" ref="X26:AA26" si="30">X11/X6</f>
        <v>7.1197411003236247E-2</v>
      </c>
      <c r="Y26" s="7">
        <f>Y11/Y6</f>
        <v>6.7448680351906154E-2</v>
      </c>
      <c r="Z26" s="147" t="e">
        <f t="shared" si="30"/>
        <v>#DIV/0!</v>
      </c>
      <c r="AA26" s="147" t="e">
        <f t="shared" si="30"/>
        <v>#DIV/0!</v>
      </c>
    </row>
    <row r="27" spans="2:28" x14ac:dyDescent="0.25">
      <c r="B27" t="s">
        <v>222</v>
      </c>
      <c r="C27" s="4">
        <f>C12/C6</f>
        <v>0.44931233402874621</v>
      </c>
      <c r="D27" s="4">
        <f>D12/D6</f>
        <v>0.19371569397382027</v>
      </c>
      <c r="E27" s="4">
        <f>E12/E6</f>
        <v>0.1790633608815427</v>
      </c>
      <c r="F27" s="4">
        <f>F12/F6</f>
        <v>7.5846833578792336E-2</v>
      </c>
      <c r="G27" s="7">
        <f>G12/G6</f>
        <v>6.5415549597855227E-2</v>
      </c>
      <c r="H27" s="117"/>
      <c r="I27" s="117"/>
      <c r="L27" s="4">
        <f>L12/L6</f>
        <v>0.19540229885057472</v>
      </c>
      <c r="M27" s="4">
        <f t="shared" ref="M27:Y27" si="31">M12/M6</f>
        <v>0.1663716814159292</v>
      </c>
      <c r="N27" s="4">
        <f t="shared" si="31"/>
        <v>0.24507042253521127</v>
      </c>
      <c r="O27" s="4">
        <f t="shared" si="31"/>
        <v>0.1126005361930295</v>
      </c>
      <c r="P27" s="4">
        <f t="shared" si="31"/>
        <v>0.10702341137123746</v>
      </c>
      <c r="Q27" s="4">
        <f t="shared" si="31"/>
        <v>7.2327044025157231E-2</v>
      </c>
      <c r="R27" s="4">
        <f t="shared" si="31"/>
        <v>5.2631578947368418E-2</v>
      </c>
      <c r="S27" s="4">
        <f t="shared" si="31"/>
        <v>7.6315789473684212E-2</v>
      </c>
      <c r="T27" s="4">
        <f t="shared" si="31"/>
        <v>5.8956916099773243E-2</v>
      </c>
      <c r="U27" s="4">
        <f t="shared" si="31"/>
        <v>5.1440329218106998E-2</v>
      </c>
      <c r="V27" s="4">
        <f t="shared" si="31"/>
        <v>5.9957173447537475E-2</v>
      </c>
      <c r="W27" s="147">
        <f t="shared" si="31"/>
        <v>9.1295116772823773E-2</v>
      </c>
      <c r="X27" s="147">
        <f t="shared" ref="X27:AA27" si="32">X12/X6</f>
        <v>0.10841423948220065</v>
      </c>
      <c r="Y27" s="7">
        <f>Y12/Y6</f>
        <v>9.3841642228739003E-2</v>
      </c>
      <c r="Z27" s="147" t="e">
        <f t="shared" si="32"/>
        <v>#DIV/0!</v>
      </c>
      <c r="AA27" s="147" t="e">
        <f t="shared" si="32"/>
        <v>#DIV/0!</v>
      </c>
    </row>
    <row r="28" spans="2:28" x14ac:dyDescent="0.25">
      <c r="B28" t="s">
        <v>129</v>
      </c>
      <c r="C28" s="4">
        <f>C13/C6</f>
        <v>0.30808588528211067</v>
      </c>
      <c r="D28" s="4">
        <f>D13/D6</f>
        <v>0.30734653479803054</v>
      </c>
      <c r="E28" s="4">
        <f>E13/E6</f>
        <v>0.75537190082644623</v>
      </c>
      <c r="F28" s="4">
        <f>F13/F6</f>
        <v>0.68041237113402064</v>
      </c>
      <c r="G28" s="7">
        <f>G13/G6</f>
        <v>0.62680965147453083</v>
      </c>
      <c r="H28" s="117"/>
      <c r="I28" s="117"/>
      <c r="L28" s="4">
        <f>L13/L6</f>
        <v>0.26245210727969348</v>
      </c>
      <c r="M28" s="4">
        <f t="shared" ref="M28:Y28" si="33">M13/M6</f>
        <v>0.19823008849557522</v>
      </c>
      <c r="N28" s="4"/>
      <c r="O28" s="4">
        <f t="shared" si="33"/>
        <v>0.89008042895442363</v>
      </c>
      <c r="P28" s="4">
        <f t="shared" si="33"/>
        <v>0.89632107023411367</v>
      </c>
      <c r="Q28" s="4">
        <f t="shared" si="33"/>
        <v>0.71069182389937102</v>
      </c>
      <c r="R28" s="4">
        <f t="shared" si="33"/>
        <v>0.64542936288088648</v>
      </c>
      <c r="S28" s="4">
        <f t="shared" si="33"/>
        <v>0.51842105263157889</v>
      </c>
      <c r="T28" s="4"/>
      <c r="U28" s="4">
        <f t="shared" si="33"/>
        <v>0.3271604938271605</v>
      </c>
      <c r="V28" s="4">
        <f t="shared" si="33"/>
        <v>0.49250535331905781</v>
      </c>
      <c r="W28" s="147">
        <f t="shared" si="33"/>
        <v>0.28237791932059447</v>
      </c>
      <c r="X28" s="147">
        <f t="shared" ref="X28:AA28" si="34">X13/X6</f>
        <v>0.19093851132686085</v>
      </c>
      <c r="Y28" s="7">
        <f>Y13/Y6</f>
        <v>0.19648093841642228</v>
      </c>
      <c r="Z28" s="147" t="e">
        <f t="shared" si="34"/>
        <v>#DIV/0!</v>
      </c>
      <c r="AA28" s="147" t="e">
        <f t="shared" si="34"/>
        <v>#DIV/0!</v>
      </c>
    </row>
    <row r="29" spans="2:28" x14ac:dyDescent="0.25">
      <c r="B29" t="s">
        <v>223</v>
      </c>
      <c r="C29" s="4"/>
      <c r="D29" s="4"/>
      <c r="E29" s="4">
        <f t="shared" ref="E29:G30" si="35">E3/D3-1</f>
        <v>0.94686259343760093</v>
      </c>
      <c r="F29" s="4">
        <f t="shared" si="35"/>
        <v>-0.41940085592011411</v>
      </c>
      <c r="G29" s="7">
        <f t="shared" si="35"/>
        <v>-3.5626535626535616E-2</v>
      </c>
      <c r="H29" s="117"/>
      <c r="I29" s="117"/>
      <c r="L29" s="4"/>
      <c r="M29" s="4"/>
      <c r="N29" s="4"/>
      <c r="O29" s="4"/>
      <c r="P29" s="4">
        <f t="shared" ref="P29:U29" si="36">P3/L3-1</f>
        <v>-0.48095238095238091</v>
      </c>
      <c r="Q29" s="4">
        <f t="shared" si="36"/>
        <v>-0.55210643015521066</v>
      </c>
      <c r="R29" s="4">
        <f t="shared" si="36"/>
        <v>-0.22097378277153557</v>
      </c>
      <c r="S29" s="4">
        <f t="shared" si="36"/>
        <v>-0.29545454545454541</v>
      </c>
      <c r="T29" s="4">
        <f t="shared" si="36"/>
        <v>-5.0458715596330306E-2</v>
      </c>
      <c r="U29" s="4">
        <f t="shared" si="36"/>
        <v>-4.4554455445544594E-2</v>
      </c>
      <c r="V29" s="4">
        <f>V3/R3-1</f>
        <v>-0.11057692307692313</v>
      </c>
      <c r="W29" s="147">
        <f>W3/S3-1</f>
        <v>7.5268817204301008E-2</v>
      </c>
      <c r="X29" s="147">
        <f t="shared" ref="X29:AA29" si="37">X3/T3-1</f>
        <v>0.58937198067632846</v>
      </c>
      <c r="Y29" s="7">
        <f>Y3/U3-1</f>
        <v>0.69430051813471505</v>
      </c>
      <c r="Z29" s="147">
        <f t="shared" si="37"/>
        <v>-1</v>
      </c>
      <c r="AA29" s="147">
        <f t="shared" si="37"/>
        <v>-1</v>
      </c>
    </row>
    <row r="30" spans="2:28" x14ac:dyDescent="0.25">
      <c r="B30" t="s">
        <v>224</v>
      </c>
      <c r="C30" s="4"/>
      <c r="D30" s="4"/>
      <c r="E30" s="4">
        <f t="shared" si="35"/>
        <v>0.44276560131201492</v>
      </c>
      <c r="F30" s="4">
        <f t="shared" si="35"/>
        <v>0.65625</v>
      </c>
      <c r="G30" s="7">
        <f t="shared" si="35"/>
        <v>1.1910377358490565</v>
      </c>
      <c r="H30" s="117"/>
      <c r="I30" s="117"/>
      <c r="L30" s="4"/>
      <c r="M30" s="4"/>
      <c r="N30" s="4"/>
      <c r="O30" s="4"/>
      <c r="P30" s="4">
        <f t="shared" ref="P30:U30" si="38">P4/L4-1</f>
        <v>-0.11290322580645162</v>
      </c>
      <c r="Q30" s="4">
        <f t="shared" si="38"/>
        <v>8.8235294117646967E-2</v>
      </c>
      <c r="R30" s="4">
        <f t="shared" si="38"/>
        <v>1.0317460317460316</v>
      </c>
      <c r="S30" s="4">
        <f t="shared" si="38"/>
        <v>1.6507936507936507</v>
      </c>
      <c r="T30" s="4">
        <f t="shared" si="38"/>
        <v>2.7818181818181817</v>
      </c>
      <c r="U30" s="4">
        <f t="shared" si="38"/>
        <v>2.1621621621621623</v>
      </c>
      <c r="V30" s="4">
        <f>V4/R4-1</f>
        <v>0.9609375</v>
      </c>
      <c r="W30" s="147">
        <f>W4/S4-1</f>
        <v>0.41317365269461082</v>
      </c>
      <c r="X30" s="147">
        <f t="shared" ref="X30:AA30" si="39">X4/T4-1</f>
        <v>0.22115384615384626</v>
      </c>
      <c r="Y30" s="7">
        <f t="shared" si="39"/>
        <v>0.21794871794871784</v>
      </c>
      <c r="Z30" s="147">
        <f t="shared" si="39"/>
        <v>-1</v>
      </c>
      <c r="AA30" s="147">
        <f t="shared" si="39"/>
        <v>-1</v>
      </c>
    </row>
    <row r="31" spans="2:28" x14ac:dyDescent="0.25">
      <c r="B31" t="s">
        <v>229</v>
      </c>
      <c r="C31" s="3"/>
      <c r="D31" s="3">
        <f>-(D19/C19-1)</f>
        <v>1.0698983757002525</v>
      </c>
      <c r="E31" s="3">
        <f>-(E19/D19-1)</f>
        <v>495.96576721706276</v>
      </c>
      <c r="F31" s="39">
        <f>F19/E19-1</f>
        <v>-0.72118253322484405</v>
      </c>
      <c r="G31" s="6">
        <f>G19/F19-1</f>
        <v>-0.47373540856031127</v>
      </c>
      <c r="H31" s="52">
        <f>H21/G21-1</f>
        <v>-1</v>
      </c>
      <c r="I31" s="52" t="e">
        <f>I21/H21-1</f>
        <v>#DIV/0!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47">
        <f>W21/S21-1</f>
        <v>-1.1781482132764063</v>
      </c>
      <c r="X31" s="147">
        <f>X21/T21-1</f>
        <v>-1.3076336631871537</v>
      </c>
      <c r="Y31" s="147">
        <f t="shared" ref="Y31:AB31" si="40">Y21/U21-1</f>
        <v>6.5241143293568742</v>
      </c>
      <c r="Z31" s="147">
        <f t="shared" si="40"/>
        <v>-1</v>
      </c>
      <c r="AA31" s="147">
        <f t="shared" si="40"/>
        <v>-1</v>
      </c>
      <c r="AB31" s="147">
        <f t="shared" si="40"/>
        <v>-1</v>
      </c>
    </row>
    <row r="32" spans="2:28" x14ac:dyDescent="0.25">
      <c r="C32" s="3"/>
      <c r="D32" s="3"/>
      <c r="E32" s="3"/>
      <c r="F32" s="39"/>
      <c r="G32" s="6"/>
      <c r="H32" s="52"/>
      <c r="I32" s="5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47"/>
      <c r="X32" s="4"/>
    </row>
    <row r="33" spans="2:27" x14ac:dyDescent="0.25">
      <c r="C33" s="3"/>
      <c r="D33" s="3"/>
      <c r="E33" s="3"/>
      <c r="F33" s="39"/>
      <c r="G33" s="6"/>
      <c r="H33" s="52"/>
      <c r="I33" s="5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47"/>
      <c r="X33" s="4"/>
    </row>
    <row r="36" spans="2:27" s="1" customFormat="1" x14ac:dyDescent="0.25">
      <c r="B36" s="1" t="s">
        <v>39</v>
      </c>
      <c r="C36" s="11">
        <f t="shared" ref="C36:F36" si="41">C37+C38</f>
        <v>0</v>
      </c>
      <c r="D36" s="11">
        <f t="shared" si="41"/>
        <v>6317.2889999999998</v>
      </c>
      <c r="E36" s="11">
        <f t="shared" si="41"/>
        <v>10245.896000000001</v>
      </c>
      <c r="F36" s="11">
        <f t="shared" si="41"/>
        <v>9334</v>
      </c>
      <c r="G36" s="14">
        <f>G37+G38</f>
        <v>9283</v>
      </c>
      <c r="L36" s="11">
        <f t="shared" ref="L36" si="42">L37+L38</f>
        <v>0</v>
      </c>
      <c r="M36" s="11">
        <f t="shared" ref="M36" si="43">M37+M38</f>
        <v>0</v>
      </c>
      <c r="N36" s="11">
        <f t="shared" ref="N36" si="44">N37+N38</f>
        <v>0</v>
      </c>
      <c r="O36" s="11">
        <f t="shared" ref="O36" si="45">O37+O38</f>
        <v>10245.896000000001</v>
      </c>
      <c r="P36" s="11">
        <f t="shared" ref="P36" si="46">P37+P38</f>
        <v>10649</v>
      </c>
      <c r="Q36" s="11">
        <f t="shared" ref="Q36" si="47">Q37+Q38</f>
        <v>9382</v>
      </c>
      <c r="R36" s="11">
        <f t="shared" ref="R36" si="48">R37+R38</f>
        <v>9141</v>
      </c>
      <c r="S36" s="11">
        <f t="shared" ref="S36" si="49">S37+S38</f>
        <v>9334</v>
      </c>
      <c r="T36" s="11">
        <f t="shared" ref="T36" si="50">T37+T38</f>
        <v>9672</v>
      </c>
      <c r="U36" s="11">
        <f t="shared" ref="U36" si="51">U37+U38</f>
        <v>10049</v>
      </c>
      <c r="V36" s="11">
        <f t="shared" ref="V36" si="52">V37+V38</f>
        <v>8337</v>
      </c>
      <c r="W36" s="142">
        <f t="shared" ref="W36" si="53">W37+W38</f>
        <v>9283</v>
      </c>
      <c r="X36" s="11">
        <f t="shared" ref="X36" si="54">X37+X38</f>
        <v>9238</v>
      </c>
      <c r="Y36" s="14">
        <f t="shared" ref="Y36:AA36" si="55">Y37+Y38</f>
        <v>9108</v>
      </c>
      <c r="Z36" s="142">
        <f t="shared" si="55"/>
        <v>0</v>
      </c>
      <c r="AA36" s="11">
        <f t="shared" si="55"/>
        <v>0</v>
      </c>
    </row>
    <row r="37" spans="2:27" x14ac:dyDescent="0.25">
      <c r="B37" t="s">
        <v>24</v>
      </c>
      <c r="C37" s="10"/>
      <c r="D37" s="10">
        <v>1402.6289999999999</v>
      </c>
      <c r="E37" s="10">
        <v>6253.4769999999999</v>
      </c>
      <c r="F37" s="10">
        <v>6339</v>
      </c>
      <c r="G37" s="15">
        <v>4835</v>
      </c>
      <c r="L37" s="10"/>
      <c r="M37" s="10"/>
      <c r="N37" s="10"/>
      <c r="O37" s="10">
        <f>E37</f>
        <v>6253.4769999999999</v>
      </c>
      <c r="P37" s="10">
        <v>6191</v>
      </c>
      <c r="Q37" s="10">
        <v>5962</v>
      </c>
      <c r="R37" s="10">
        <v>6187</v>
      </c>
      <c r="S37" s="10">
        <f>F37</f>
        <v>6339</v>
      </c>
      <c r="T37" s="10">
        <v>5459</v>
      </c>
      <c r="U37" s="10">
        <v>5829</v>
      </c>
      <c r="V37" s="10">
        <v>4889</v>
      </c>
      <c r="W37" s="144">
        <f>G37</f>
        <v>4835</v>
      </c>
      <c r="X37" s="151">
        <v>4717</v>
      </c>
      <c r="Y37" s="13">
        <v>4524</v>
      </c>
    </row>
    <row r="38" spans="2:27" x14ac:dyDescent="0.25">
      <c r="B38" t="s">
        <v>198</v>
      </c>
      <c r="C38" s="10"/>
      <c r="D38" s="10">
        <v>4914.66</v>
      </c>
      <c r="E38" s="10">
        <v>3992.4189999999999</v>
      </c>
      <c r="F38" s="10">
        <v>2995</v>
      </c>
      <c r="G38" s="15">
        <v>4448</v>
      </c>
      <c r="L38" s="10"/>
      <c r="M38" s="10"/>
      <c r="N38" s="10"/>
      <c r="O38" s="10">
        <f t="shared" ref="O38:O47" si="56">E38</f>
        <v>3992.4189999999999</v>
      </c>
      <c r="P38" s="10">
        <v>4458</v>
      </c>
      <c r="Q38" s="10">
        <v>3420</v>
      </c>
      <c r="R38" s="10">
        <v>2954</v>
      </c>
      <c r="S38" s="10">
        <f t="shared" ref="S38:S47" si="57">F38</f>
        <v>2995</v>
      </c>
      <c r="T38" s="10">
        <v>4213</v>
      </c>
      <c r="U38" s="10">
        <v>4220</v>
      </c>
      <c r="V38" s="10">
        <v>3448</v>
      </c>
      <c r="W38" s="144">
        <f t="shared" ref="W38:W47" si="58">G38</f>
        <v>4448</v>
      </c>
      <c r="X38" s="151">
        <v>4521</v>
      </c>
      <c r="Y38" s="13">
        <v>4584</v>
      </c>
    </row>
    <row r="39" spans="2:27" x14ac:dyDescent="0.25">
      <c r="B39" t="s">
        <v>199</v>
      </c>
      <c r="C39" s="10"/>
      <c r="D39" s="10">
        <v>124.501</v>
      </c>
      <c r="E39" s="10">
        <v>88.325999999999993</v>
      </c>
      <c r="F39" s="10">
        <v>76</v>
      </c>
      <c r="G39" s="15">
        <v>89</v>
      </c>
      <c r="L39" s="10"/>
      <c r="M39" s="10"/>
      <c r="N39" s="10"/>
      <c r="O39" s="10">
        <f t="shared" si="56"/>
        <v>88.325999999999993</v>
      </c>
      <c r="P39" s="10">
        <v>124</v>
      </c>
      <c r="Q39" s="10">
        <v>89</v>
      </c>
      <c r="R39" s="10">
        <v>75</v>
      </c>
      <c r="S39" s="10">
        <f t="shared" si="57"/>
        <v>76</v>
      </c>
      <c r="T39" s="10">
        <v>112</v>
      </c>
      <c r="U39" s="10">
        <v>117</v>
      </c>
      <c r="V39" s="10">
        <v>63</v>
      </c>
      <c r="W39" s="144">
        <f t="shared" si="58"/>
        <v>89</v>
      </c>
      <c r="X39" s="151">
        <v>207</v>
      </c>
      <c r="Y39" s="13">
        <v>149</v>
      </c>
    </row>
    <row r="40" spans="2:27" x14ac:dyDescent="0.25">
      <c r="B40" t="s">
        <v>200</v>
      </c>
      <c r="C40" s="10"/>
      <c r="D40" s="10">
        <v>3354.1419999999998</v>
      </c>
      <c r="E40" s="10">
        <v>6638.9</v>
      </c>
      <c r="F40" s="10">
        <v>3218</v>
      </c>
      <c r="G40" s="15">
        <v>3495</v>
      </c>
      <c r="L40" s="10"/>
      <c r="M40" s="10"/>
      <c r="N40" s="10"/>
      <c r="O40" s="10">
        <f t="shared" si="56"/>
        <v>6638.9</v>
      </c>
      <c r="P40" s="10">
        <v>5215</v>
      </c>
      <c r="Q40" s="10">
        <v>4146</v>
      </c>
      <c r="R40" s="10">
        <v>4046</v>
      </c>
      <c r="S40" s="10">
        <f t="shared" si="57"/>
        <v>3218</v>
      </c>
      <c r="T40" s="10">
        <v>3152</v>
      </c>
      <c r="U40" s="10">
        <v>3313</v>
      </c>
      <c r="V40" s="10">
        <v>3704</v>
      </c>
      <c r="W40" s="144">
        <f t="shared" si="58"/>
        <v>3495</v>
      </c>
      <c r="X40" s="151">
        <v>4303</v>
      </c>
      <c r="Y40" s="13">
        <v>5040</v>
      </c>
    </row>
    <row r="41" spans="2:27" x14ac:dyDescent="0.25">
      <c r="B41" t="s">
        <v>201</v>
      </c>
      <c r="C41" s="10"/>
      <c r="D41" s="10"/>
      <c r="E41" s="10"/>
      <c r="F41" s="10">
        <v>517</v>
      </c>
      <c r="G41" s="15">
        <v>1602</v>
      </c>
      <c r="L41" s="10"/>
      <c r="M41" s="10"/>
      <c r="N41" s="10"/>
      <c r="O41" s="10">
        <f t="shared" si="56"/>
        <v>0</v>
      </c>
      <c r="P41" s="10"/>
      <c r="Q41" s="10">
        <v>289</v>
      </c>
      <c r="R41" s="10">
        <v>139</v>
      </c>
      <c r="S41" s="10">
        <f t="shared" si="57"/>
        <v>517</v>
      </c>
      <c r="T41" s="10">
        <v>884</v>
      </c>
      <c r="U41" s="10">
        <v>960</v>
      </c>
      <c r="V41" s="10">
        <v>1204</v>
      </c>
      <c r="W41" s="144">
        <f t="shared" si="58"/>
        <v>1602</v>
      </c>
      <c r="X41" s="151">
        <v>2107</v>
      </c>
      <c r="Y41" s="13">
        <v>2217</v>
      </c>
    </row>
    <row r="42" spans="2:27" x14ac:dyDescent="0.25">
      <c r="B42" t="s">
        <v>202</v>
      </c>
      <c r="C42" s="10"/>
      <c r="D42" s="10">
        <v>225.51400000000001</v>
      </c>
      <c r="E42" s="10">
        <v>327.91699999999997</v>
      </c>
      <c r="F42" s="10">
        <v>186</v>
      </c>
      <c r="G42" s="15">
        <v>338</v>
      </c>
      <c r="L42" s="10"/>
      <c r="M42" s="10"/>
      <c r="N42" s="10"/>
      <c r="O42" s="10">
        <f t="shared" si="56"/>
        <v>327.91699999999997</v>
      </c>
      <c r="P42" s="10">
        <v>294</v>
      </c>
      <c r="Q42" s="10">
        <v>8593</v>
      </c>
      <c r="R42" s="10">
        <v>201</v>
      </c>
      <c r="S42" s="10">
        <f t="shared" si="57"/>
        <v>186</v>
      </c>
      <c r="T42" s="10">
        <v>247</v>
      </c>
      <c r="U42" s="10">
        <v>223</v>
      </c>
      <c r="V42" s="10">
        <v>275</v>
      </c>
      <c r="W42" s="144">
        <f t="shared" si="58"/>
        <v>338</v>
      </c>
      <c r="X42" s="151">
        <v>585</v>
      </c>
      <c r="Y42" s="13">
        <v>551</v>
      </c>
    </row>
    <row r="43" spans="2:27" x14ac:dyDescent="0.25">
      <c r="B43" t="s">
        <v>203</v>
      </c>
      <c r="C43" s="10"/>
      <c r="D43" s="10"/>
      <c r="E43" s="10"/>
      <c r="F43" s="10">
        <v>8431</v>
      </c>
      <c r="G43" s="15">
        <v>14708</v>
      </c>
      <c r="L43" s="10"/>
      <c r="M43" s="10"/>
      <c r="N43" s="10"/>
      <c r="O43" s="10">
        <f t="shared" si="56"/>
        <v>0</v>
      </c>
      <c r="P43" s="10"/>
      <c r="Q43" s="10">
        <v>1297</v>
      </c>
      <c r="R43" s="10">
        <v>9361</v>
      </c>
      <c r="S43" s="10">
        <f t="shared" si="57"/>
        <v>8431</v>
      </c>
      <c r="T43" s="10">
        <v>11489</v>
      </c>
      <c r="U43" s="10">
        <v>11503</v>
      </c>
      <c r="V43" s="10">
        <v>10183</v>
      </c>
      <c r="W43" s="144">
        <f t="shared" si="58"/>
        <v>14708</v>
      </c>
      <c r="X43" s="151">
        <v>26223</v>
      </c>
      <c r="Y43" s="13">
        <v>20643</v>
      </c>
    </row>
    <row r="44" spans="2:27" x14ac:dyDescent="0.25">
      <c r="B44" t="s">
        <v>204</v>
      </c>
      <c r="C44" s="10"/>
      <c r="D44" s="10">
        <v>802.48299999999995</v>
      </c>
      <c r="E44" s="10">
        <v>1834.479</v>
      </c>
      <c r="F44" s="10">
        <v>997</v>
      </c>
      <c r="G44" s="15">
        <v>1592</v>
      </c>
      <c r="L44" s="10"/>
      <c r="M44" s="10"/>
      <c r="N44" s="10"/>
      <c r="O44" s="10">
        <f t="shared" si="56"/>
        <v>1834.479</v>
      </c>
      <c r="P44" s="10">
        <v>1929</v>
      </c>
      <c r="Q44" s="10">
        <v>46</v>
      </c>
      <c r="R44" s="10">
        <v>1029</v>
      </c>
      <c r="S44" s="10">
        <f t="shared" si="57"/>
        <v>997</v>
      </c>
      <c r="T44" s="10">
        <v>1217</v>
      </c>
      <c r="U44" s="10">
        <v>1409</v>
      </c>
      <c r="V44" s="10">
        <v>1396</v>
      </c>
      <c r="W44" s="144">
        <f t="shared" si="58"/>
        <v>1592</v>
      </c>
      <c r="X44" s="151">
        <v>1975</v>
      </c>
      <c r="Y44" s="13">
        <v>2011</v>
      </c>
    </row>
    <row r="45" spans="2:27" x14ac:dyDescent="0.25">
      <c r="B45" t="s">
        <v>205</v>
      </c>
      <c r="C45" s="10"/>
      <c r="D45" s="10"/>
      <c r="E45" s="10">
        <v>27.189</v>
      </c>
      <c r="F45" s="10"/>
      <c r="G45" s="15">
        <v>413</v>
      </c>
      <c r="L45" s="10"/>
      <c r="M45" s="10"/>
      <c r="N45" s="10"/>
      <c r="O45" s="10">
        <f t="shared" si="56"/>
        <v>27.189</v>
      </c>
      <c r="P45" s="10">
        <v>40</v>
      </c>
      <c r="Q45" s="10">
        <v>88</v>
      </c>
      <c r="R45" s="10">
        <v>32</v>
      </c>
      <c r="S45" s="10">
        <f t="shared" si="57"/>
        <v>0</v>
      </c>
      <c r="T45" s="10">
        <v>290</v>
      </c>
      <c r="U45" s="10">
        <v>321</v>
      </c>
      <c r="V45" s="10">
        <v>372</v>
      </c>
      <c r="W45" s="144">
        <f t="shared" si="58"/>
        <v>413</v>
      </c>
      <c r="X45" s="151">
        <v>495</v>
      </c>
      <c r="Y45" s="13">
        <v>503</v>
      </c>
    </row>
    <row r="46" spans="2:27" x14ac:dyDescent="0.25">
      <c r="B46" t="s">
        <v>73</v>
      </c>
      <c r="C46" s="10"/>
      <c r="D46" s="10"/>
      <c r="E46" s="10"/>
      <c r="F46" s="10">
        <v>86</v>
      </c>
      <c r="G46" s="15">
        <v>63</v>
      </c>
      <c r="L46" s="10"/>
      <c r="M46" s="10"/>
      <c r="N46" s="10"/>
      <c r="O46" s="10">
        <f t="shared" si="56"/>
        <v>0</v>
      </c>
      <c r="P46" s="10">
        <v>75</v>
      </c>
      <c r="Q46" s="10"/>
      <c r="R46" s="10">
        <v>80</v>
      </c>
      <c r="S46" s="10">
        <f t="shared" si="57"/>
        <v>86</v>
      </c>
      <c r="T46" s="10">
        <v>90</v>
      </c>
      <c r="U46" s="10">
        <v>88</v>
      </c>
      <c r="V46" s="10">
        <v>75</v>
      </c>
      <c r="W46" s="144">
        <f t="shared" si="58"/>
        <v>63</v>
      </c>
      <c r="X46" s="151">
        <v>64</v>
      </c>
      <c r="Y46" s="13">
        <v>65</v>
      </c>
    </row>
    <row r="47" spans="2:27" x14ac:dyDescent="0.25">
      <c r="B47" t="s">
        <v>206</v>
      </c>
      <c r="C47" s="10"/>
      <c r="D47" s="10">
        <v>48.655000000000001</v>
      </c>
      <c r="E47" s="10">
        <v>120.83499999999999</v>
      </c>
      <c r="F47" s="10">
        <v>72</v>
      </c>
      <c r="G47" s="15">
        <v>207</v>
      </c>
      <c r="L47" s="10"/>
      <c r="M47" s="10"/>
      <c r="N47" s="10"/>
      <c r="O47" s="10">
        <f t="shared" si="56"/>
        <v>120.83499999999999</v>
      </c>
      <c r="P47" s="10">
        <v>29</v>
      </c>
      <c r="Q47" s="10">
        <v>115</v>
      </c>
      <c r="R47" s="10">
        <v>41</v>
      </c>
      <c r="S47" s="10">
        <f t="shared" si="57"/>
        <v>72</v>
      </c>
      <c r="T47" s="10">
        <v>75</v>
      </c>
      <c r="U47" s="10">
        <v>123</v>
      </c>
      <c r="V47" s="10">
        <v>130</v>
      </c>
      <c r="W47" s="144">
        <f t="shared" si="58"/>
        <v>207</v>
      </c>
      <c r="X47" s="151">
        <v>348</v>
      </c>
      <c r="Y47" s="13">
        <f>67+352</f>
        <v>419</v>
      </c>
    </row>
    <row r="48" spans="2:27" s="1" customFormat="1" x14ac:dyDescent="0.25">
      <c r="B48" s="1" t="s">
        <v>61</v>
      </c>
      <c r="C48" s="11">
        <f>SUM(C37:C47)</f>
        <v>0</v>
      </c>
      <c r="D48" s="11">
        <f>SUM(D37:D47)</f>
        <v>10872.584000000001</v>
      </c>
      <c r="E48" s="11">
        <f>SUM(E37:E47)</f>
        <v>19283.541999999998</v>
      </c>
      <c r="F48" s="11">
        <f>SUM(F37:F47)</f>
        <v>22917</v>
      </c>
      <c r="G48" s="14">
        <f>SUM(G37:G47)</f>
        <v>31790</v>
      </c>
      <c r="L48" s="11">
        <f t="shared" ref="L48:W48" si="59">SUM(L37:L47)</f>
        <v>0</v>
      </c>
      <c r="M48" s="11">
        <f t="shared" si="59"/>
        <v>0</v>
      </c>
      <c r="N48" s="11">
        <f t="shared" si="59"/>
        <v>0</v>
      </c>
      <c r="O48" s="11">
        <f t="shared" si="59"/>
        <v>19283.541999999998</v>
      </c>
      <c r="P48" s="11">
        <f t="shared" si="59"/>
        <v>18355</v>
      </c>
      <c r="Q48" s="11">
        <f t="shared" si="59"/>
        <v>24045</v>
      </c>
      <c r="R48" s="11">
        <f t="shared" si="59"/>
        <v>24145</v>
      </c>
      <c r="S48" s="11">
        <f t="shared" si="59"/>
        <v>22917</v>
      </c>
      <c r="T48" s="11">
        <f t="shared" si="59"/>
        <v>27228</v>
      </c>
      <c r="U48" s="11">
        <f t="shared" si="59"/>
        <v>28106</v>
      </c>
      <c r="V48" s="11">
        <f t="shared" si="59"/>
        <v>25739</v>
      </c>
      <c r="W48" s="142">
        <f t="shared" si="59"/>
        <v>31790</v>
      </c>
      <c r="X48" s="142">
        <f t="shared" ref="X48" si="60">SUM(X37:X47)</f>
        <v>45545</v>
      </c>
      <c r="Y48" s="14">
        <f t="shared" ref="Y48" si="61">SUM(Y37:Y47)</f>
        <v>40706</v>
      </c>
      <c r="Z48" s="142">
        <f t="shared" ref="Z48" si="62">SUM(Z37:Z47)</f>
        <v>0</v>
      </c>
      <c r="AA48" s="142">
        <f t="shared" ref="AA48" si="63">SUM(AA37:AA47)</f>
        <v>0</v>
      </c>
    </row>
    <row r="49" spans="2:27" x14ac:dyDescent="0.25">
      <c r="B49" t="s">
        <v>74</v>
      </c>
      <c r="C49" s="10"/>
      <c r="D49" s="10">
        <v>45.834000000000003</v>
      </c>
      <c r="E49" s="10">
        <v>146.41900000000001</v>
      </c>
      <c r="F49" s="10">
        <v>146</v>
      </c>
      <c r="G49" s="15">
        <v>120</v>
      </c>
      <c r="L49" s="10"/>
      <c r="M49" s="10"/>
      <c r="N49" s="10"/>
      <c r="O49" s="10">
        <f t="shared" ref="O49:O54" si="64">E49</f>
        <v>146.41900000000001</v>
      </c>
      <c r="P49" s="10">
        <v>166</v>
      </c>
      <c r="Q49" s="10">
        <v>170</v>
      </c>
      <c r="R49" s="10">
        <v>151</v>
      </c>
      <c r="S49" s="10">
        <f t="shared" ref="S49:S54" si="65">F49</f>
        <v>146</v>
      </c>
      <c r="T49" s="10">
        <v>137</v>
      </c>
      <c r="U49" s="10">
        <v>131</v>
      </c>
      <c r="V49" s="10">
        <v>123</v>
      </c>
      <c r="W49" s="144">
        <f t="shared" ref="W49:W54" si="66">G49</f>
        <v>120</v>
      </c>
      <c r="X49" s="144">
        <v>122</v>
      </c>
      <c r="Y49" s="15">
        <v>123</v>
      </c>
      <c r="Z49" s="144"/>
      <c r="AA49" s="144"/>
    </row>
    <row r="50" spans="2:27" x14ac:dyDescent="0.25">
      <c r="B50" t="s">
        <v>26</v>
      </c>
      <c r="C50" s="10"/>
      <c r="D50" s="10"/>
      <c r="E50" s="10">
        <v>100.521</v>
      </c>
      <c r="F50" s="10">
        <v>100</v>
      </c>
      <c r="G50" s="15">
        <v>175</v>
      </c>
      <c r="L50" s="10"/>
      <c r="M50" s="10"/>
      <c r="N50" s="10"/>
      <c r="O50" s="10">
        <f t="shared" si="64"/>
        <v>100.521</v>
      </c>
      <c r="P50" s="10">
        <v>100</v>
      </c>
      <c r="Q50" s="10">
        <v>100</v>
      </c>
      <c r="R50" s="10">
        <v>100</v>
      </c>
      <c r="S50" s="10">
        <f t="shared" si="65"/>
        <v>100</v>
      </c>
      <c r="T50" s="10">
        <v>100</v>
      </c>
      <c r="U50" s="10">
        <v>100</v>
      </c>
      <c r="V50" s="10">
        <v>164</v>
      </c>
      <c r="W50" s="144">
        <f t="shared" si="66"/>
        <v>175</v>
      </c>
      <c r="X50" s="144">
        <v>175</v>
      </c>
      <c r="Y50" s="15">
        <v>179</v>
      </c>
      <c r="Z50" s="144"/>
      <c r="AA50" s="144"/>
    </row>
    <row r="51" spans="2:27" x14ac:dyDescent="0.25">
      <c r="B51" t="s">
        <v>207</v>
      </c>
      <c r="C51" s="10"/>
      <c r="D51" s="10">
        <v>0.185</v>
      </c>
      <c r="E51" s="10">
        <v>34.106999999999999</v>
      </c>
      <c r="F51" s="10">
        <v>25</v>
      </c>
      <c r="G51" s="15">
        <v>48</v>
      </c>
      <c r="L51" s="10"/>
      <c r="M51" s="10"/>
      <c r="N51" s="10"/>
      <c r="O51" s="10">
        <f t="shared" si="64"/>
        <v>34.106999999999999</v>
      </c>
      <c r="P51" s="10">
        <v>32</v>
      </c>
      <c r="Q51" s="10">
        <v>30</v>
      </c>
      <c r="R51" s="10">
        <v>27</v>
      </c>
      <c r="S51" s="10">
        <f t="shared" si="65"/>
        <v>25</v>
      </c>
      <c r="T51" s="10">
        <v>23</v>
      </c>
      <c r="U51" s="10">
        <v>21</v>
      </c>
      <c r="V51" s="10">
        <v>53</v>
      </c>
      <c r="W51" s="144">
        <f t="shared" si="66"/>
        <v>48</v>
      </c>
      <c r="X51" s="144">
        <v>46</v>
      </c>
      <c r="Y51" s="15">
        <v>45</v>
      </c>
      <c r="Z51" s="144"/>
      <c r="AA51" s="144"/>
    </row>
    <row r="52" spans="2:27" x14ac:dyDescent="0.25">
      <c r="B52" t="s">
        <v>208</v>
      </c>
      <c r="C52" s="10"/>
      <c r="D52" s="10">
        <v>7.3639999999999999</v>
      </c>
      <c r="E52" s="10">
        <v>23.773</v>
      </c>
      <c r="F52" s="10"/>
      <c r="G52" s="15">
        <v>73</v>
      </c>
      <c r="L52" s="10"/>
      <c r="M52" s="10"/>
      <c r="N52" s="10"/>
      <c r="O52" s="10">
        <f t="shared" si="64"/>
        <v>23.773</v>
      </c>
      <c r="P52" s="10">
        <v>24</v>
      </c>
      <c r="Q52" s="10">
        <f>22+128</f>
        <v>150</v>
      </c>
      <c r="R52" s="10">
        <f>22+100</f>
        <v>122</v>
      </c>
      <c r="S52" s="10">
        <f t="shared" si="65"/>
        <v>0</v>
      </c>
      <c r="T52" s="10">
        <v>195</v>
      </c>
      <c r="U52" s="10">
        <v>165</v>
      </c>
      <c r="V52" s="10">
        <v>118</v>
      </c>
      <c r="W52" s="144">
        <f t="shared" si="66"/>
        <v>73</v>
      </c>
      <c r="X52" s="144">
        <v>10</v>
      </c>
      <c r="Y52" s="15">
        <v>2</v>
      </c>
      <c r="Z52" s="144"/>
      <c r="AA52" s="144"/>
    </row>
    <row r="53" spans="2:27" s="1" customFormat="1" x14ac:dyDescent="0.25">
      <c r="B53" t="s">
        <v>209</v>
      </c>
      <c r="C53" s="10"/>
      <c r="D53" s="10"/>
      <c r="E53" s="10"/>
      <c r="F53" s="10">
        <v>17</v>
      </c>
      <c r="G53" s="15">
        <v>4</v>
      </c>
      <c r="L53" s="10"/>
      <c r="M53" s="10"/>
      <c r="N53" s="10"/>
      <c r="O53" s="10">
        <f t="shared" si="64"/>
        <v>0</v>
      </c>
      <c r="P53" s="10">
        <f>155+35</f>
        <v>190</v>
      </c>
      <c r="Q53" s="10">
        <v>37</v>
      </c>
      <c r="R53" s="10">
        <v>27</v>
      </c>
      <c r="S53" s="10">
        <f t="shared" si="65"/>
        <v>17</v>
      </c>
      <c r="T53" s="10">
        <v>11</v>
      </c>
      <c r="U53" s="10">
        <v>6</v>
      </c>
      <c r="V53" s="10">
        <v>3</v>
      </c>
      <c r="W53" s="144">
        <f t="shared" si="66"/>
        <v>4</v>
      </c>
      <c r="X53" s="144"/>
      <c r="Y53" s="15">
        <v>159</v>
      </c>
      <c r="Z53" s="144"/>
      <c r="AA53" s="144"/>
    </row>
    <row r="54" spans="2:27" s="1" customFormat="1" x14ac:dyDescent="0.25">
      <c r="B54" t="s">
        <v>25</v>
      </c>
      <c r="C54" s="10"/>
      <c r="D54" s="10">
        <v>62.506999999999998</v>
      </c>
      <c r="E54" s="10">
        <v>180.81700000000001</v>
      </c>
      <c r="F54" s="10">
        <v>132</v>
      </c>
      <c r="G54" s="15">
        <v>122</v>
      </c>
      <c r="L54" s="10"/>
      <c r="M54" s="10"/>
      <c r="N54" s="10"/>
      <c r="O54" s="10">
        <f t="shared" si="64"/>
        <v>180.81700000000001</v>
      </c>
      <c r="P54" s="10">
        <v>5</v>
      </c>
      <c r="Q54" s="10">
        <v>16</v>
      </c>
      <c r="R54" s="10">
        <v>29</v>
      </c>
      <c r="S54" s="10">
        <f t="shared" si="65"/>
        <v>132</v>
      </c>
      <c r="T54" s="10">
        <v>131</v>
      </c>
      <c r="U54" s="10">
        <v>131</v>
      </c>
      <c r="V54" s="10">
        <v>118</v>
      </c>
      <c r="W54" s="144">
        <f t="shared" si="66"/>
        <v>122</v>
      </c>
      <c r="X54" s="144">
        <v>190</v>
      </c>
      <c r="Y54" s="15">
        <v>132</v>
      </c>
      <c r="Z54" s="144"/>
      <c r="AA54" s="144"/>
    </row>
    <row r="55" spans="2:27" x14ac:dyDescent="0.25">
      <c r="B55" s="1" t="s">
        <v>27</v>
      </c>
      <c r="C55" s="11">
        <f>SUM(C48:C54)</f>
        <v>0</v>
      </c>
      <c r="D55" s="11">
        <f>SUM(D48:D54)</f>
        <v>10988.474</v>
      </c>
      <c r="E55" s="11">
        <f>SUM(E48:E54)</f>
        <v>19769.179</v>
      </c>
      <c r="F55" s="11">
        <f>SUM(F48:F54)</f>
        <v>23337</v>
      </c>
      <c r="G55" s="14">
        <f>SUM(G48:G54)</f>
        <v>32332</v>
      </c>
      <c r="L55" s="11">
        <f t="shared" ref="L55:W55" si="67">SUM(L48:L54)</f>
        <v>0</v>
      </c>
      <c r="M55" s="11">
        <f t="shared" si="67"/>
        <v>0</v>
      </c>
      <c r="N55" s="11">
        <f t="shared" si="67"/>
        <v>0</v>
      </c>
      <c r="O55" s="11">
        <f t="shared" si="67"/>
        <v>19769.179</v>
      </c>
      <c r="P55" s="11">
        <f t="shared" si="67"/>
        <v>18872</v>
      </c>
      <c r="Q55" s="11">
        <f t="shared" si="67"/>
        <v>24548</v>
      </c>
      <c r="R55" s="11">
        <f t="shared" si="67"/>
        <v>24601</v>
      </c>
      <c r="S55" s="11">
        <f t="shared" si="67"/>
        <v>23337</v>
      </c>
      <c r="T55" s="11">
        <f t="shared" si="67"/>
        <v>27825</v>
      </c>
      <c r="U55" s="11">
        <f t="shared" si="67"/>
        <v>28660</v>
      </c>
      <c r="V55" s="11">
        <f t="shared" si="67"/>
        <v>26318</v>
      </c>
      <c r="W55" s="142">
        <f t="shared" si="67"/>
        <v>32332</v>
      </c>
      <c r="X55" s="142">
        <f t="shared" ref="X55:AA55" si="68">SUM(X48:X54)</f>
        <v>46088</v>
      </c>
      <c r="Y55" s="14">
        <f t="shared" si="68"/>
        <v>41346</v>
      </c>
      <c r="Z55" s="142">
        <f t="shared" si="68"/>
        <v>0</v>
      </c>
      <c r="AA55" s="142">
        <f t="shared" si="68"/>
        <v>0</v>
      </c>
    </row>
    <row r="56" spans="2:27" x14ac:dyDescent="0.25">
      <c r="B56" t="s">
        <v>29</v>
      </c>
      <c r="C56" s="10"/>
      <c r="D56" s="10">
        <v>104.649</v>
      </c>
      <c r="E56" s="10">
        <v>252.31299999999999</v>
      </c>
      <c r="F56" s="10">
        <v>185</v>
      </c>
      <c r="G56" s="15">
        <v>384</v>
      </c>
      <c r="L56" s="10"/>
      <c r="M56" s="10"/>
      <c r="N56" s="10"/>
      <c r="O56" s="10">
        <f t="shared" ref="O56:O61" si="69">E56</f>
        <v>252.31299999999999</v>
      </c>
      <c r="P56" s="10">
        <v>249</v>
      </c>
      <c r="Q56" s="10">
        <v>243</v>
      </c>
      <c r="R56" s="10">
        <v>203</v>
      </c>
      <c r="S56" s="10">
        <f t="shared" ref="S56:S61" si="70">F56</f>
        <v>185</v>
      </c>
      <c r="T56" s="10">
        <v>203</v>
      </c>
      <c r="U56" s="10">
        <v>236</v>
      </c>
      <c r="V56" s="10">
        <v>373</v>
      </c>
      <c r="W56" s="144">
        <f t="shared" ref="W56:W61" si="71">G56</f>
        <v>384</v>
      </c>
      <c r="X56" s="144">
        <v>351</v>
      </c>
      <c r="Y56" s="15">
        <v>386</v>
      </c>
      <c r="Z56" s="144"/>
      <c r="AA56" s="144"/>
    </row>
    <row r="57" spans="2:27" x14ac:dyDescent="0.25">
      <c r="B57" t="s">
        <v>210</v>
      </c>
      <c r="C57" s="10"/>
      <c r="D57" s="10">
        <v>5897.2420000000002</v>
      </c>
      <c r="E57" s="10">
        <v>6475.7280000000001</v>
      </c>
      <c r="F57" s="10">
        <v>4701</v>
      </c>
      <c r="G57" s="15">
        <v>5097</v>
      </c>
      <c r="L57" s="10"/>
      <c r="M57" s="10"/>
      <c r="N57" s="10"/>
      <c r="O57" s="10">
        <f t="shared" si="69"/>
        <v>6475.7280000000001</v>
      </c>
      <c r="P57" s="10">
        <v>7149</v>
      </c>
      <c r="Q57" s="10">
        <v>5795</v>
      </c>
      <c r="R57" s="10">
        <v>5396</v>
      </c>
      <c r="S57" s="10">
        <f t="shared" si="70"/>
        <v>4701</v>
      </c>
      <c r="T57" s="10">
        <v>4986</v>
      </c>
      <c r="U57" s="10">
        <v>5111</v>
      </c>
      <c r="V57" s="10">
        <v>4325</v>
      </c>
      <c r="W57" s="144">
        <f t="shared" si="71"/>
        <v>5097</v>
      </c>
      <c r="X57" s="144">
        <v>6074</v>
      </c>
      <c r="Y57" s="15">
        <v>5789</v>
      </c>
      <c r="Z57" s="144"/>
      <c r="AA57" s="144"/>
    </row>
    <row r="58" spans="2:27" x14ac:dyDescent="0.25">
      <c r="B58" t="s">
        <v>211</v>
      </c>
      <c r="C58" s="10"/>
      <c r="D58" s="10">
        <v>1921.1179999999999</v>
      </c>
      <c r="E58" s="10">
        <v>3651.0349999999999</v>
      </c>
      <c r="F58" s="10">
        <v>1834</v>
      </c>
      <c r="G58" s="15">
        <v>3547</v>
      </c>
      <c r="L58" s="10"/>
      <c r="M58" s="10"/>
      <c r="N58" s="10"/>
      <c r="O58" s="10">
        <f t="shared" si="69"/>
        <v>3651.0349999999999</v>
      </c>
      <c r="P58" s="10">
        <v>2151</v>
      </c>
      <c r="Q58" s="10">
        <v>1367</v>
      </c>
      <c r="R58" s="10">
        <v>1423</v>
      </c>
      <c r="S58" s="10">
        <f t="shared" si="70"/>
        <v>1834</v>
      </c>
      <c r="T58" s="10">
        <v>2609</v>
      </c>
      <c r="U58" s="10">
        <v>2982</v>
      </c>
      <c r="V58" s="10">
        <v>3245</v>
      </c>
      <c r="W58" s="144">
        <f t="shared" si="71"/>
        <v>3547</v>
      </c>
      <c r="X58" s="144">
        <v>4215</v>
      </c>
      <c r="Y58" s="15">
        <v>5091</v>
      </c>
      <c r="Z58" s="144"/>
      <c r="AA58" s="144"/>
    </row>
    <row r="59" spans="2:27" x14ac:dyDescent="0.25">
      <c r="B59" t="s">
        <v>212</v>
      </c>
      <c r="C59" s="10"/>
      <c r="D59" s="10"/>
      <c r="E59" s="10"/>
      <c r="F59" s="10">
        <v>8431</v>
      </c>
      <c r="G59" s="15">
        <v>14708</v>
      </c>
      <c r="L59" s="10"/>
      <c r="M59" s="10"/>
      <c r="N59" s="10"/>
      <c r="O59" s="10">
        <f t="shared" si="69"/>
        <v>0</v>
      </c>
      <c r="P59" s="10">
        <v>1929</v>
      </c>
      <c r="Q59" s="10">
        <v>8593</v>
      </c>
      <c r="R59" s="10">
        <v>9361</v>
      </c>
      <c r="S59" s="10">
        <f t="shared" si="70"/>
        <v>8431</v>
      </c>
      <c r="T59" s="10">
        <v>11489</v>
      </c>
      <c r="U59" s="10">
        <v>11503</v>
      </c>
      <c r="V59" s="10">
        <v>10183</v>
      </c>
      <c r="W59" s="144">
        <f t="shared" si="71"/>
        <v>14708</v>
      </c>
      <c r="X59" s="144">
        <v>26223</v>
      </c>
      <c r="Y59" s="15">
        <v>20643</v>
      </c>
      <c r="Z59" s="144"/>
      <c r="AA59" s="144"/>
    </row>
    <row r="60" spans="2:27" x14ac:dyDescent="0.25">
      <c r="B60" t="s">
        <v>213</v>
      </c>
      <c r="C60" s="10"/>
      <c r="D60" s="10">
        <v>802.48299999999995</v>
      </c>
      <c r="E60" s="10">
        <v>1834.479</v>
      </c>
      <c r="F60" s="10">
        <v>997</v>
      </c>
      <c r="G60" s="15">
        <v>1592</v>
      </c>
      <c r="L60" s="10"/>
      <c r="M60" s="10"/>
      <c r="N60" s="10"/>
      <c r="O60" s="10">
        <f t="shared" si="69"/>
        <v>1834.479</v>
      </c>
      <c r="P60" s="10">
        <v>23</v>
      </c>
      <c r="Q60" s="10">
        <v>1297</v>
      </c>
      <c r="R60" s="10">
        <v>1029</v>
      </c>
      <c r="S60" s="10">
        <f t="shared" si="70"/>
        <v>997</v>
      </c>
      <c r="T60" s="10">
        <v>1217</v>
      </c>
      <c r="U60" s="10">
        <v>1409</v>
      </c>
      <c r="V60" s="10">
        <v>1396</v>
      </c>
      <c r="W60" s="144">
        <f t="shared" si="71"/>
        <v>1592</v>
      </c>
      <c r="X60" s="144">
        <v>1975</v>
      </c>
      <c r="Y60" s="15">
        <v>2011</v>
      </c>
      <c r="Z60" s="144"/>
      <c r="AA60" s="144"/>
    </row>
    <row r="61" spans="2:27" x14ac:dyDescent="0.25">
      <c r="B61" t="s">
        <v>206</v>
      </c>
      <c r="C61" s="10"/>
      <c r="D61" s="10">
        <v>90.552999999999997</v>
      </c>
      <c r="E61" s="10">
        <v>133.78700000000001</v>
      </c>
      <c r="F61" s="10">
        <v>105</v>
      </c>
      <c r="G61" s="15">
        <v>217</v>
      </c>
      <c r="L61" s="10"/>
      <c r="M61" s="10"/>
      <c r="N61" s="10"/>
      <c r="O61" s="10">
        <f t="shared" si="69"/>
        <v>133.78700000000001</v>
      </c>
      <c r="P61" s="10">
        <v>80</v>
      </c>
      <c r="Q61" s="10">
        <f>22+82</f>
        <v>104</v>
      </c>
      <c r="R61" s="10">
        <f>22+75</f>
        <v>97</v>
      </c>
      <c r="S61" s="10">
        <f t="shared" si="70"/>
        <v>105</v>
      </c>
      <c r="T61" s="10">
        <v>113</v>
      </c>
      <c r="U61" s="10">
        <v>115</v>
      </c>
      <c r="V61" s="10">
        <v>126</v>
      </c>
      <c r="W61" s="144">
        <f t="shared" si="71"/>
        <v>217</v>
      </c>
      <c r="X61" s="144">
        <v>275</v>
      </c>
      <c r="Y61" s="15">
        <v>220</v>
      </c>
      <c r="Z61" s="144"/>
      <c r="AA61" s="144"/>
    </row>
    <row r="62" spans="2:27" s="1" customFormat="1" x14ac:dyDescent="0.25">
      <c r="B62" s="1" t="s">
        <v>62</v>
      </c>
      <c r="C62" s="11">
        <f>SUM(C56:C61)</f>
        <v>0</v>
      </c>
      <c r="D62" s="11">
        <f>SUM(D56:D61)</f>
        <v>8816.0450000000001</v>
      </c>
      <c r="E62" s="11">
        <f>SUM(E56:E61)</f>
        <v>12347.342000000001</v>
      </c>
      <c r="F62" s="11">
        <f>SUM(F56:F61)</f>
        <v>16253</v>
      </c>
      <c r="G62" s="14">
        <f>SUM(G56:G61)</f>
        <v>25545</v>
      </c>
      <c r="L62" s="11">
        <f t="shared" ref="L62:W62" si="72">SUM(L56:L61)</f>
        <v>0</v>
      </c>
      <c r="M62" s="11">
        <f t="shared" si="72"/>
        <v>0</v>
      </c>
      <c r="N62" s="11">
        <f t="shared" si="72"/>
        <v>0</v>
      </c>
      <c r="O62" s="11">
        <f t="shared" si="72"/>
        <v>12347.342000000001</v>
      </c>
      <c r="P62" s="11">
        <f t="shared" si="72"/>
        <v>11581</v>
      </c>
      <c r="Q62" s="11">
        <f t="shared" si="72"/>
        <v>17399</v>
      </c>
      <c r="R62" s="11">
        <f t="shared" si="72"/>
        <v>17509</v>
      </c>
      <c r="S62" s="11">
        <f t="shared" si="72"/>
        <v>16253</v>
      </c>
      <c r="T62" s="11">
        <f t="shared" si="72"/>
        <v>20617</v>
      </c>
      <c r="U62" s="11">
        <f t="shared" si="72"/>
        <v>21356</v>
      </c>
      <c r="V62" s="11">
        <f t="shared" si="72"/>
        <v>19648</v>
      </c>
      <c r="W62" s="142">
        <f t="shared" si="72"/>
        <v>25545</v>
      </c>
      <c r="X62" s="142">
        <f t="shared" ref="X62" si="73">SUM(X56:X61)</f>
        <v>39113</v>
      </c>
      <c r="Y62" s="14">
        <f t="shared" ref="Y62" si="74">SUM(Y56:Y61)</f>
        <v>34140</v>
      </c>
      <c r="Z62" s="142">
        <f t="shared" ref="Z62" si="75">SUM(Z56:Z61)</f>
        <v>0</v>
      </c>
      <c r="AA62" s="142">
        <f t="shared" ref="AA62" si="76">SUM(AA56:AA61)</f>
        <v>0</v>
      </c>
    </row>
    <row r="63" spans="2:27" x14ac:dyDescent="0.25">
      <c r="B63" t="s">
        <v>214</v>
      </c>
      <c r="C63" s="10"/>
      <c r="D63" s="10">
        <v>48.012</v>
      </c>
      <c r="E63" s="10">
        <v>128.745</v>
      </c>
      <c r="F63" s="10">
        <v>128</v>
      </c>
      <c r="G63" s="15">
        <v>91</v>
      </c>
      <c r="L63" s="10"/>
      <c r="M63" s="10"/>
      <c r="N63" s="10"/>
      <c r="O63" s="10">
        <f>E63</f>
        <v>128.745</v>
      </c>
      <c r="P63" s="10">
        <v>160</v>
      </c>
      <c r="Q63" s="10">
        <v>132</v>
      </c>
      <c r="R63" s="10">
        <v>138</v>
      </c>
      <c r="S63" s="10">
        <f>F63</f>
        <v>128</v>
      </c>
      <c r="T63" s="10">
        <v>122</v>
      </c>
      <c r="U63" s="10">
        <v>117</v>
      </c>
      <c r="V63" s="10">
        <v>96</v>
      </c>
      <c r="W63" s="144">
        <f>G63</f>
        <v>91</v>
      </c>
      <c r="X63" s="144">
        <v>90</v>
      </c>
      <c r="Y63" s="15">
        <v>84</v>
      </c>
      <c r="Z63" s="144"/>
      <c r="AA63" s="144"/>
    </row>
    <row r="64" spans="2:27" x14ac:dyDescent="0.25">
      <c r="B64" s="1" t="s">
        <v>28</v>
      </c>
      <c r="C64" s="11">
        <f>SUM(C62:C63)</f>
        <v>0</v>
      </c>
      <c r="D64" s="11">
        <f>SUM(D62:D63)</f>
        <v>8864.0570000000007</v>
      </c>
      <c r="E64" s="11">
        <f>SUM(E62:E63)</f>
        <v>12476.087000000001</v>
      </c>
      <c r="F64" s="11">
        <f>SUM(F62:F63)</f>
        <v>16381</v>
      </c>
      <c r="G64" s="14">
        <f>SUM(G62:G63)</f>
        <v>25636</v>
      </c>
      <c r="L64" s="11">
        <f t="shared" ref="L64:W64" si="77">SUM(L62:L63)</f>
        <v>0</v>
      </c>
      <c r="M64" s="11">
        <f t="shared" si="77"/>
        <v>0</v>
      </c>
      <c r="N64" s="11">
        <f t="shared" si="77"/>
        <v>0</v>
      </c>
      <c r="O64" s="11">
        <f t="shared" si="77"/>
        <v>12476.087000000001</v>
      </c>
      <c r="P64" s="11">
        <f t="shared" si="77"/>
        <v>11741</v>
      </c>
      <c r="Q64" s="11">
        <f t="shared" si="77"/>
        <v>17531</v>
      </c>
      <c r="R64" s="11">
        <f t="shared" si="77"/>
        <v>17647</v>
      </c>
      <c r="S64" s="11">
        <f t="shared" si="77"/>
        <v>16381</v>
      </c>
      <c r="T64" s="11">
        <f t="shared" si="77"/>
        <v>20739</v>
      </c>
      <c r="U64" s="11">
        <f t="shared" si="77"/>
        <v>21473</v>
      </c>
      <c r="V64" s="11">
        <f t="shared" si="77"/>
        <v>19744</v>
      </c>
      <c r="W64" s="142">
        <f t="shared" si="77"/>
        <v>25636</v>
      </c>
      <c r="X64" s="142">
        <f t="shared" ref="X64" si="78">SUM(X62:X63)</f>
        <v>39203</v>
      </c>
      <c r="Y64" s="14">
        <f t="shared" ref="Y64" si="79">SUM(Y62:Y63)</f>
        <v>34224</v>
      </c>
      <c r="Z64" s="142">
        <f t="shared" ref="Z64" si="80">SUM(Z62:Z63)</f>
        <v>0</v>
      </c>
      <c r="AA64" s="142">
        <f t="shared" ref="AA64" si="81">SUM(AA62:AA63)</f>
        <v>0</v>
      </c>
    </row>
    <row r="65" spans="2:27" x14ac:dyDescent="0.25">
      <c r="B65" t="s">
        <v>75</v>
      </c>
      <c r="C65" s="10">
        <f>C55-C64</f>
        <v>0</v>
      </c>
      <c r="D65" s="10">
        <f>D55-D64</f>
        <v>2124.4169999999995</v>
      </c>
      <c r="E65" s="10">
        <f>E55-E64</f>
        <v>7293.0919999999987</v>
      </c>
      <c r="F65" s="10">
        <f>F55-F64</f>
        <v>6956</v>
      </c>
      <c r="G65" s="15">
        <f>G55-G64</f>
        <v>6696</v>
      </c>
      <c r="L65" s="10">
        <f t="shared" ref="L65:W65" si="82">L55-L64</f>
        <v>0</v>
      </c>
      <c r="M65" s="10">
        <f t="shared" si="82"/>
        <v>0</v>
      </c>
      <c r="N65" s="10">
        <f t="shared" si="82"/>
        <v>0</v>
      </c>
      <c r="O65" s="10">
        <f t="shared" si="82"/>
        <v>7293.0919999999987</v>
      </c>
      <c r="P65" s="10">
        <f t="shared" si="82"/>
        <v>7131</v>
      </c>
      <c r="Q65" s="10">
        <f t="shared" si="82"/>
        <v>7017</v>
      </c>
      <c r="R65" s="10">
        <f t="shared" si="82"/>
        <v>6954</v>
      </c>
      <c r="S65" s="10">
        <f t="shared" si="82"/>
        <v>6956</v>
      </c>
      <c r="T65" s="10">
        <f t="shared" si="82"/>
        <v>7086</v>
      </c>
      <c r="U65" s="10">
        <f t="shared" si="82"/>
        <v>7187</v>
      </c>
      <c r="V65" s="10">
        <f t="shared" si="82"/>
        <v>6574</v>
      </c>
      <c r="W65" s="144">
        <f t="shared" si="82"/>
        <v>6696</v>
      </c>
      <c r="X65" s="144">
        <f t="shared" ref="X65" si="83">X55-X64</f>
        <v>6885</v>
      </c>
      <c r="Y65" s="15">
        <f t="shared" ref="Y65" si="84">Y55-Y64</f>
        <v>7122</v>
      </c>
      <c r="Z65" s="144">
        <f t="shared" ref="Z65" si="85">Z55-Z64</f>
        <v>0</v>
      </c>
      <c r="AA65" s="144">
        <f t="shared" ref="AA65" si="86">AA55-AA64</f>
        <v>0</v>
      </c>
    </row>
    <row r="67" spans="2:27" s="1" customFormat="1" x14ac:dyDescent="0.25">
      <c r="B67" s="1" t="s">
        <v>76</v>
      </c>
      <c r="C67" s="48"/>
      <c r="D67" s="48"/>
      <c r="E67" s="48"/>
      <c r="F67" s="48"/>
      <c r="G67" s="49"/>
      <c r="S67" s="156">
        <f>(S37+S38)/(O37+O38)-1</f>
        <v>-8.9001098586204752E-2</v>
      </c>
      <c r="T67" s="156">
        <f t="shared" ref="T67:X67" si="87">(T37+T38)/(P37+P38)-1</f>
        <v>-9.1745703821955127E-2</v>
      </c>
      <c r="U67" s="156">
        <f t="shared" si="87"/>
        <v>7.1093583457684906E-2</v>
      </c>
      <c r="V67" s="156">
        <f t="shared" si="87"/>
        <v>-8.7955365933705232E-2</v>
      </c>
      <c r="W67" s="156">
        <f t="shared" si="87"/>
        <v>-5.4638954360403114E-3</v>
      </c>
      <c r="X67" s="156">
        <f t="shared" si="87"/>
        <v>-4.4871794871794823E-2</v>
      </c>
      <c r="Y67" s="49">
        <f>(Y37+Y38)/(U37+U38)-1</f>
        <v>-9.3641158324211382E-2</v>
      </c>
    </row>
    <row r="85" spans="7:25" s="9" customFormat="1" x14ac:dyDescent="0.25">
      <c r="G85" s="41"/>
      <c r="W85" s="149"/>
      <c r="Y85" s="41"/>
    </row>
    <row r="86" spans="7:25" s="1" customFormat="1" x14ac:dyDescent="0.25">
      <c r="G86" s="16"/>
      <c r="W86" s="148"/>
      <c r="Y86" s="16"/>
    </row>
  </sheetData>
  <phoneticPr fontId="3" type="noConversion"/>
  <conditionalFormatting sqref="L23:AA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Y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3" sqref="X13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AM27"/>
  <sheetViews>
    <sheetView zoomScale="90" zoomScaleNormal="9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G11" sqref="AG11"/>
    </sheetView>
  </sheetViews>
  <sheetFormatPr defaultRowHeight="15" x14ac:dyDescent="0.25"/>
  <cols>
    <col min="1" max="1" width="42.5703125" customWidth="1"/>
    <col min="2" max="7" width="8.42578125" bestFit="1" customWidth="1"/>
    <col min="8" max="8" width="7.85546875" bestFit="1" customWidth="1"/>
    <col min="9" max="9" width="8.85546875" bestFit="1" customWidth="1"/>
    <col min="10" max="10" width="8.7109375" bestFit="1" customWidth="1"/>
    <col min="11" max="11" width="8.5703125" bestFit="1" customWidth="1"/>
    <col min="12" max="12" width="9" bestFit="1" customWidth="1"/>
    <col min="13" max="13" width="8.7109375" bestFit="1" customWidth="1"/>
    <col min="14" max="14" width="7.140625" bestFit="1" customWidth="1"/>
    <col min="15" max="15" width="8.7109375" bestFit="1" customWidth="1"/>
    <col min="16" max="16" width="9.140625" bestFit="1" customWidth="1"/>
    <col min="17" max="17" width="8.5703125" bestFit="1" customWidth="1"/>
    <col min="18" max="18" width="8.7109375" bestFit="1" customWidth="1"/>
    <col min="19" max="19" width="8.42578125" bestFit="1" customWidth="1"/>
    <col min="20" max="20" width="7.85546875" bestFit="1" customWidth="1"/>
    <col min="21" max="21" width="8.85546875" bestFit="1" customWidth="1"/>
    <col min="22" max="22" width="8.7109375" bestFit="1" customWidth="1"/>
    <col min="23" max="23" width="8.5703125" bestFit="1" customWidth="1"/>
    <col min="24" max="24" width="9" bestFit="1" customWidth="1"/>
    <col min="25" max="25" width="8.7109375" bestFit="1" customWidth="1"/>
    <col min="26" max="26" width="8.28515625" bestFit="1" customWidth="1"/>
    <col min="27" max="28" width="8.7109375" bestFit="1" customWidth="1"/>
    <col min="29" max="29" width="8.5703125" bestFit="1" customWidth="1"/>
    <col min="30" max="30" width="8.7109375" bestFit="1" customWidth="1"/>
    <col min="31" max="31" width="8.42578125" bestFit="1" customWidth="1"/>
    <col min="32" max="32" width="7.85546875" bestFit="1" customWidth="1"/>
    <col min="33" max="33" width="8.85546875" bestFit="1" customWidth="1"/>
    <col min="34" max="34" width="8.7109375" bestFit="1" customWidth="1"/>
    <col min="35" max="35" width="8.5703125" bestFit="1" customWidth="1"/>
  </cols>
  <sheetData>
    <row r="1" spans="1:39" s="150" customFormat="1" x14ac:dyDescent="0.25">
      <c r="B1" s="150">
        <v>44562</v>
      </c>
      <c r="C1" s="150">
        <v>44593</v>
      </c>
      <c r="D1" s="150">
        <v>44621</v>
      </c>
      <c r="E1" s="150">
        <v>44652</v>
      </c>
      <c r="F1" s="150">
        <v>44682</v>
      </c>
      <c r="G1" s="150">
        <v>44713</v>
      </c>
      <c r="H1" s="150">
        <v>44743</v>
      </c>
      <c r="I1" s="150">
        <v>44774</v>
      </c>
      <c r="J1" s="150">
        <v>44805</v>
      </c>
      <c r="K1" s="150">
        <v>44835</v>
      </c>
      <c r="L1" s="150">
        <v>44866</v>
      </c>
      <c r="M1" s="150">
        <v>44896</v>
      </c>
      <c r="N1" s="150">
        <v>44927</v>
      </c>
      <c r="O1" s="150">
        <v>44958</v>
      </c>
      <c r="P1" s="150">
        <v>44986</v>
      </c>
      <c r="Q1" s="150">
        <v>45017</v>
      </c>
      <c r="R1" s="150">
        <v>45047</v>
      </c>
      <c r="S1" s="150">
        <v>45078</v>
      </c>
      <c r="T1" s="150">
        <v>45108</v>
      </c>
      <c r="U1" s="150">
        <v>45139</v>
      </c>
      <c r="V1" s="150">
        <v>45170</v>
      </c>
      <c r="W1" s="150">
        <v>45200</v>
      </c>
      <c r="X1" s="150">
        <v>45231</v>
      </c>
      <c r="Y1" s="150">
        <v>45261</v>
      </c>
      <c r="Z1" s="150">
        <v>45292</v>
      </c>
      <c r="AA1" s="150">
        <v>45323</v>
      </c>
      <c r="AB1" s="150">
        <v>45352</v>
      </c>
      <c r="AC1" s="150">
        <v>45383</v>
      </c>
      <c r="AD1" s="150">
        <v>45413</v>
      </c>
      <c r="AE1" s="150">
        <v>45444</v>
      </c>
      <c r="AF1" s="150">
        <v>45474</v>
      </c>
      <c r="AG1" s="150">
        <v>45505</v>
      </c>
      <c r="AH1" s="150">
        <v>45536</v>
      </c>
      <c r="AI1" s="150">
        <v>45566</v>
      </c>
      <c r="AJ1" s="150">
        <v>45597</v>
      </c>
      <c r="AK1" s="150">
        <v>45627</v>
      </c>
      <c r="AL1" s="150">
        <v>45658</v>
      </c>
      <c r="AM1" s="150">
        <v>45689</v>
      </c>
    </row>
    <row r="2" spans="1:39" x14ac:dyDescent="0.25">
      <c r="A2" t="s">
        <v>181</v>
      </c>
      <c r="B2">
        <v>22.7</v>
      </c>
      <c r="C2">
        <v>22.8</v>
      </c>
      <c r="D2">
        <v>22.8</v>
      </c>
      <c r="E2">
        <v>22.8</v>
      </c>
      <c r="F2">
        <v>22.8</v>
      </c>
      <c r="G2">
        <v>22.9</v>
      </c>
      <c r="H2">
        <v>22.9</v>
      </c>
      <c r="I2">
        <v>22.9</v>
      </c>
      <c r="J2">
        <v>22.9</v>
      </c>
      <c r="K2">
        <v>22.9</v>
      </c>
      <c r="L2">
        <v>23</v>
      </c>
      <c r="M2">
        <v>23</v>
      </c>
      <c r="N2">
        <v>23</v>
      </c>
      <c r="O2">
        <v>23.1</v>
      </c>
      <c r="P2">
        <v>23.1</v>
      </c>
      <c r="Q2">
        <v>23.1</v>
      </c>
      <c r="R2">
        <v>23.1</v>
      </c>
      <c r="S2">
        <v>23.2</v>
      </c>
      <c r="T2">
        <v>23.2</v>
      </c>
      <c r="U2">
        <v>23.2</v>
      </c>
      <c r="V2">
        <v>23.3</v>
      </c>
      <c r="W2">
        <v>23.3</v>
      </c>
      <c r="X2">
        <v>23.3</v>
      </c>
      <c r="Y2">
        <v>23.4</v>
      </c>
      <c r="Z2">
        <v>23.5</v>
      </c>
      <c r="AA2">
        <v>23.6</v>
      </c>
      <c r="AB2">
        <v>23.9</v>
      </c>
      <c r="AC2">
        <v>24</v>
      </c>
      <c r="AD2">
        <v>24.1</v>
      </c>
      <c r="AE2">
        <v>24.2</v>
      </c>
      <c r="AF2">
        <v>24.3</v>
      </c>
      <c r="AG2">
        <v>24.2</v>
      </c>
    </row>
    <row r="4" spans="1:39" x14ac:dyDescent="0.25">
      <c r="A4" s="1" t="s">
        <v>197</v>
      </c>
    </row>
    <row r="5" spans="1:39" x14ac:dyDescent="0.25">
      <c r="A5" t="s">
        <v>182</v>
      </c>
      <c r="B5">
        <v>86.8</v>
      </c>
      <c r="C5">
        <v>86.9</v>
      </c>
      <c r="D5">
        <v>93.1</v>
      </c>
      <c r="E5">
        <v>78.5</v>
      </c>
      <c r="F5">
        <v>73.900000000000006</v>
      </c>
      <c r="G5">
        <v>64.2</v>
      </c>
      <c r="H5">
        <v>74.599999999999994</v>
      </c>
      <c r="I5">
        <v>71</v>
      </c>
      <c r="J5">
        <v>64.599999999999994</v>
      </c>
      <c r="K5">
        <v>70.2</v>
      </c>
      <c r="L5">
        <v>70.2</v>
      </c>
      <c r="M5">
        <v>62.2</v>
      </c>
      <c r="N5">
        <v>74.7</v>
      </c>
      <c r="O5">
        <v>74.7</v>
      </c>
      <c r="P5">
        <v>78.400000000000006</v>
      </c>
      <c r="Q5">
        <v>77.400000000000006</v>
      </c>
      <c r="R5">
        <v>81.8</v>
      </c>
      <c r="S5">
        <v>88.8</v>
      </c>
      <c r="T5">
        <v>94.5</v>
      </c>
      <c r="U5">
        <v>89.7</v>
      </c>
      <c r="V5">
        <v>86.5</v>
      </c>
      <c r="W5">
        <v>84.6</v>
      </c>
      <c r="X5">
        <v>94.4</v>
      </c>
      <c r="Y5">
        <v>102.6</v>
      </c>
      <c r="Z5">
        <v>102.4</v>
      </c>
      <c r="AA5">
        <v>118.7</v>
      </c>
      <c r="AB5">
        <v>129.6</v>
      </c>
      <c r="AC5">
        <v>123.3</v>
      </c>
      <c r="AD5">
        <v>135</v>
      </c>
      <c r="AE5">
        <v>139.69999999999999</v>
      </c>
      <c r="AF5">
        <v>144.5</v>
      </c>
      <c r="AG5">
        <v>143.6</v>
      </c>
    </row>
    <row r="6" spans="1:39" x14ac:dyDescent="0.25">
      <c r="A6" t="s">
        <v>183</v>
      </c>
      <c r="B6">
        <v>2.9</v>
      </c>
      <c r="C6">
        <v>1.6</v>
      </c>
      <c r="D6">
        <v>1.2</v>
      </c>
      <c r="E6">
        <v>1.2</v>
      </c>
      <c r="F6">
        <v>2.5</v>
      </c>
      <c r="G6">
        <v>1.5</v>
      </c>
      <c r="H6">
        <v>0.7</v>
      </c>
      <c r="I6">
        <v>0.8</v>
      </c>
      <c r="J6">
        <v>1.3</v>
      </c>
      <c r="K6">
        <v>1.6</v>
      </c>
      <c r="L6">
        <v>1.7</v>
      </c>
      <c r="M6">
        <v>1.6</v>
      </c>
      <c r="N6">
        <v>1.4</v>
      </c>
      <c r="O6">
        <v>1.5</v>
      </c>
      <c r="P6">
        <v>1.5</v>
      </c>
      <c r="Q6">
        <v>1.4</v>
      </c>
      <c r="R6">
        <v>1.6</v>
      </c>
      <c r="S6">
        <v>1.1000000000000001</v>
      </c>
      <c r="T6">
        <v>1.4</v>
      </c>
      <c r="U6">
        <v>1.6</v>
      </c>
      <c r="V6">
        <v>1</v>
      </c>
      <c r="W6">
        <v>1</v>
      </c>
      <c r="X6">
        <v>1.4</v>
      </c>
      <c r="Y6">
        <v>2.2000000000000002</v>
      </c>
      <c r="Z6">
        <v>3.8</v>
      </c>
      <c r="AA6">
        <v>3.6</v>
      </c>
      <c r="AB6">
        <v>3.8</v>
      </c>
      <c r="AC6">
        <v>4.9000000000000004</v>
      </c>
      <c r="AD6">
        <v>3.6</v>
      </c>
      <c r="AE6">
        <v>4.7</v>
      </c>
      <c r="AF6">
        <v>4.2</v>
      </c>
      <c r="AG6">
        <v>3.3</v>
      </c>
    </row>
    <row r="8" spans="1:39" x14ac:dyDescent="0.25">
      <c r="A8" s="1" t="s">
        <v>184</v>
      </c>
    </row>
    <row r="9" spans="1:39" x14ac:dyDescent="0.25">
      <c r="A9" t="s">
        <v>185</v>
      </c>
      <c r="B9">
        <v>60.5</v>
      </c>
      <c r="C9">
        <v>56.9</v>
      </c>
      <c r="D9">
        <v>71.400000000000006</v>
      </c>
      <c r="E9">
        <v>54.7</v>
      </c>
      <c r="F9">
        <v>58.2</v>
      </c>
      <c r="G9">
        <v>50.1</v>
      </c>
      <c r="H9">
        <v>48.8</v>
      </c>
      <c r="I9">
        <v>66</v>
      </c>
      <c r="J9">
        <v>46.5</v>
      </c>
      <c r="K9">
        <v>46.7</v>
      </c>
      <c r="L9">
        <v>44.7</v>
      </c>
      <c r="M9">
        <v>38.6</v>
      </c>
      <c r="N9">
        <v>46</v>
      </c>
      <c r="O9">
        <v>57.3</v>
      </c>
      <c r="P9">
        <v>56.8</v>
      </c>
      <c r="Q9">
        <v>38.9</v>
      </c>
      <c r="R9">
        <v>49.4</v>
      </c>
      <c r="S9">
        <v>66.900000000000006</v>
      </c>
      <c r="T9">
        <v>69.2</v>
      </c>
      <c r="U9">
        <v>59.8</v>
      </c>
      <c r="V9">
        <v>44.2</v>
      </c>
      <c r="W9">
        <v>50.8</v>
      </c>
      <c r="X9">
        <v>52.9</v>
      </c>
      <c r="Y9">
        <v>63.2</v>
      </c>
      <c r="Z9">
        <v>59.3</v>
      </c>
      <c r="AA9">
        <v>80.900000000000006</v>
      </c>
      <c r="AB9">
        <v>84.7</v>
      </c>
      <c r="AC9">
        <v>70.7</v>
      </c>
      <c r="AD9">
        <v>86.8</v>
      </c>
      <c r="AE9">
        <v>86.1</v>
      </c>
      <c r="AF9">
        <v>104.4</v>
      </c>
      <c r="AG9">
        <v>96.2</v>
      </c>
    </row>
    <row r="10" spans="1:39" x14ac:dyDescent="0.25">
      <c r="A10" t="s">
        <v>186</v>
      </c>
      <c r="B10">
        <v>78</v>
      </c>
      <c r="C10">
        <v>72.3</v>
      </c>
      <c r="D10">
        <v>86.6</v>
      </c>
      <c r="E10">
        <v>70.400000000000006</v>
      </c>
      <c r="F10">
        <v>71.900000000000006</v>
      </c>
      <c r="G10">
        <v>68.3</v>
      </c>
      <c r="H10">
        <v>67</v>
      </c>
      <c r="I10">
        <v>89.9</v>
      </c>
      <c r="J10">
        <v>78.2</v>
      </c>
      <c r="K10">
        <v>78.7</v>
      </c>
      <c r="L10">
        <v>81.8</v>
      </c>
      <c r="M10">
        <v>75.3</v>
      </c>
      <c r="N10">
        <v>82.9</v>
      </c>
      <c r="O10">
        <v>89.4</v>
      </c>
      <c r="P10">
        <v>100.1</v>
      </c>
      <c r="Q10">
        <v>75.3</v>
      </c>
      <c r="R10">
        <v>97.5</v>
      </c>
      <c r="S10">
        <v>110.5</v>
      </c>
      <c r="T10">
        <v>106.1</v>
      </c>
      <c r="U10">
        <v>107.3</v>
      </c>
      <c r="V10">
        <v>87.3</v>
      </c>
      <c r="W10">
        <v>96.6</v>
      </c>
      <c r="X10">
        <v>95.3</v>
      </c>
      <c r="Y10">
        <v>104.5</v>
      </c>
      <c r="Z10">
        <v>106.2</v>
      </c>
      <c r="AA10">
        <v>119.1</v>
      </c>
      <c r="AB10">
        <v>118.2</v>
      </c>
      <c r="AC10">
        <v>126.6</v>
      </c>
      <c r="AD10">
        <v>131.9</v>
      </c>
      <c r="AE10">
        <v>131.1</v>
      </c>
      <c r="AF10">
        <v>160.5</v>
      </c>
      <c r="AG10">
        <v>146.9</v>
      </c>
    </row>
    <row r="11" spans="1:39" x14ac:dyDescent="0.25">
      <c r="A11" t="s">
        <v>187</v>
      </c>
      <c r="B11">
        <v>9.1</v>
      </c>
      <c r="C11">
        <v>7.2</v>
      </c>
      <c r="D11">
        <v>7.2</v>
      </c>
      <c r="E11">
        <v>6.9</v>
      </c>
      <c r="F11">
        <v>6.6</v>
      </c>
      <c r="G11">
        <v>5.5</v>
      </c>
      <c r="H11">
        <v>5.5</v>
      </c>
      <c r="I11">
        <v>5.3</v>
      </c>
      <c r="J11">
        <v>3.6</v>
      </c>
      <c r="K11">
        <v>3.5</v>
      </c>
      <c r="L11">
        <v>5.7</v>
      </c>
      <c r="M11">
        <v>1.9</v>
      </c>
      <c r="N11">
        <v>3.7</v>
      </c>
      <c r="O11">
        <v>3.5</v>
      </c>
      <c r="P11">
        <v>3.9</v>
      </c>
      <c r="Q11">
        <v>3.7</v>
      </c>
      <c r="R11">
        <v>2.1</v>
      </c>
      <c r="S11">
        <v>3.3</v>
      </c>
      <c r="T11">
        <v>3.4</v>
      </c>
      <c r="U11">
        <v>2.2000000000000002</v>
      </c>
      <c r="V11">
        <v>1.2</v>
      </c>
      <c r="W11">
        <v>2.2999999999999998</v>
      </c>
      <c r="X11">
        <v>4</v>
      </c>
      <c r="Y11">
        <v>6.5</v>
      </c>
      <c r="Z11">
        <v>5.9</v>
      </c>
      <c r="AA11">
        <v>6.5</v>
      </c>
      <c r="AB11">
        <v>23.6</v>
      </c>
      <c r="AC11">
        <v>10.1</v>
      </c>
      <c r="AD11">
        <v>7.1</v>
      </c>
      <c r="AE11">
        <v>4.3</v>
      </c>
      <c r="AF11">
        <v>5.4</v>
      </c>
      <c r="AG11">
        <v>5.3</v>
      </c>
    </row>
    <row r="13" spans="1:39" x14ac:dyDescent="0.25">
      <c r="A13" s="1" t="s">
        <v>188</v>
      </c>
    </row>
    <row r="14" spans="1:39" x14ac:dyDescent="0.25">
      <c r="A14" t="s">
        <v>75</v>
      </c>
      <c r="B14">
        <v>1.9</v>
      </c>
      <c r="C14">
        <v>1.7</v>
      </c>
      <c r="D14">
        <v>1.8</v>
      </c>
      <c r="E14">
        <v>1.6</v>
      </c>
      <c r="F14">
        <v>1.6</v>
      </c>
      <c r="G14">
        <v>1.5</v>
      </c>
      <c r="H14">
        <v>1.3</v>
      </c>
      <c r="I14">
        <v>1.6</v>
      </c>
      <c r="J14">
        <v>1.5</v>
      </c>
      <c r="K14">
        <v>1.3</v>
      </c>
      <c r="L14">
        <v>1.3</v>
      </c>
      <c r="M14">
        <v>1.4</v>
      </c>
      <c r="N14">
        <v>1.5</v>
      </c>
      <c r="O14">
        <v>1.6</v>
      </c>
      <c r="P14">
        <v>1.4</v>
      </c>
      <c r="Q14">
        <v>1.6</v>
      </c>
      <c r="R14">
        <v>1.5</v>
      </c>
      <c r="S14">
        <v>1.4</v>
      </c>
      <c r="T14">
        <v>1.7</v>
      </c>
      <c r="U14">
        <v>1.5</v>
      </c>
      <c r="V14">
        <v>1.5</v>
      </c>
      <c r="W14">
        <v>1.4</v>
      </c>
      <c r="X14">
        <v>1.4</v>
      </c>
      <c r="Y14">
        <v>1.8</v>
      </c>
      <c r="Z14">
        <v>1.7</v>
      </c>
      <c r="AA14">
        <v>1.9</v>
      </c>
      <c r="AB14">
        <v>2.2000000000000002</v>
      </c>
      <c r="AC14">
        <v>1.8</v>
      </c>
      <c r="AD14">
        <v>2</v>
      </c>
      <c r="AE14">
        <v>2.2000000000000002</v>
      </c>
      <c r="AF14">
        <v>2.1</v>
      </c>
      <c r="AG14">
        <v>2.1</v>
      </c>
    </row>
    <row r="15" spans="1:39" x14ac:dyDescent="0.25">
      <c r="A15" t="s">
        <v>189</v>
      </c>
      <c r="B15">
        <v>0.7</v>
      </c>
      <c r="C15">
        <v>0.7</v>
      </c>
      <c r="D15">
        <v>0.6</v>
      </c>
      <c r="E15">
        <v>0.6</v>
      </c>
      <c r="F15">
        <v>0.6</v>
      </c>
      <c r="G15">
        <v>0.5</v>
      </c>
      <c r="H15">
        <v>0.5</v>
      </c>
      <c r="I15">
        <v>0.6</v>
      </c>
      <c r="J15">
        <v>0.5</v>
      </c>
      <c r="K15">
        <v>0.6</v>
      </c>
      <c r="L15">
        <v>0.6</v>
      </c>
      <c r="M15">
        <v>0.5</v>
      </c>
      <c r="N15">
        <v>0.6</v>
      </c>
      <c r="O15">
        <v>0.7</v>
      </c>
      <c r="P15">
        <v>0.5</v>
      </c>
      <c r="Q15">
        <v>0.6</v>
      </c>
      <c r="R15">
        <v>0.6</v>
      </c>
      <c r="S15">
        <v>0.5</v>
      </c>
      <c r="T15">
        <v>0.7</v>
      </c>
      <c r="U15">
        <v>0.6</v>
      </c>
      <c r="V15">
        <v>0.6</v>
      </c>
      <c r="W15">
        <v>0.6</v>
      </c>
      <c r="X15">
        <v>0.6</v>
      </c>
      <c r="Y15">
        <v>0.6</v>
      </c>
      <c r="Z15">
        <v>0.7</v>
      </c>
      <c r="AA15">
        <v>0.8</v>
      </c>
      <c r="AB15">
        <v>0.8</v>
      </c>
      <c r="AC15">
        <v>0.8</v>
      </c>
      <c r="AD15">
        <v>0.8</v>
      </c>
      <c r="AE15">
        <v>0.9</v>
      </c>
      <c r="AF15">
        <v>0.9</v>
      </c>
      <c r="AG15">
        <v>0.9</v>
      </c>
    </row>
    <row r="16" spans="1:39" x14ac:dyDescent="0.25">
      <c r="A16" t="s">
        <v>190</v>
      </c>
      <c r="B16">
        <v>0.4</v>
      </c>
      <c r="C16">
        <v>0.3</v>
      </c>
      <c r="D16">
        <v>0.3</v>
      </c>
      <c r="E16">
        <v>0.4</v>
      </c>
      <c r="F16">
        <v>0.4</v>
      </c>
      <c r="G16">
        <v>0.4</v>
      </c>
      <c r="H16">
        <v>0.3</v>
      </c>
      <c r="I16">
        <v>0.3</v>
      </c>
      <c r="J16">
        <v>0.3</v>
      </c>
      <c r="K16">
        <v>0.2</v>
      </c>
      <c r="L16">
        <v>0.3</v>
      </c>
      <c r="M16">
        <v>0.2</v>
      </c>
      <c r="N16">
        <v>0.3</v>
      </c>
      <c r="O16">
        <v>0.2</v>
      </c>
      <c r="P16">
        <v>0.2</v>
      </c>
      <c r="Q16">
        <v>0.2</v>
      </c>
      <c r="R16">
        <v>0.2</v>
      </c>
      <c r="S16">
        <v>0.2</v>
      </c>
      <c r="T16">
        <v>0.2</v>
      </c>
      <c r="U16">
        <v>0.2</v>
      </c>
      <c r="V16">
        <v>0.1</v>
      </c>
      <c r="W16">
        <v>0.2</v>
      </c>
      <c r="X16">
        <v>0.2</v>
      </c>
      <c r="Y16">
        <v>0.3</v>
      </c>
      <c r="Z16">
        <v>0.3</v>
      </c>
      <c r="AA16">
        <v>0.3</v>
      </c>
      <c r="AB16">
        <v>0.7</v>
      </c>
      <c r="AC16">
        <v>0.4</v>
      </c>
      <c r="AD16">
        <v>0.3</v>
      </c>
      <c r="AE16">
        <v>0.3</v>
      </c>
      <c r="AF16">
        <v>0.3</v>
      </c>
      <c r="AG16">
        <v>0.3</v>
      </c>
    </row>
    <row r="18" spans="1:38" x14ac:dyDescent="0.25">
      <c r="A18" s="1" t="s">
        <v>191</v>
      </c>
    </row>
    <row r="19" spans="1:38" x14ac:dyDescent="0.25">
      <c r="A19" t="s">
        <v>192</v>
      </c>
      <c r="B19">
        <v>5.5</v>
      </c>
      <c r="C19">
        <v>5.3</v>
      </c>
      <c r="D19">
        <v>5.3</v>
      </c>
      <c r="E19">
        <v>5.2</v>
      </c>
      <c r="F19">
        <v>4.2</v>
      </c>
      <c r="G19">
        <v>4.0999999999999996</v>
      </c>
      <c r="H19">
        <v>4</v>
      </c>
      <c r="I19">
        <v>4.2</v>
      </c>
      <c r="J19">
        <v>4.0999999999999996</v>
      </c>
      <c r="K19">
        <v>3.8</v>
      </c>
      <c r="L19">
        <v>3.5</v>
      </c>
      <c r="M19">
        <v>3.1</v>
      </c>
      <c r="N19">
        <v>3</v>
      </c>
      <c r="O19">
        <v>3.3</v>
      </c>
      <c r="P19">
        <v>3.1</v>
      </c>
      <c r="Q19">
        <v>3.1</v>
      </c>
      <c r="R19">
        <v>3.1</v>
      </c>
      <c r="S19">
        <v>3.3</v>
      </c>
      <c r="T19">
        <v>3.4</v>
      </c>
      <c r="U19">
        <v>3.5</v>
      </c>
      <c r="V19">
        <v>3.6</v>
      </c>
      <c r="W19">
        <v>3.5</v>
      </c>
      <c r="X19">
        <v>3.4</v>
      </c>
      <c r="Y19">
        <v>3.5</v>
      </c>
      <c r="Z19">
        <v>3.6</v>
      </c>
      <c r="AA19">
        <v>3.8</v>
      </c>
      <c r="AB19">
        <v>4.0999999999999996</v>
      </c>
      <c r="AC19">
        <v>4.0999999999999996</v>
      </c>
      <c r="AD19">
        <v>4.5</v>
      </c>
      <c r="AE19">
        <v>5</v>
      </c>
      <c r="AF19">
        <v>5.4</v>
      </c>
      <c r="AG19">
        <v>5.5</v>
      </c>
    </row>
    <row r="21" spans="1:38" x14ac:dyDescent="0.25">
      <c r="A21" t="s">
        <v>193</v>
      </c>
      <c r="J21">
        <v>1.5</v>
      </c>
      <c r="K21">
        <v>2.5</v>
      </c>
      <c r="L21">
        <v>3.9</v>
      </c>
      <c r="M21">
        <v>4.8</v>
      </c>
      <c r="N21">
        <v>6</v>
      </c>
      <c r="O21">
        <v>7.1</v>
      </c>
      <c r="P21">
        <v>8</v>
      </c>
      <c r="Q21">
        <v>8.8000000000000007</v>
      </c>
      <c r="R21">
        <v>10.4</v>
      </c>
      <c r="S21">
        <v>11.1</v>
      </c>
      <c r="T21">
        <v>11.9</v>
      </c>
      <c r="U21">
        <v>12.6</v>
      </c>
      <c r="V21">
        <v>12.9</v>
      </c>
      <c r="W21">
        <v>13.2</v>
      </c>
      <c r="X21">
        <v>14.5</v>
      </c>
      <c r="Y21">
        <v>15.7</v>
      </c>
      <c r="Z21">
        <v>16.100000000000001</v>
      </c>
      <c r="AA21">
        <v>17.399999999999999</v>
      </c>
      <c r="AB21">
        <v>18.2</v>
      </c>
      <c r="AC21">
        <v>18.399999999999999</v>
      </c>
      <c r="AD21">
        <v>19.600000000000001</v>
      </c>
      <c r="AE21">
        <v>20.3</v>
      </c>
      <c r="AF21">
        <v>21.2</v>
      </c>
      <c r="AG21">
        <v>22.2</v>
      </c>
    </row>
    <row r="22" spans="1:38" x14ac:dyDescent="0.25">
      <c r="A22" t="s">
        <v>194</v>
      </c>
      <c r="E22">
        <v>1.9</v>
      </c>
      <c r="F22">
        <v>2.2999999999999998</v>
      </c>
      <c r="G22">
        <v>2.2999999999999998</v>
      </c>
      <c r="H22">
        <v>2.5</v>
      </c>
      <c r="I22">
        <v>2.6</v>
      </c>
      <c r="J22">
        <v>1.5</v>
      </c>
      <c r="K22">
        <v>1.4</v>
      </c>
      <c r="L22">
        <v>1.1000000000000001</v>
      </c>
      <c r="M22">
        <v>1</v>
      </c>
      <c r="N22">
        <v>1.1000000000000001</v>
      </c>
      <c r="O22">
        <v>1</v>
      </c>
      <c r="P22">
        <v>0.9</v>
      </c>
      <c r="Q22">
        <v>0.8</v>
      </c>
      <c r="R22">
        <v>0.8</v>
      </c>
      <c r="S22">
        <v>0.8</v>
      </c>
      <c r="T22">
        <v>0.8</v>
      </c>
      <c r="U22">
        <v>0.7</v>
      </c>
      <c r="V22">
        <v>0.7</v>
      </c>
      <c r="W22">
        <v>0.7</v>
      </c>
      <c r="X22">
        <v>0.7</v>
      </c>
      <c r="Y22">
        <v>0.7</v>
      </c>
      <c r="Z22">
        <v>0.7</v>
      </c>
      <c r="AA22">
        <v>0.7</v>
      </c>
      <c r="AB22">
        <v>0.8</v>
      </c>
      <c r="AC22">
        <v>0.7</v>
      </c>
      <c r="AD22">
        <v>0.7</v>
      </c>
      <c r="AE22">
        <v>0.6</v>
      </c>
      <c r="AF22">
        <v>0.6</v>
      </c>
      <c r="AG22">
        <v>0.6</v>
      </c>
    </row>
    <row r="23" spans="1:38" s="1" customFormat="1" x14ac:dyDescent="0.25">
      <c r="A23" s="1" t="s">
        <v>195</v>
      </c>
      <c r="B23" s="1">
        <v>2.1</v>
      </c>
      <c r="C23" s="1">
        <v>2.1</v>
      </c>
      <c r="D23" s="1">
        <v>2.2999999999999998</v>
      </c>
      <c r="E23" s="1">
        <f t="shared" ref="E23:H23" si="0">SUM(E21:E22)</f>
        <v>1.9</v>
      </c>
      <c r="F23" s="1">
        <f t="shared" si="0"/>
        <v>2.2999999999999998</v>
      </c>
      <c r="G23" s="1">
        <f t="shared" si="0"/>
        <v>2.2999999999999998</v>
      </c>
      <c r="H23" s="1">
        <f t="shared" si="0"/>
        <v>2.5</v>
      </c>
      <c r="I23" s="1">
        <f t="shared" ref="I23:Y23" si="1">SUM(I21:I22)</f>
        <v>2.6</v>
      </c>
      <c r="J23" s="1">
        <f t="shared" si="1"/>
        <v>3</v>
      </c>
      <c r="K23" s="1">
        <f t="shared" si="1"/>
        <v>3.9</v>
      </c>
      <c r="L23" s="1">
        <f t="shared" si="1"/>
        <v>5</v>
      </c>
      <c r="M23" s="1">
        <f t="shared" si="1"/>
        <v>5.8</v>
      </c>
      <c r="N23" s="1">
        <f t="shared" si="1"/>
        <v>7.1</v>
      </c>
      <c r="O23" s="1">
        <f t="shared" si="1"/>
        <v>8.1</v>
      </c>
      <c r="P23" s="1">
        <f t="shared" si="1"/>
        <v>8.9</v>
      </c>
      <c r="Q23" s="1">
        <f t="shared" si="1"/>
        <v>9.6000000000000014</v>
      </c>
      <c r="R23" s="1">
        <f t="shared" si="1"/>
        <v>11.200000000000001</v>
      </c>
      <c r="S23" s="1">
        <f t="shared" si="1"/>
        <v>11.9</v>
      </c>
      <c r="T23" s="1">
        <f t="shared" si="1"/>
        <v>12.700000000000001</v>
      </c>
      <c r="U23" s="1">
        <f t="shared" si="1"/>
        <v>13.299999999999999</v>
      </c>
      <c r="V23" s="1">
        <f t="shared" si="1"/>
        <v>13.6</v>
      </c>
      <c r="W23" s="1">
        <f t="shared" si="1"/>
        <v>13.899999999999999</v>
      </c>
      <c r="X23" s="1">
        <f t="shared" si="1"/>
        <v>15.2</v>
      </c>
      <c r="Y23" s="1">
        <f t="shared" si="1"/>
        <v>16.399999999999999</v>
      </c>
      <c r="Z23" s="1">
        <f>SUM(Z21:Z22)</f>
        <v>16.8</v>
      </c>
      <c r="AA23" s="1">
        <f t="shared" ref="AA23:AL23" si="2">SUM(AA21:AA22)</f>
        <v>18.099999999999998</v>
      </c>
      <c r="AB23" s="1">
        <f t="shared" si="2"/>
        <v>19</v>
      </c>
      <c r="AC23" s="1">
        <f t="shared" si="2"/>
        <v>19.099999999999998</v>
      </c>
      <c r="AD23" s="1">
        <f t="shared" si="2"/>
        <v>20.3</v>
      </c>
      <c r="AE23" s="1">
        <f t="shared" si="2"/>
        <v>20.900000000000002</v>
      </c>
      <c r="AF23" s="1">
        <f t="shared" si="2"/>
        <v>21.8</v>
      </c>
      <c r="AG23" s="1">
        <f t="shared" si="2"/>
        <v>22.8</v>
      </c>
      <c r="AH23" s="1">
        <f t="shared" si="2"/>
        <v>0</v>
      </c>
      <c r="AI23" s="1">
        <f t="shared" si="2"/>
        <v>0</v>
      </c>
      <c r="AJ23" s="1">
        <f t="shared" si="2"/>
        <v>0</v>
      </c>
      <c r="AK23" s="1">
        <f t="shared" si="2"/>
        <v>0</v>
      </c>
      <c r="AL23" s="1">
        <f t="shared" si="2"/>
        <v>0</v>
      </c>
    </row>
    <row r="25" spans="1:38" x14ac:dyDescent="0.25">
      <c r="A25" t="s">
        <v>196</v>
      </c>
      <c r="N25">
        <v>13</v>
      </c>
      <c r="O25">
        <v>17</v>
      </c>
      <c r="Y25">
        <v>12</v>
      </c>
      <c r="Z25">
        <v>12</v>
      </c>
      <c r="AA25">
        <v>13</v>
      </c>
      <c r="AF25">
        <v>21</v>
      </c>
      <c r="AG25">
        <v>18</v>
      </c>
    </row>
    <row r="27" spans="1:38" x14ac:dyDescent="0.25">
      <c r="A27" t="s">
        <v>228</v>
      </c>
      <c r="B27" s="1">
        <v>17.3</v>
      </c>
      <c r="C27" s="1">
        <v>16.7</v>
      </c>
      <c r="D27" s="1">
        <v>15.9</v>
      </c>
      <c r="E27" s="1">
        <v>15.7</v>
      </c>
      <c r="F27" s="1">
        <v>14.6</v>
      </c>
      <c r="G27" s="1">
        <v>14</v>
      </c>
      <c r="H27" s="1">
        <v>13.2</v>
      </c>
      <c r="I27" s="1">
        <v>13.3</v>
      </c>
      <c r="J27" s="1">
        <v>12.2</v>
      </c>
      <c r="K27" s="1">
        <v>12.5</v>
      </c>
      <c r="L27" s="1">
        <v>12.5</v>
      </c>
      <c r="M27" s="1">
        <v>11.4</v>
      </c>
      <c r="N27" s="1">
        <v>12</v>
      </c>
      <c r="O27" s="1">
        <v>12</v>
      </c>
      <c r="P27" s="1">
        <v>11.8</v>
      </c>
      <c r="Q27" s="1">
        <v>11.5</v>
      </c>
      <c r="R27" s="1">
        <v>10.6</v>
      </c>
      <c r="S27" s="1">
        <v>10.8</v>
      </c>
      <c r="T27" s="1">
        <v>11</v>
      </c>
      <c r="U27" s="1">
        <v>10.6</v>
      </c>
      <c r="V27" s="1">
        <v>10.3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</sheetData>
  <conditionalFormatting sqref="B2:AG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G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G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G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G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G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G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A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A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F47" sqref="F4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45411</v>
      </c>
      <c r="C2" s="18">
        <v>17.610001</v>
      </c>
      <c r="E2" t="s">
        <v>51</v>
      </c>
      <c r="F2" t="s">
        <v>53</v>
      </c>
      <c r="M2" t="s">
        <v>54</v>
      </c>
    </row>
    <row r="3" spans="1:13" x14ac:dyDescent="0.25">
      <c r="B3" s="12">
        <v>45404</v>
      </c>
      <c r="C3" s="18">
        <v>17.879999000000002</v>
      </c>
      <c r="E3" s="12">
        <v>45328</v>
      </c>
      <c r="F3" t="s">
        <v>56</v>
      </c>
      <c r="M3" s="12"/>
    </row>
    <row r="4" spans="1:13" x14ac:dyDescent="0.25">
      <c r="B4" s="12">
        <v>45397</v>
      </c>
      <c r="C4" s="18">
        <v>16.629999000000002</v>
      </c>
      <c r="E4" s="12">
        <v>45302</v>
      </c>
      <c r="F4" t="s">
        <v>56</v>
      </c>
      <c r="M4" s="12"/>
    </row>
    <row r="5" spans="1:13" x14ac:dyDescent="0.25">
      <c r="B5" s="12">
        <v>45390</v>
      </c>
      <c r="C5" s="18">
        <v>17.969999000000001</v>
      </c>
      <c r="M5" s="12"/>
    </row>
    <row r="6" spans="1:13" x14ac:dyDescent="0.25">
      <c r="B6" s="12">
        <v>45383</v>
      </c>
      <c r="C6" s="18">
        <v>18.399999999999999</v>
      </c>
      <c r="M6" s="12"/>
    </row>
    <row r="7" spans="1:13" x14ac:dyDescent="0.25">
      <c r="B7" s="12">
        <v>45376</v>
      </c>
      <c r="C7" s="18">
        <v>20.129999000000002</v>
      </c>
      <c r="M7" s="12"/>
    </row>
    <row r="8" spans="1:13" x14ac:dyDescent="0.25">
      <c r="B8" s="12">
        <v>45369</v>
      </c>
      <c r="C8" s="18">
        <v>18.299999</v>
      </c>
      <c r="M8" s="12"/>
    </row>
    <row r="9" spans="1:13" x14ac:dyDescent="0.25">
      <c r="B9" s="12">
        <v>45362</v>
      </c>
      <c r="C9" s="18">
        <v>18.149999999999999</v>
      </c>
      <c r="M9" s="12"/>
    </row>
    <row r="10" spans="1:13" x14ac:dyDescent="0.25">
      <c r="B10" s="12">
        <v>45355</v>
      </c>
      <c r="C10" s="18">
        <v>17</v>
      </c>
      <c r="M10" s="12"/>
    </row>
    <row r="11" spans="1:13" x14ac:dyDescent="0.25">
      <c r="B11" s="12">
        <v>45348</v>
      </c>
      <c r="C11" s="18">
        <v>16.579999999999998</v>
      </c>
      <c r="M11" s="12"/>
    </row>
    <row r="12" spans="1:13" x14ac:dyDescent="0.25">
      <c r="B12" s="12">
        <v>45341</v>
      </c>
      <c r="C12" s="18">
        <v>14.48</v>
      </c>
      <c r="M12" s="12"/>
    </row>
    <row r="13" spans="1:13" x14ac:dyDescent="0.25">
      <c r="B13" s="12">
        <v>45334</v>
      </c>
      <c r="C13" s="18">
        <v>14</v>
      </c>
    </row>
    <row r="14" spans="1:13" x14ac:dyDescent="0.25">
      <c r="B14" s="12">
        <v>45327</v>
      </c>
      <c r="C14" s="18">
        <v>11.55</v>
      </c>
    </row>
    <row r="15" spans="1:13" x14ac:dyDescent="0.25">
      <c r="B15" s="12">
        <v>45320</v>
      </c>
      <c r="C15" s="18">
        <v>10.92</v>
      </c>
    </row>
    <row r="16" spans="1:13" x14ac:dyDescent="0.25">
      <c r="B16" s="12">
        <v>45313</v>
      </c>
      <c r="C16" s="18">
        <v>10.79</v>
      </c>
    </row>
    <row r="17" spans="2:3" x14ac:dyDescent="0.25">
      <c r="B17" s="12">
        <v>45306</v>
      </c>
      <c r="C17" s="18">
        <v>10.71</v>
      </c>
    </row>
    <row r="18" spans="2:3" x14ac:dyDescent="0.25">
      <c r="B18" s="12">
        <v>45299</v>
      </c>
      <c r="C18" s="18">
        <v>11.02</v>
      </c>
    </row>
    <row r="19" spans="2:3" x14ac:dyDescent="0.25">
      <c r="B19" s="12">
        <v>45292</v>
      </c>
      <c r="C19" s="18">
        <v>11.89</v>
      </c>
    </row>
    <row r="20" spans="2:3" x14ac:dyDescent="0.25">
      <c r="B20" s="12">
        <v>45285</v>
      </c>
      <c r="C20" s="18">
        <v>12.74</v>
      </c>
    </row>
    <row r="21" spans="2:3" x14ac:dyDescent="0.25">
      <c r="B21" s="12">
        <v>45278</v>
      </c>
      <c r="C21" s="18">
        <v>12.95</v>
      </c>
    </row>
    <row r="22" spans="2:3" x14ac:dyDescent="0.25">
      <c r="B22" s="12">
        <v>45271</v>
      </c>
      <c r="C22" s="18">
        <v>11.69</v>
      </c>
    </row>
    <row r="23" spans="2:3" x14ac:dyDescent="0.25">
      <c r="B23" s="12">
        <v>45264</v>
      </c>
      <c r="C23" s="18">
        <v>11.73</v>
      </c>
    </row>
    <row r="24" spans="2:3" x14ac:dyDescent="0.25">
      <c r="B24" s="12">
        <v>45257</v>
      </c>
      <c r="C24" s="18">
        <v>9.32</v>
      </c>
    </row>
    <row r="25" spans="2:3" x14ac:dyDescent="0.25">
      <c r="B25" s="12">
        <v>45250</v>
      </c>
      <c r="C25" s="18">
        <v>8.2899999999999991</v>
      </c>
    </row>
    <row r="26" spans="2:3" x14ac:dyDescent="0.25">
      <c r="B26" s="12">
        <v>45243</v>
      </c>
      <c r="C26" s="18">
        <v>8.1</v>
      </c>
    </row>
    <row r="27" spans="2:3" x14ac:dyDescent="0.25">
      <c r="B27" s="12">
        <v>45236</v>
      </c>
      <c r="C27" s="18">
        <v>8.23</v>
      </c>
    </row>
    <row r="28" spans="2:3" x14ac:dyDescent="0.25">
      <c r="B28" s="12">
        <v>45229</v>
      </c>
      <c r="C28" s="18">
        <v>9.69</v>
      </c>
    </row>
    <row r="29" spans="2:3" x14ac:dyDescent="0.25">
      <c r="B29" s="12">
        <v>45222</v>
      </c>
      <c r="C29" s="18">
        <v>8.9</v>
      </c>
    </row>
    <row r="30" spans="2:3" x14ac:dyDescent="0.25">
      <c r="B30" s="12">
        <v>45215</v>
      </c>
      <c r="C30" s="18">
        <v>9.1300000000000008</v>
      </c>
    </row>
    <row r="31" spans="2:3" x14ac:dyDescent="0.25">
      <c r="B31" s="12">
        <v>45208</v>
      </c>
      <c r="C31" s="18">
        <v>9.14</v>
      </c>
    </row>
    <row r="32" spans="2:3" x14ac:dyDescent="0.25">
      <c r="B32" s="12">
        <v>45201</v>
      </c>
      <c r="C32" s="18">
        <v>9.93</v>
      </c>
    </row>
    <row r="33" spans="2:3" x14ac:dyDescent="0.25">
      <c r="B33" s="12">
        <v>45194</v>
      </c>
      <c r="C33" s="18">
        <v>9.81</v>
      </c>
    </row>
    <row r="34" spans="2:3" x14ac:dyDescent="0.25">
      <c r="B34" s="12">
        <v>45187</v>
      </c>
      <c r="C34" s="18">
        <v>9.6999999999999993</v>
      </c>
    </row>
    <row r="35" spans="2:3" x14ac:dyDescent="0.25">
      <c r="B35" s="12">
        <v>45180</v>
      </c>
      <c r="C35" s="18">
        <v>10.67</v>
      </c>
    </row>
    <row r="36" spans="2:3" x14ac:dyDescent="0.25">
      <c r="B36" s="12">
        <v>45173</v>
      </c>
      <c r="C36" s="18">
        <v>10.74</v>
      </c>
    </row>
    <row r="37" spans="2:3" x14ac:dyDescent="0.25">
      <c r="B37" s="12">
        <v>45166</v>
      </c>
      <c r="C37" s="18">
        <v>11.11</v>
      </c>
    </row>
    <row r="38" spans="2:3" x14ac:dyDescent="0.25">
      <c r="B38" s="12">
        <v>45159</v>
      </c>
      <c r="C38" s="18">
        <v>10.54</v>
      </c>
    </row>
    <row r="39" spans="2:3" x14ac:dyDescent="0.25">
      <c r="B39" s="12">
        <v>45152</v>
      </c>
      <c r="C39" s="18">
        <v>10.25</v>
      </c>
    </row>
    <row r="40" spans="2:3" x14ac:dyDescent="0.25">
      <c r="B40" s="12">
        <v>45145</v>
      </c>
      <c r="C40" s="18">
        <v>10.72</v>
      </c>
    </row>
    <row r="41" spans="2:3" x14ac:dyDescent="0.25">
      <c r="B41" s="12">
        <v>45138</v>
      </c>
      <c r="C41" s="18">
        <v>11.28</v>
      </c>
    </row>
    <row r="42" spans="2:3" x14ac:dyDescent="0.25">
      <c r="B42" s="12">
        <v>45131</v>
      </c>
      <c r="C42" s="18">
        <v>12.73</v>
      </c>
    </row>
    <row r="43" spans="2:3" x14ac:dyDescent="0.25">
      <c r="B43" s="12">
        <v>45124</v>
      </c>
      <c r="C43" s="18">
        <v>12.76</v>
      </c>
    </row>
    <row r="44" spans="2:3" x14ac:dyDescent="0.25">
      <c r="B44" s="12">
        <v>45117</v>
      </c>
      <c r="C44" s="18">
        <v>12.38</v>
      </c>
    </row>
    <row r="45" spans="2:3" x14ac:dyDescent="0.25">
      <c r="B45" s="12">
        <v>45110</v>
      </c>
      <c r="C45" s="18">
        <v>10.79</v>
      </c>
    </row>
    <row r="46" spans="2:3" x14ac:dyDescent="0.25">
      <c r="B46" s="12">
        <v>45103</v>
      </c>
      <c r="C46" s="18">
        <v>9.98</v>
      </c>
    </row>
    <row r="47" spans="2:3" x14ac:dyDescent="0.25">
      <c r="B47" s="12">
        <v>45096</v>
      </c>
      <c r="C47" s="18">
        <v>9.49</v>
      </c>
    </row>
    <row r="48" spans="2:3" x14ac:dyDescent="0.25">
      <c r="B48" s="12">
        <v>45089</v>
      </c>
      <c r="C48" s="18">
        <v>10.029999999999999</v>
      </c>
    </row>
    <row r="49" spans="2:3" x14ac:dyDescent="0.25">
      <c r="B49" s="12">
        <v>45082</v>
      </c>
      <c r="C49" s="18">
        <v>9.41</v>
      </c>
    </row>
    <row r="50" spans="2:3" x14ac:dyDescent="0.25">
      <c r="B50" s="12">
        <v>45075</v>
      </c>
      <c r="C50" s="18">
        <v>9.34</v>
      </c>
    </row>
    <row r="51" spans="2:3" x14ac:dyDescent="0.25">
      <c r="B51" s="12">
        <v>45068</v>
      </c>
      <c r="C51" s="18">
        <v>8.82</v>
      </c>
    </row>
    <row r="52" spans="2:3" x14ac:dyDescent="0.25">
      <c r="B52" s="12">
        <v>45061</v>
      </c>
      <c r="C52" s="18">
        <v>8.4700000000000006</v>
      </c>
    </row>
    <row r="53" spans="2:3" x14ac:dyDescent="0.25">
      <c r="B53" s="12">
        <v>45054</v>
      </c>
      <c r="C53" s="18">
        <v>8.74</v>
      </c>
    </row>
    <row r="54" spans="2:3" x14ac:dyDescent="0.25">
      <c r="B54" s="12">
        <v>45047</v>
      </c>
      <c r="C54" s="18">
        <v>8.85</v>
      </c>
    </row>
    <row r="55" spans="2:3" x14ac:dyDescent="0.25">
      <c r="B55" s="12">
        <v>45040</v>
      </c>
      <c r="C55" s="18">
        <v>8.85</v>
      </c>
    </row>
    <row r="56" spans="2:3" x14ac:dyDescent="0.25">
      <c r="B56" s="12">
        <v>45033</v>
      </c>
      <c r="C56" s="18">
        <v>9.64</v>
      </c>
    </row>
    <row r="57" spans="2:3" x14ac:dyDescent="0.25">
      <c r="B57" s="12">
        <v>45026</v>
      </c>
      <c r="C57" s="18">
        <v>10</v>
      </c>
    </row>
    <row r="58" spans="2:3" x14ac:dyDescent="0.25">
      <c r="B58" s="12">
        <v>45019</v>
      </c>
      <c r="C58" s="18">
        <v>10.01</v>
      </c>
    </row>
    <row r="59" spans="2:3" x14ac:dyDescent="0.25">
      <c r="B59" s="12">
        <v>45012</v>
      </c>
      <c r="C59" s="18">
        <v>9.7100000000000009</v>
      </c>
    </row>
    <row r="60" spans="2:3" x14ac:dyDescent="0.25">
      <c r="B60" s="12">
        <v>45005</v>
      </c>
      <c r="C60" s="18">
        <v>8.68</v>
      </c>
    </row>
    <row r="61" spans="2:3" x14ac:dyDescent="0.25">
      <c r="B61" s="12">
        <v>44998</v>
      </c>
      <c r="C61" s="18">
        <v>9.19</v>
      </c>
    </row>
    <row r="62" spans="2:3" x14ac:dyDescent="0.25">
      <c r="B62" s="12">
        <v>44991</v>
      </c>
      <c r="C62" s="18">
        <v>9.01</v>
      </c>
    </row>
    <row r="63" spans="2:3" x14ac:dyDescent="0.25">
      <c r="B63" s="12">
        <v>44984</v>
      </c>
      <c r="C63" s="18">
        <v>9.9</v>
      </c>
    </row>
    <row r="64" spans="2:3" x14ac:dyDescent="0.25">
      <c r="B64" s="12">
        <v>44977</v>
      </c>
      <c r="C64" s="18">
        <v>9.59</v>
      </c>
    </row>
    <row r="65" spans="2:3" x14ac:dyDescent="0.25">
      <c r="B65" s="12">
        <v>44970</v>
      </c>
      <c r="C65" s="18">
        <v>10.35</v>
      </c>
    </row>
    <row r="66" spans="2:3" x14ac:dyDescent="0.25">
      <c r="B66" s="12">
        <v>44963</v>
      </c>
      <c r="C66" s="18">
        <v>9.98</v>
      </c>
    </row>
    <row r="67" spans="2:3" x14ac:dyDescent="0.25">
      <c r="B67" s="12">
        <v>44956</v>
      </c>
      <c r="C67" s="18">
        <v>10.74</v>
      </c>
    </row>
    <row r="68" spans="2:3" x14ac:dyDescent="0.25">
      <c r="B68" s="12">
        <v>44949</v>
      </c>
      <c r="C68" s="18">
        <v>10.39</v>
      </c>
    </row>
    <row r="69" spans="2:3" x14ac:dyDescent="0.25">
      <c r="B69" s="12">
        <v>44942</v>
      </c>
      <c r="C69" s="18">
        <v>9.52</v>
      </c>
    </row>
    <row r="70" spans="2:3" x14ac:dyDescent="0.25">
      <c r="B70" s="12">
        <v>44935</v>
      </c>
      <c r="C70" s="18">
        <v>9.32</v>
      </c>
    </row>
    <row r="71" spans="2:3" x14ac:dyDescent="0.25">
      <c r="B71" s="12">
        <v>44928</v>
      </c>
      <c r="C71" s="18">
        <v>8.25</v>
      </c>
    </row>
    <row r="72" spans="2:3" x14ac:dyDescent="0.25">
      <c r="B72" s="12">
        <v>44921</v>
      </c>
      <c r="C72" s="18">
        <v>8.14</v>
      </c>
    </row>
    <row r="73" spans="2:3" x14ac:dyDescent="0.25">
      <c r="B73" s="12">
        <v>44914</v>
      </c>
      <c r="C73" s="18">
        <v>7.95</v>
      </c>
    </row>
    <row r="74" spans="2:3" x14ac:dyDescent="0.25">
      <c r="B74" s="12">
        <v>44907</v>
      </c>
      <c r="C74" s="18">
        <v>8.61</v>
      </c>
    </row>
    <row r="75" spans="2:3" x14ac:dyDescent="0.25">
      <c r="B75" s="12">
        <v>44900</v>
      </c>
      <c r="C75" s="18">
        <v>9.31</v>
      </c>
    </row>
    <row r="76" spans="2:3" x14ac:dyDescent="0.25">
      <c r="B76" s="12">
        <v>44893</v>
      </c>
      <c r="C76" s="18">
        <v>9.99</v>
      </c>
    </row>
    <row r="77" spans="2:3" x14ac:dyDescent="0.25">
      <c r="B77" s="12">
        <v>44886</v>
      </c>
      <c r="C77" s="18">
        <v>9.39</v>
      </c>
    </row>
    <row r="78" spans="2:3" x14ac:dyDescent="0.25">
      <c r="B78" s="12">
        <v>44879</v>
      </c>
      <c r="C78" s="18">
        <v>9.19</v>
      </c>
    </row>
    <row r="79" spans="2:3" x14ac:dyDescent="0.25">
      <c r="B79" s="12">
        <v>44872</v>
      </c>
      <c r="C79" s="18">
        <v>10.47</v>
      </c>
    </row>
    <row r="80" spans="2:3" x14ac:dyDescent="0.25">
      <c r="B80" s="12">
        <v>44865</v>
      </c>
      <c r="C80" s="18">
        <v>12.28</v>
      </c>
    </row>
    <row r="81" spans="2:3" x14ac:dyDescent="0.25">
      <c r="B81" s="12">
        <v>44858</v>
      </c>
      <c r="C81" s="18">
        <v>11.5</v>
      </c>
    </row>
    <row r="82" spans="2:3" x14ac:dyDescent="0.25">
      <c r="B82" s="12">
        <v>44851</v>
      </c>
      <c r="C82" s="18">
        <v>10.14</v>
      </c>
    </row>
    <row r="83" spans="2:3" x14ac:dyDescent="0.25">
      <c r="B83" s="12">
        <v>44844</v>
      </c>
      <c r="C83" s="18">
        <v>9.89</v>
      </c>
    </row>
    <row r="84" spans="2:3" x14ac:dyDescent="0.25">
      <c r="B84" s="12">
        <v>44837</v>
      </c>
      <c r="C84" s="18">
        <v>10.8</v>
      </c>
    </row>
    <row r="85" spans="2:3" x14ac:dyDescent="0.25">
      <c r="B85" s="12">
        <v>44830</v>
      </c>
      <c r="C85" s="18">
        <v>10.1</v>
      </c>
    </row>
    <row r="86" spans="2:3" x14ac:dyDescent="0.25">
      <c r="B86" s="12">
        <v>44823</v>
      </c>
      <c r="C86" s="18">
        <v>9.44</v>
      </c>
    </row>
    <row r="87" spans="2:3" x14ac:dyDescent="0.25">
      <c r="B87" s="12">
        <v>44816</v>
      </c>
      <c r="C87" s="18">
        <v>10.25</v>
      </c>
    </row>
    <row r="88" spans="2:3" x14ac:dyDescent="0.25">
      <c r="B88" s="12">
        <v>44809</v>
      </c>
      <c r="C88" s="18">
        <v>10.6</v>
      </c>
    </row>
    <row r="89" spans="2:3" x14ac:dyDescent="0.25">
      <c r="B89" s="12">
        <v>44802</v>
      </c>
      <c r="C89" s="18">
        <v>9.4499999999999993</v>
      </c>
    </row>
    <row r="90" spans="2:3" x14ac:dyDescent="0.25">
      <c r="B90" s="12">
        <v>44795</v>
      </c>
      <c r="C90" s="18">
        <v>9.3800000000000008</v>
      </c>
    </row>
    <row r="91" spans="2:3" x14ac:dyDescent="0.25">
      <c r="B91" s="12">
        <v>44788</v>
      </c>
      <c r="C91" s="18">
        <v>9.26</v>
      </c>
    </row>
    <row r="92" spans="2:3" x14ac:dyDescent="0.25">
      <c r="B92" s="12">
        <v>44781</v>
      </c>
      <c r="C92" s="18">
        <v>10.93</v>
      </c>
    </row>
    <row r="93" spans="2:3" x14ac:dyDescent="0.25">
      <c r="B93" s="12">
        <v>44774</v>
      </c>
      <c r="C93" s="18">
        <v>10.4</v>
      </c>
    </row>
    <row r="94" spans="2:3" x14ac:dyDescent="0.25">
      <c r="B94" s="12">
        <v>44767</v>
      </c>
      <c r="C94" s="18">
        <v>9.0500000000000007</v>
      </c>
    </row>
    <row r="95" spans="2:3" x14ac:dyDescent="0.25">
      <c r="B95" s="12">
        <v>44760</v>
      </c>
      <c r="C95" s="18">
        <v>9.08</v>
      </c>
    </row>
    <row r="96" spans="2:3" x14ac:dyDescent="0.25">
      <c r="B96" s="12">
        <v>44753</v>
      </c>
      <c r="C96" s="18">
        <v>8.41</v>
      </c>
    </row>
    <row r="97" spans="2:3" x14ac:dyDescent="0.25">
      <c r="B97" s="12">
        <v>44746</v>
      </c>
      <c r="C97" s="18">
        <v>9</v>
      </c>
    </row>
    <row r="98" spans="2:3" x14ac:dyDescent="0.25">
      <c r="B98" s="12">
        <v>44739</v>
      </c>
      <c r="C98" s="18">
        <v>8.18</v>
      </c>
    </row>
    <row r="99" spans="2:3" x14ac:dyDescent="0.25">
      <c r="B99" s="12">
        <v>44732</v>
      </c>
      <c r="C99" s="18">
        <v>8</v>
      </c>
    </row>
    <row r="100" spans="2:3" x14ac:dyDescent="0.25">
      <c r="B100" s="12">
        <v>44725</v>
      </c>
      <c r="C100" s="18">
        <v>7.19</v>
      </c>
    </row>
    <row r="101" spans="2:3" x14ac:dyDescent="0.25">
      <c r="B101" s="12">
        <v>44718</v>
      </c>
      <c r="C101" s="18">
        <v>7.81</v>
      </c>
    </row>
    <row r="102" spans="2:3" x14ac:dyDescent="0.25">
      <c r="B102" s="12">
        <v>44711</v>
      </c>
      <c r="C102" s="18">
        <v>9.17</v>
      </c>
    </row>
    <row r="103" spans="2:3" x14ac:dyDescent="0.25">
      <c r="B103" s="12">
        <v>44704</v>
      </c>
      <c r="C103" s="18">
        <v>10.38</v>
      </c>
    </row>
    <row r="104" spans="2:3" x14ac:dyDescent="0.25">
      <c r="B104" s="12">
        <v>44697</v>
      </c>
      <c r="C104" s="18">
        <v>10.08</v>
      </c>
    </row>
    <row r="105" spans="2:3" x14ac:dyDescent="0.25">
      <c r="B105" s="12">
        <v>44690</v>
      </c>
      <c r="C105" s="18">
        <v>10.69</v>
      </c>
    </row>
    <row r="106" spans="2:3" x14ac:dyDescent="0.25">
      <c r="B106" s="12">
        <v>44683</v>
      </c>
      <c r="C106" s="18">
        <v>10.119999999999999</v>
      </c>
    </row>
    <row r="107" spans="2:3" x14ac:dyDescent="0.25">
      <c r="B107" s="12">
        <v>44676</v>
      </c>
      <c r="C107" s="18">
        <v>9.8049999999999997</v>
      </c>
    </row>
    <row r="108" spans="2:3" x14ac:dyDescent="0.25">
      <c r="B108" s="12">
        <v>44669</v>
      </c>
      <c r="C108" s="18">
        <v>10.26</v>
      </c>
    </row>
    <row r="109" spans="2:3" x14ac:dyDescent="0.25">
      <c r="B109" s="12">
        <v>44662</v>
      </c>
      <c r="C109" s="18">
        <v>11.38</v>
      </c>
    </row>
    <row r="110" spans="2:3" x14ac:dyDescent="0.25">
      <c r="B110" s="12">
        <v>44655</v>
      </c>
      <c r="C110" s="18">
        <v>11.24</v>
      </c>
    </row>
    <row r="111" spans="2:3" x14ac:dyDescent="0.25">
      <c r="B111" s="12">
        <v>44648</v>
      </c>
      <c r="C111" s="18">
        <v>13.5</v>
      </c>
    </row>
    <row r="112" spans="2:3" x14ac:dyDescent="0.25">
      <c r="B112" s="12">
        <v>44641</v>
      </c>
      <c r="C112" s="18">
        <v>12.39</v>
      </c>
    </row>
    <row r="113" spans="2:3" x14ac:dyDescent="0.25">
      <c r="B113" s="12">
        <v>44634</v>
      </c>
      <c r="C113" s="18">
        <v>13.44</v>
      </c>
    </row>
    <row r="114" spans="2:3" x14ac:dyDescent="0.25">
      <c r="B114" s="12">
        <v>44627</v>
      </c>
      <c r="C114" s="18">
        <v>11.02</v>
      </c>
    </row>
    <row r="115" spans="2:3" x14ac:dyDescent="0.25">
      <c r="B115" s="12">
        <v>44620</v>
      </c>
      <c r="C115" s="18">
        <v>10.96</v>
      </c>
    </row>
    <row r="116" spans="2:3" x14ac:dyDescent="0.25">
      <c r="B116" s="12">
        <v>44613</v>
      </c>
      <c r="C116" s="18">
        <v>11.61</v>
      </c>
    </row>
    <row r="117" spans="2:3" x14ac:dyDescent="0.25">
      <c r="B117" s="12">
        <v>44606</v>
      </c>
      <c r="C117" s="18">
        <v>11.81</v>
      </c>
    </row>
    <row r="118" spans="2:3" x14ac:dyDescent="0.25">
      <c r="B118" s="12">
        <v>44599</v>
      </c>
      <c r="C118" s="18">
        <v>13.32</v>
      </c>
    </row>
    <row r="119" spans="2:3" x14ac:dyDescent="0.25">
      <c r="B119" s="12">
        <v>44592</v>
      </c>
      <c r="C119" s="18">
        <v>15.18</v>
      </c>
    </row>
    <row r="120" spans="2:3" x14ac:dyDescent="0.25">
      <c r="B120" s="12">
        <v>44585</v>
      </c>
      <c r="C120" s="18">
        <v>12.73</v>
      </c>
    </row>
    <row r="121" spans="2:3" x14ac:dyDescent="0.25">
      <c r="B121" s="12">
        <v>44578</v>
      </c>
      <c r="C121" s="18">
        <v>12.98</v>
      </c>
    </row>
    <row r="122" spans="2:3" x14ac:dyDescent="0.25">
      <c r="B122" s="12">
        <v>44571</v>
      </c>
      <c r="C122" s="18">
        <v>15.17</v>
      </c>
    </row>
    <row r="123" spans="2:3" x14ac:dyDescent="0.25">
      <c r="B123" s="12">
        <v>44564</v>
      </c>
      <c r="C123" s="18">
        <v>15.89</v>
      </c>
    </row>
    <row r="124" spans="2:3" x14ac:dyDescent="0.25">
      <c r="B124" s="12">
        <v>44557</v>
      </c>
      <c r="C124" s="18">
        <v>17.760000000000002</v>
      </c>
    </row>
    <row r="125" spans="2:3" x14ac:dyDescent="0.25">
      <c r="B125" s="12">
        <v>44550</v>
      </c>
      <c r="C125" s="18">
        <v>18.899999999999999</v>
      </c>
    </row>
    <row r="126" spans="2:3" x14ac:dyDescent="0.25">
      <c r="B126" s="12">
        <v>44543</v>
      </c>
      <c r="C126" s="18">
        <v>19.100000000000001</v>
      </c>
    </row>
    <row r="127" spans="2:3" x14ac:dyDescent="0.25">
      <c r="B127" s="12">
        <v>44536</v>
      </c>
      <c r="C127" s="18">
        <v>20.129999000000002</v>
      </c>
    </row>
    <row r="128" spans="2:3" x14ac:dyDescent="0.25">
      <c r="B128" s="12">
        <v>44529</v>
      </c>
      <c r="C128" s="18">
        <v>21.549999</v>
      </c>
    </row>
    <row r="129" spans="2:3" x14ac:dyDescent="0.25">
      <c r="B129" s="12">
        <v>44522</v>
      </c>
      <c r="C129" s="18">
        <v>27.92</v>
      </c>
    </row>
    <row r="130" spans="2:3" x14ac:dyDescent="0.25">
      <c r="B130" s="12">
        <v>44515</v>
      </c>
      <c r="C130" s="18">
        <v>28.99</v>
      </c>
    </row>
    <row r="131" spans="2:3" x14ac:dyDescent="0.25">
      <c r="B131" s="12">
        <v>44508</v>
      </c>
      <c r="C131" s="18">
        <v>35.209999000000003</v>
      </c>
    </row>
    <row r="132" spans="2:3" x14ac:dyDescent="0.25">
      <c r="B132" s="12">
        <v>44501</v>
      </c>
      <c r="C132" s="18">
        <v>37.009998000000003</v>
      </c>
    </row>
    <row r="133" spans="2:3" x14ac:dyDescent="0.25">
      <c r="B133" s="12">
        <v>44494</v>
      </c>
      <c r="C133" s="18">
        <v>34.970001000000003</v>
      </c>
    </row>
    <row r="134" spans="2:3" x14ac:dyDescent="0.25">
      <c r="B134" s="12">
        <v>44487</v>
      </c>
      <c r="C134" s="18">
        <v>39.590000000000003</v>
      </c>
    </row>
    <row r="135" spans="2:3" x14ac:dyDescent="0.25">
      <c r="B135" s="12">
        <v>44480</v>
      </c>
      <c r="C135" s="18">
        <v>41.029998999999997</v>
      </c>
    </row>
    <row r="136" spans="2:3" x14ac:dyDescent="0.25">
      <c r="B136" s="12">
        <v>44473</v>
      </c>
      <c r="C136" s="18">
        <v>41.779998999999997</v>
      </c>
    </row>
    <row r="137" spans="2:3" x14ac:dyDescent="0.25">
      <c r="B137" s="12">
        <v>44466</v>
      </c>
      <c r="C137" s="18">
        <v>41.900002000000001</v>
      </c>
    </row>
    <row r="138" spans="2:3" x14ac:dyDescent="0.25">
      <c r="B138" s="12">
        <v>44459</v>
      </c>
      <c r="C138" s="18">
        <v>44.91</v>
      </c>
    </row>
    <row r="139" spans="2:3" x14ac:dyDescent="0.25">
      <c r="B139" s="12">
        <v>44452</v>
      </c>
      <c r="C139" s="18">
        <v>42.380001</v>
      </c>
    </row>
    <row r="140" spans="2:3" x14ac:dyDescent="0.25">
      <c r="B140" s="12">
        <v>44445</v>
      </c>
      <c r="C140" s="18">
        <v>41.169998</v>
      </c>
    </row>
    <row r="141" spans="2:3" x14ac:dyDescent="0.25">
      <c r="B141" s="12">
        <v>44438</v>
      </c>
      <c r="C141" s="18">
        <v>43.349997999999999</v>
      </c>
    </row>
    <row r="142" spans="2:3" x14ac:dyDescent="0.25">
      <c r="B142" s="12">
        <v>44431</v>
      </c>
      <c r="C142" s="18">
        <v>46.869999</v>
      </c>
    </row>
    <row r="143" spans="2:3" x14ac:dyDescent="0.25">
      <c r="B143" s="12">
        <v>44424</v>
      </c>
      <c r="C143" s="18">
        <v>42.639999000000003</v>
      </c>
    </row>
    <row r="144" spans="2:3" x14ac:dyDescent="0.25">
      <c r="B144" s="12">
        <v>44417</v>
      </c>
      <c r="C144" s="18">
        <v>50.630001</v>
      </c>
    </row>
    <row r="145" spans="2:3" x14ac:dyDescent="0.25">
      <c r="B145" s="12">
        <v>44410</v>
      </c>
      <c r="C145" s="18">
        <v>55.009998000000003</v>
      </c>
    </row>
    <row r="146" spans="2:3" x14ac:dyDescent="0.25">
      <c r="B146" s="12">
        <v>44403</v>
      </c>
      <c r="C146" s="18">
        <v>35.150002000000001</v>
      </c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6"/>
  <sheetViews>
    <sheetView workbookViewId="0">
      <selection activeCell="D1" sqref="D1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89</v>
      </c>
      <c r="H1" s="132" t="s">
        <v>90</v>
      </c>
      <c r="I1" s="133"/>
      <c r="J1" s="133"/>
      <c r="K1" s="133"/>
      <c r="L1" s="133"/>
      <c r="M1" s="134"/>
    </row>
    <row r="2" spans="1:13" ht="15.75" thickBot="1" x14ac:dyDescent="0.3">
      <c r="B2" s="12">
        <v>45411</v>
      </c>
      <c r="C2" s="18">
        <v>17.610001</v>
      </c>
      <c r="D2" s="120">
        <f>C2/C3-1</f>
        <v>-1.5100560128666785E-2</v>
      </c>
      <c r="H2" s="57"/>
      <c r="I2" s="58"/>
      <c r="J2" s="58"/>
      <c r="K2" s="58"/>
      <c r="L2" s="58"/>
      <c r="M2" s="59"/>
    </row>
    <row r="3" spans="1:13" ht="15.75" thickBot="1" x14ac:dyDescent="0.3">
      <c r="B3" s="12">
        <v>45404</v>
      </c>
      <c r="C3" s="18">
        <v>17.879999000000002</v>
      </c>
      <c r="D3" s="120">
        <f t="shared" ref="D3:D66" si="0">C3/C4-1</f>
        <v>7.5165368320226689E-2</v>
      </c>
      <c r="H3" s="60" t="s">
        <v>91</v>
      </c>
      <c r="I3" s="61" t="s">
        <v>92</v>
      </c>
      <c r="J3" s="62" t="s">
        <v>93</v>
      </c>
      <c r="K3" s="63" t="s">
        <v>94</v>
      </c>
      <c r="L3" s="63" t="s">
        <v>95</v>
      </c>
      <c r="M3" s="64" t="s">
        <v>96</v>
      </c>
    </row>
    <row r="4" spans="1:13" x14ac:dyDescent="0.25">
      <c r="B4" s="12">
        <v>45397</v>
      </c>
      <c r="C4" s="18">
        <v>16.629999000000002</v>
      </c>
      <c r="D4" s="120">
        <f t="shared" si="0"/>
        <v>-7.456872980349083E-2</v>
      </c>
      <c r="H4" s="65">
        <f>$I$19-3*$I$23</f>
        <v>-0.29192372132421729</v>
      </c>
      <c r="I4" s="66">
        <f>H4</f>
        <v>-0.29192372132421729</v>
      </c>
      <c r="J4" s="67">
        <f>COUNTIF(D:D,"&lt;="&amp;H4)</f>
        <v>0</v>
      </c>
      <c r="K4" s="67" t="str">
        <f>"Less than "&amp;TEXT(H4,"0,00%")</f>
        <v>Less than -29,19%</v>
      </c>
      <c r="L4" s="68">
        <f>J4/$I$31</f>
        <v>0</v>
      </c>
      <c r="M4" s="69">
        <f>L4</f>
        <v>0</v>
      </c>
    </row>
    <row r="5" spans="1:13" x14ac:dyDescent="0.25">
      <c r="B5" s="12">
        <v>45390</v>
      </c>
      <c r="C5" s="18">
        <v>17.969999000000001</v>
      </c>
      <c r="D5" s="120">
        <f t="shared" si="0"/>
        <v>-2.3369619565217215E-2</v>
      </c>
      <c r="H5" s="70">
        <f>$I$19-2.4*$I$23</f>
        <v>-0.23361699174156278</v>
      </c>
      <c r="I5" s="71">
        <f>H5</f>
        <v>-0.23361699174156278</v>
      </c>
      <c r="J5" s="72">
        <f>COUNTIFS(D:D,"&lt;="&amp;H5,D:D,"&gt;"&amp;H4)</f>
        <v>0</v>
      </c>
      <c r="K5" s="73" t="str">
        <f t="shared" ref="K5:K14" si="1">TEXT(H4,"0,00%")&amp;" to "&amp;TEXT(H5,"0,00%")</f>
        <v>-29,19% to -23,36%</v>
      </c>
      <c r="L5" s="74">
        <f>J5/$I$31</f>
        <v>0</v>
      </c>
      <c r="M5" s="75">
        <f>M4+L5</f>
        <v>0</v>
      </c>
    </row>
    <row r="6" spans="1:13" x14ac:dyDescent="0.25">
      <c r="B6" s="12">
        <v>45383</v>
      </c>
      <c r="C6" s="18">
        <v>18.399999999999999</v>
      </c>
      <c r="D6" s="120">
        <f t="shared" si="0"/>
        <v>-8.5941335615565717E-2</v>
      </c>
      <c r="H6" s="70">
        <f>$I$19-1.8*$I$23</f>
        <v>-0.17531026215890833</v>
      </c>
      <c r="I6" s="71">
        <f t="shared" ref="I6:I14" si="2">H6</f>
        <v>-0.17531026215890833</v>
      </c>
      <c r="J6" s="72">
        <f t="shared" ref="J6:J14" si="3">COUNTIFS(D:D,"&lt;="&amp;H6,D:D,"&gt;"&amp;H5)</f>
        <v>2</v>
      </c>
      <c r="K6" s="73" t="str">
        <f t="shared" si="1"/>
        <v>-23,36% to -17,53%</v>
      </c>
      <c r="L6" s="74">
        <f t="shared" ref="L6:L15" si="4">J6/$I$31</f>
        <v>1.3888888888888888E-2</v>
      </c>
      <c r="M6" s="75">
        <f t="shared" ref="M6:M15" si="5">M5+L6</f>
        <v>1.3888888888888888E-2</v>
      </c>
    </row>
    <row r="7" spans="1:13" x14ac:dyDescent="0.25">
      <c r="B7" s="12">
        <v>45376</v>
      </c>
      <c r="C7" s="18">
        <v>20.129999000000002</v>
      </c>
      <c r="D7" s="120">
        <f t="shared" si="0"/>
        <v>0.10000000546448118</v>
      </c>
      <c r="H7" s="70">
        <f>$I$19-1.2*$I$23</f>
        <v>-0.11700353257625384</v>
      </c>
      <c r="I7" s="71">
        <f t="shared" si="2"/>
        <v>-0.11700353257625384</v>
      </c>
      <c r="J7" s="72">
        <f t="shared" si="3"/>
        <v>9</v>
      </c>
      <c r="K7" s="73" t="str">
        <f t="shared" si="1"/>
        <v>-17,53% to -11,70%</v>
      </c>
      <c r="L7" s="74">
        <f t="shared" si="4"/>
        <v>6.25E-2</v>
      </c>
      <c r="M7" s="75">
        <f t="shared" si="5"/>
        <v>7.6388888888888895E-2</v>
      </c>
    </row>
    <row r="8" spans="1:13" x14ac:dyDescent="0.25">
      <c r="B8" s="12">
        <v>45369</v>
      </c>
      <c r="C8" s="18">
        <v>18.299999</v>
      </c>
      <c r="D8" s="120">
        <f t="shared" si="0"/>
        <v>8.2644077134987892E-3</v>
      </c>
      <c r="H8" s="70">
        <f>$I$19-0.6*$I$23</f>
        <v>-5.8696802993599362E-2</v>
      </c>
      <c r="I8" s="71">
        <f t="shared" si="2"/>
        <v>-5.8696802993599362E-2</v>
      </c>
      <c r="J8" s="72">
        <f t="shared" si="3"/>
        <v>29</v>
      </c>
      <c r="K8" s="73" t="str">
        <f t="shared" si="1"/>
        <v>-11,70% to -5,87%</v>
      </c>
      <c r="L8" s="74">
        <f t="shared" si="4"/>
        <v>0.2013888888888889</v>
      </c>
      <c r="M8" s="75">
        <f t="shared" si="5"/>
        <v>0.27777777777777779</v>
      </c>
    </row>
    <row r="9" spans="1:13" x14ac:dyDescent="0.25">
      <c r="B9" s="12">
        <v>45362</v>
      </c>
      <c r="C9" s="18">
        <v>18.149999999999999</v>
      </c>
      <c r="D9" s="120">
        <f t="shared" si="0"/>
        <v>6.7647058823529393E-2</v>
      </c>
      <c r="H9" s="70">
        <f>$I$19</f>
        <v>-3.9007341094488696E-4</v>
      </c>
      <c r="I9" s="71">
        <f t="shared" si="2"/>
        <v>-3.9007341094488696E-4</v>
      </c>
      <c r="J9" s="72">
        <f t="shared" si="3"/>
        <v>35</v>
      </c>
      <c r="K9" s="73" t="str">
        <f t="shared" si="1"/>
        <v>-5,87% to -0,04%</v>
      </c>
      <c r="L9" s="74">
        <f t="shared" si="4"/>
        <v>0.24305555555555555</v>
      </c>
      <c r="M9" s="75">
        <f t="shared" si="5"/>
        <v>0.52083333333333337</v>
      </c>
    </row>
    <row r="10" spans="1:13" x14ac:dyDescent="0.25">
      <c r="B10" s="12">
        <v>45355</v>
      </c>
      <c r="C10" s="18">
        <v>17</v>
      </c>
      <c r="D10" s="120">
        <f t="shared" si="0"/>
        <v>2.5331724969843261E-2</v>
      </c>
      <c r="H10" s="70">
        <f>$I$19+0.6*$I$23</f>
        <v>5.7916656171709588E-2</v>
      </c>
      <c r="I10" s="71">
        <f t="shared" si="2"/>
        <v>5.7916656171709588E-2</v>
      </c>
      <c r="J10" s="72">
        <f t="shared" si="3"/>
        <v>36</v>
      </c>
      <c r="K10" s="73" t="str">
        <f t="shared" si="1"/>
        <v>-0,04% to 5,79%</v>
      </c>
      <c r="L10" s="74">
        <f t="shared" si="4"/>
        <v>0.25</v>
      </c>
      <c r="M10" s="75">
        <f t="shared" si="5"/>
        <v>0.77083333333333337</v>
      </c>
    </row>
    <row r="11" spans="1:13" x14ac:dyDescent="0.25">
      <c r="B11" s="12">
        <v>45348</v>
      </c>
      <c r="C11" s="18">
        <v>16.579999999999998</v>
      </c>
      <c r="D11" s="120">
        <f t="shared" si="0"/>
        <v>0.1450276243093922</v>
      </c>
      <c r="H11" s="70">
        <f>$I$19+1.2*$I$23</f>
        <v>0.11622338575436406</v>
      </c>
      <c r="I11" s="71">
        <f t="shared" si="2"/>
        <v>0.11622338575436406</v>
      </c>
      <c r="J11" s="72">
        <f t="shared" si="3"/>
        <v>20</v>
      </c>
      <c r="K11" s="73" t="str">
        <f t="shared" si="1"/>
        <v>5,79% to 11,62%</v>
      </c>
      <c r="L11" s="74">
        <f t="shared" si="4"/>
        <v>0.1388888888888889</v>
      </c>
      <c r="M11" s="75">
        <f t="shared" si="5"/>
        <v>0.90972222222222232</v>
      </c>
    </row>
    <row r="12" spans="1:13" x14ac:dyDescent="0.25">
      <c r="B12" s="12">
        <v>45341</v>
      </c>
      <c r="C12" s="18">
        <v>14.48</v>
      </c>
      <c r="D12" s="120">
        <f t="shared" si="0"/>
        <v>3.4285714285714253E-2</v>
      </c>
      <c r="H12" s="70">
        <f>$I$19+1.8*$I$23</f>
        <v>0.17453011533701857</v>
      </c>
      <c r="I12" s="71">
        <f t="shared" si="2"/>
        <v>0.17453011533701857</v>
      </c>
      <c r="J12" s="72">
        <f t="shared" si="3"/>
        <v>8</v>
      </c>
      <c r="K12" s="73" t="str">
        <f t="shared" si="1"/>
        <v>11,62% to 17,45%</v>
      </c>
      <c r="L12" s="74">
        <f t="shared" si="4"/>
        <v>5.5555555555555552E-2</v>
      </c>
      <c r="M12" s="75">
        <f t="shared" si="5"/>
        <v>0.9652777777777779</v>
      </c>
    </row>
    <row r="13" spans="1:13" x14ac:dyDescent="0.25">
      <c r="B13" s="12">
        <v>45334</v>
      </c>
      <c r="C13" s="18">
        <v>14</v>
      </c>
      <c r="D13" s="120">
        <f t="shared" si="0"/>
        <v>0.21212121212121215</v>
      </c>
      <c r="H13" s="70">
        <f>$I$19+2.4*$I$23</f>
        <v>0.23283684491967302</v>
      </c>
      <c r="I13" s="71">
        <f t="shared" si="2"/>
        <v>0.23283684491967302</v>
      </c>
      <c r="J13" s="72">
        <f t="shared" si="3"/>
        <v>3</v>
      </c>
      <c r="K13" s="73" t="str">
        <f t="shared" si="1"/>
        <v>17,45% to 23,28%</v>
      </c>
      <c r="L13" s="74">
        <f t="shared" si="4"/>
        <v>2.0833333333333332E-2</v>
      </c>
      <c r="M13" s="75">
        <f t="shared" si="5"/>
        <v>0.98611111111111127</v>
      </c>
    </row>
    <row r="14" spans="1:13" x14ac:dyDescent="0.25">
      <c r="B14" s="12">
        <v>45327</v>
      </c>
      <c r="C14" s="18">
        <v>11.55</v>
      </c>
      <c r="D14" s="120">
        <f t="shared" si="0"/>
        <v>5.7692307692307709E-2</v>
      </c>
      <c r="H14" s="70">
        <f>$I$19+3*$I$23</f>
        <v>0.29114357450232753</v>
      </c>
      <c r="I14" s="71">
        <f t="shared" si="2"/>
        <v>0.29114357450232753</v>
      </c>
      <c r="J14" s="72">
        <f t="shared" si="3"/>
        <v>1</v>
      </c>
      <c r="K14" s="73" t="str">
        <f t="shared" si="1"/>
        <v>23,28% to 29,11%</v>
      </c>
      <c r="L14" s="74">
        <f t="shared" si="4"/>
        <v>6.9444444444444441E-3</v>
      </c>
      <c r="M14" s="75">
        <f t="shared" si="5"/>
        <v>0.99305555555555569</v>
      </c>
    </row>
    <row r="15" spans="1:13" ht="15.75" thickBot="1" x14ac:dyDescent="0.3">
      <c r="B15" s="12">
        <v>45320</v>
      </c>
      <c r="C15" s="18">
        <v>10.92</v>
      </c>
      <c r="D15" s="120">
        <f t="shared" si="0"/>
        <v>1.2048192771084487E-2</v>
      </c>
      <c r="H15" s="76"/>
      <c r="I15" s="77" t="s">
        <v>97</v>
      </c>
      <c r="J15" s="77">
        <f>COUNTIF(D:D,"&gt;"&amp;H14)</f>
        <v>1</v>
      </c>
      <c r="K15" s="77" t="str">
        <f>"Greater than "&amp;TEXT(H14,"0,00%")</f>
        <v>Greater than 29,11%</v>
      </c>
      <c r="L15" s="78">
        <f t="shared" si="4"/>
        <v>6.9444444444444441E-3</v>
      </c>
      <c r="M15" s="78">
        <f t="shared" si="5"/>
        <v>1.0000000000000002</v>
      </c>
    </row>
    <row r="16" spans="1:13" ht="15.75" thickBot="1" x14ac:dyDescent="0.3">
      <c r="B16" s="12">
        <v>45313</v>
      </c>
      <c r="C16" s="18">
        <v>10.79</v>
      </c>
      <c r="D16" s="120">
        <f t="shared" si="0"/>
        <v>7.4696545284778093E-3</v>
      </c>
      <c r="H16" s="79"/>
      <c r="M16" s="80"/>
    </row>
    <row r="17" spans="2:13" x14ac:dyDescent="0.25">
      <c r="B17" s="12">
        <v>45306</v>
      </c>
      <c r="C17" s="18">
        <v>10.71</v>
      </c>
      <c r="D17" s="120">
        <f t="shared" si="0"/>
        <v>-2.8130671506351956E-2</v>
      </c>
      <c r="H17" s="135" t="s">
        <v>128</v>
      </c>
      <c r="I17" s="136"/>
      <c r="M17" s="80"/>
    </row>
    <row r="18" spans="2:13" x14ac:dyDescent="0.25">
      <c r="B18" s="12">
        <v>45299</v>
      </c>
      <c r="C18" s="18">
        <v>11.02</v>
      </c>
      <c r="D18" s="120">
        <f t="shared" si="0"/>
        <v>-7.3170731707317138E-2</v>
      </c>
      <c r="H18" s="137"/>
      <c r="I18" s="138"/>
      <c r="M18" s="80"/>
    </row>
    <row r="19" spans="2:13" x14ac:dyDescent="0.25">
      <c r="B19" s="12">
        <v>45292</v>
      </c>
      <c r="C19" s="18">
        <v>11.89</v>
      </c>
      <c r="D19" s="120">
        <f t="shared" si="0"/>
        <v>-6.6718995290423799E-2</v>
      </c>
      <c r="H19" s="81" t="s">
        <v>98</v>
      </c>
      <c r="I19" s="118">
        <f>AVERAGE(D:D)</f>
        <v>-3.9007341094488696E-4</v>
      </c>
      <c r="M19" s="80"/>
    </row>
    <row r="20" spans="2:13" x14ac:dyDescent="0.25">
      <c r="B20" s="12">
        <v>45285</v>
      </c>
      <c r="C20" s="18">
        <v>12.74</v>
      </c>
      <c r="D20" s="120">
        <f t="shared" si="0"/>
        <v>-1.6216216216216162E-2</v>
      </c>
      <c r="H20" s="81" t="s">
        <v>99</v>
      </c>
      <c r="I20" s="118">
        <f>_xlfn.STDEV.S(D:D)/SQRT(COUNT(D:D))</f>
        <v>8.0981568864797893E-3</v>
      </c>
      <c r="M20" s="80"/>
    </row>
    <row r="21" spans="2:13" x14ac:dyDescent="0.25">
      <c r="B21" s="12">
        <v>45278</v>
      </c>
      <c r="C21" s="18">
        <v>12.95</v>
      </c>
      <c r="D21" s="120">
        <f t="shared" si="0"/>
        <v>0.10778443113772451</v>
      </c>
      <c r="H21" s="81" t="s">
        <v>100</v>
      </c>
      <c r="I21" s="118">
        <f>MEDIAN(D:D)</f>
        <v>-2.6075652274316075E-3</v>
      </c>
      <c r="M21" s="80"/>
    </row>
    <row r="22" spans="2:13" x14ac:dyDescent="0.25">
      <c r="B22" s="12">
        <v>45271</v>
      </c>
      <c r="C22" s="18">
        <v>11.69</v>
      </c>
      <c r="D22" s="120">
        <f t="shared" si="0"/>
        <v>-3.4100596760444635E-3</v>
      </c>
      <c r="H22" s="81" t="s">
        <v>101</v>
      </c>
      <c r="I22" s="118" t="e">
        <f>MODE(D:D)</f>
        <v>#N/A</v>
      </c>
      <c r="M22" s="80"/>
    </row>
    <row r="23" spans="2:13" x14ac:dyDescent="0.25">
      <c r="B23" s="12">
        <v>45264</v>
      </c>
      <c r="C23" s="18">
        <v>11.73</v>
      </c>
      <c r="D23" s="120">
        <f t="shared" si="0"/>
        <v>0.25858369098712441</v>
      </c>
      <c r="H23" s="81" t="s">
        <v>102</v>
      </c>
      <c r="I23" s="118">
        <f>_xlfn.STDEV.S(D:D)</f>
        <v>9.7177882637757465E-2</v>
      </c>
      <c r="M23" s="80"/>
    </row>
    <row r="24" spans="2:13" x14ac:dyDescent="0.25">
      <c r="B24" s="12">
        <v>45257</v>
      </c>
      <c r="C24" s="18">
        <v>9.32</v>
      </c>
      <c r="D24" s="120">
        <f t="shared" si="0"/>
        <v>0.12424607961399281</v>
      </c>
      <c r="H24" s="81" t="s">
        <v>103</v>
      </c>
      <c r="I24" s="118">
        <f>_xlfn.VAR.S(D:D)</f>
        <v>9.4435408739577641E-3</v>
      </c>
      <c r="M24" s="80"/>
    </row>
    <row r="25" spans="2:13" x14ac:dyDescent="0.25">
      <c r="B25" s="12">
        <v>45250</v>
      </c>
      <c r="C25" s="18">
        <v>8.2899999999999991</v>
      </c>
      <c r="D25" s="120">
        <f t="shared" si="0"/>
        <v>2.3456790123456805E-2</v>
      </c>
      <c r="H25" s="81" t="s">
        <v>104</v>
      </c>
      <c r="I25" s="119">
        <f>KURT(D:D)</f>
        <v>7.2394190538589944</v>
      </c>
      <c r="M25" s="80"/>
    </row>
    <row r="26" spans="2:13" x14ac:dyDescent="0.25">
      <c r="B26" s="12">
        <v>45243</v>
      </c>
      <c r="C26" s="18">
        <v>8.1</v>
      </c>
      <c r="D26" s="120">
        <f t="shared" si="0"/>
        <v>-1.5795868772782606E-2</v>
      </c>
      <c r="H26" s="81" t="s">
        <v>105</v>
      </c>
      <c r="I26" s="119">
        <f>SKEW(D:D)</f>
        <v>1.4890731434546625</v>
      </c>
      <c r="M26" s="80"/>
    </row>
    <row r="27" spans="2:13" x14ac:dyDescent="0.25">
      <c r="B27" s="12">
        <v>45236</v>
      </c>
      <c r="C27" s="18">
        <v>8.23</v>
      </c>
      <c r="D27" s="120">
        <f t="shared" si="0"/>
        <v>-0.15067079463364286</v>
      </c>
      <c r="H27" s="81" t="s">
        <v>94</v>
      </c>
      <c r="I27" s="118">
        <f>I29-I28</f>
        <v>0.79315886470999364</v>
      </c>
      <c r="M27" s="80"/>
    </row>
    <row r="28" spans="2:13" x14ac:dyDescent="0.25">
      <c r="B28" s="12">
        <v>45229</v>
      </c>
      <c r="C28" s="18">
        <v>9.69</v>
      </c>
      <c r="D28" s="120">
        <f t="shared" si="0"/>
        <v>8.8764044943820064E-2</v>
      </c>
      <c r="H28" s="81" t="s">
        <v>106</v>
      </c>
      <c r="I28" s="118">
        <f>MIN(D:D)</f>
        <v>-0.2281518982808024</v>
      </c>
      <c r="M28" s="80"/>
    </row>
    <row r="29" spans="2:13" x14ac:dyDescent="0.25">
      <c r="B29" s="12">
        <v>45222</v>
      </c>
      <c r="C29" s="18">
        <v>8.9</v>
      </c>
      <c r="D29" s="120">
        <f t="shared" si="0"/>
        <v>-2.5191675794085433E-2</v>
      </c>
      <c r="H29" s="81" t="s">
        <v>107</v>
      </c>
      <c r="I29" s="118">
        <f>MAX(D:D)</f>
        <v>0.56500696642919124</v>
      </c>
      <c r="M29" s="80"/>
    </row>
    <row r="30" spans="2:13" x14ac:dyDescent="0.25">
      <c r="B30" s="12">
        <v>45215</v>
      </c>
      <c r="C30" s="18">
        <v>9.1300000000000008</v>
      </c>
      <c r="D30" s="120">
        <f t="shared" si="0"/>
        <v>-1.094091903719896E-3</v>
      </c>
      <c r="H30" s="81" t="s">
        <v>108</v>
      </c>
      <c r="I30" s="119">
        <f>SUM(D:D)</f>
        <v>-5.6170571176063722E-2</v>
      </c>
      <c r="M30" s="80"/>
    </row>
    <row r="31" spans="2:13" ht="15.75" thickBot="1" x14ac:dyDescent="0.3">
      <c r="B31" s="12">
        <v>45208</v>
      </c>
      <c r="C31" s="18">
        <v>9.14</v>
      </c>
      <c r="D31" s="120">
        <f t="shared" si="0"/>
        <v>-7.9556898288016042E-2</v>
      </c>
      <c r="H31" s="82" t="s">
        <v>109</v>
      </c>
      <c r="I31" s="59">
        <f>COUNT(D:D)</f>
        <v>144</v>
      </c>
      <c r="M31" s="80"/>
    </row>
    <row r="32" spans="2:13" ht="15.75" thickBot="1" x14ac:dyDescent="0.3">
      <c r="B32" s="12">
        <v>45201</v>
      </c>
      <c r="C32" s="18">
        <v>9.93</v>
      </c>
      <c r="D32" s="120">
        <f t="shared" si="0"/>
        <v>1.2232415902140525E-2</v>
      </c>
      <c r="H32" s="84"/>
      <c r="M32" s="80"/>
    </row>
    <row r="33" spans="2:13" x14ac:dyDescent="0.25">
      <c r="B33" s="12">
        <v>45194</v>
      </c>
      <c r="C33" s="18">
        <v>9.81</v>
      </c>
      <c r="D33" s="120">
        <f t="shared" si="0"/>
        <v>1.1340206185567192E-2</v>
      </c>
      <c r="H33" s="85"/>
      <c r="I33" s="86" t="s">
        <v>110</v>
      </c>
      <c r="J33" s="86" t="s">
        <v>109</v>
      </c>
      <c r="K33" s="86" t="s">
        <v>111</v>
      </c>
      <c r="L33" s="87" t="s">
        <v>112</v>
      </c>
      <c r="M33" s="80"/>
    </row>
    <row r="34" spans="2:13" x14ac:dyDescent="0.25">
      <c r="B34" s="12">
        <v>45187</v>
      </c>
      <c r="C34" s="18">
        <v>9.6999999999999993</v>
      </c>
      <c r="D34" s="120">
        <f t="shared" si="0"/>
        <v>-9.0909090909090939E-2</v>
      </c>
      <c r="H34" s="88" t="s">
        <v>113</v>
      </c>
      <c r="I34" s="74">
        <f>AVERAGEIF(D:D,"&gt;0")</f>
        <v>7.426133683854004E-2</v>
      </c>
      <c r="J34" s="72">
        <f>COUNTIF(D:D,"&gt;0")</f>
        <v>68</v>
      </c>
      <c r="K34" s="74">
        <f>J34/$I$31</f>
        <v>0.47222222222222221</v>
      </c>
      <c r="L34" s="75">
        <f>K34*I34</f>
        <v>3.5067853507088353E-2</v>
      </c>
      <c r="M34" s="80"/>
    </row>
    <row r="35" spans="2:13" x14ac:dyDescent="0.25">
      <c r="B35" s="12">
        <v>45180</v>
      </c>
      <c r="C35" s="18">
        <v>10.67</v>
      </c>
      <c r="D35" s="120">
        <f t="shared" si="0"/>
        <v>-6.5176908752327956E-3</v>
      </c>
      <c r="H35" s="88" t="s">
        <v>114</v>
      </c>
      <c r="I35" s="74">
        <f>AVERAGEIF(D:D,"&lt;0")</f>
        <v>-6.8079219682623815E-2</v>
      </c>
      <c r="J35" s="72">
        <f>COUNTIF(D:D,"&lt;0")</f>
        <v>75</v>
      </c>
      <c r="K35" s="74">
        <f>J35/$I$31</f>
        <v>0.52083333333333337</v>
      </c>
      <c r="L35" s="75">
        <f t="shared" ref="L35:L36" si="6">K35*I35</f>
        <v>-3.545792691803324E-2</v>
      </c>
      <c r="M35" s="80"/>
    </row>
    <row r="36" spans="2:13" ht="15.75" thickBot="1" x14ac:dyDescent="0.3">
      <c r="B36" s="12">
        <v>45173</v>
      </c>
      <c r="C36" s="18">
        <v>10.74</v>
      </c>
      <c r="D36" s="120">
        <f t="shared" si="0"/>
        <v>-3.3303330333033232E-2</v>
      </c>
      <c r="H36" s="89" t="s">
        <v>115</v>
      </c>
      <c r="I36" s="77">
        <v>0</v>
      </c>
      <c r="J36" s="77">
        <f>COUNTIF(D:D,"0")</f>
        <v>1</v>
      </c>
      <c r="K36" s="90">
        <f>J36/$I$31</f>
        <v>6.9444444444444441E-3</v>
      </c>
      <c r="L36" s="78">
        <f t="shared" si="6"/>
        <v>0</v>
      </c>
      <c r="M36" s="80"/>
    </row>
    <row r="37" spans="2:13" ht="15.75" thickBot="1" x14ac:dyDescent="0.3">
      <c r="B37" s="12">
        <v>45166</v>
      </c>
      <c r="C37" s="18">
        <v>11.11</v>
      </c>
      <c r="D37" s="120">
        <f t="shared" si="0"/>
        <v>5.4079696394687016E-2</v>
      </c>
      <c r="H37" s="84"/>
      <c r="I37" s="91"/>
      <c r="J37" s="91"/>
      <c r="K37" s="91"/>
      <c r="L37" s="91"/>
      <c r="M37" s="80"/>
    </row>
    <row r="38" spans="2:13" x14ac:dyDescent="0.25">
      <c r="B38" s="12">
        <v>45159</v>
      </c>
      <c r="C38" s="18">
        <v>10.54</v>
      </c>
      <c r="D38" s="120">
        <f t="shared" si="0"/>
        <v>2.8292682926829293E-2</v>
      </c>
      <c r="H38" s="65" t="s">
        <v>116</v>
      </c>
      <c r="I38" s="86" t="s">
        <v>117</v>
      </c>
      <c r="J38" s="86" t="s">
        <v>118</v>
      </c>
      <c r="K38" s="86" t="s">
        <v>119</v>
      </c>
      <c r="L38" s="86" t="s">
        <v>120</v>
      </c>
      <c r="M38" s="87" t="s">
        <v>121</v>
      </c>
    </row>
    <row r="39" spans="2:13" x14ac:dyDescent="0.25">
      <c r="B39" s="12">
        <v>45152</v>
      </c>
      <c r="C39" s="18">
        <v>10.25</v>
      </c>
      <c r="D39" s="120">
        <f t="shared" si="0"/>
        <v>-4.3843283582089554E-2</v>
      </c>
      <c r="H39" s="92">
        <v>1</v>
      </c>
      <c r="I39" s="74">
        <f>$I$19+($H39*$I$23)</f>
        <v>9.6787809226812571E-2</v>
      </c>
      <c r="J39" s="74">
        <f>$I$19-($H39*$I$23)</f>
        <v>-9.7567956048702359E-2</v>
      </c>
      <c r="K39" s="72">
        <f>COUNTIFS(D:D,"&lt;"&amp;I39,D:D,"&gt;"&amp;J39)</f>
        <v>109</v>
      </c>
      <c r="L39" s="74">
        <f>K39/$I$31</f>
        <v>0.75694444444444442</v>
      </c>
      <c r="M39" s="75">
        <v>0.68269999999999997</v>
      </c>
    </row>
    <row r="40" spans="2:13" x14ac:dyDescent="0.25">
      <c r="B40" s="12">
        <v>45145</v>
      </c>
      <c r="C40" s="18">
        <v>10.72</v>
      </c>
      <c r="D40" s="120">
        <f t="shared" si="0"/>
        <v>-4.9645390070921835E-2</v>
      </c>
      <c r="H40" s="92">
        <v>2</v>
      </c>
      <c r="I40" s="74">
        <f>$I$19+($H40*$I$23)</f>
        <v>0.19396569186457005</v>
      </c>
      <c r="J40" s="74">
        <f>$I$19-($H40*$I$23)</f>
        <v>-0.19474583868645981</v>
      </c>
      <c r="K40" s="72">
        <f>COUNTIFS(D:D,"&lt;"&amp;I40,D:D,"&gt;"&amp;J40)</f>
        <v>139</v>
      </c>
      <c r="L40" s="74">
        <f>K40/$I$31</f>
        <v>0.96527777777777779</v>
      </c>
      <c r="M40" s="75">
        <v>0.95450000000000002</v>
      </c>
    </row>
    <row r="41" spans="2:13" x14ac:dyDescent="0.25">
      <c r="B41" s="12">
        <v>45138</v>
      </c>
      <c r="C41" s="18">
        <v>11.28</v>
      </c>
      <c r="D41" s="120">
        <f t="shared" si="0"/>
        <v>-0.11390416339355858</v>
      </c>
      <c r="H41" s="92">
        <v>3</v>
      </c>
      <c r="I41" s="74">
        <f>$I$19+($H41*$I$23)</f>
        <v>0.29114357450232753</v>
      </c>
      <c r="J41" s="74">
        <f>$I$19-($H41*$I$23)</f>
        <v>-0.29192372132421729</v>
      </c>
      <c r="K41" s="72">
        <f>COUNTIFS(D:D,"&lt;"&amp;I41,D:D,"&gt;"&amp;J41)</f>
        <v>143</v>
      </c>
      <c r="L41" s="74">
        <f>K41/$I$31</f>
        <v>0.99305555555555558</v>
      </c>
      <c r="M41" s="93">
        <v>0.99729999999999996</v>
      </c>
    </row>
    <row r="42" spans="2:13" ht="15.75" thickBot="1" x14ac:dyDescent="0.3">
      <c r="B42" s="12">
        <v>45131</v>
      </c>
      <c r="C42" s="18">
        <v>12.73</v>
      </c>
      <c r="D42" s="120">
        <f t="shared" si="0"/>
        <v>-2.3510971786833146E-3</v>
      </c>
      <c r="H42" s="70"/>
      <c r="M42" s="93"/>
    </row>
    <row r="43" spans="2:13" ht="15.75" thickBot="1" x14ac:dyDescent="0.3">
      <c r="B43" s="12">
        <v>45124</v>
      </c>
      <c r="C43" s="18">
        <v>12.76</v>
      </c>
      <c r="D43" s="120">
        <f t="shared" si="0"/>
        <v>3.0694668820678395E-2</v>
      </c>
      <c r="H43" s="139" t="s">
        <v>122</v>
      </c>
      <c r="I43" s="140"/>
      <c r="J43" s="140"/>
      <c r="K43" s="140"/>
      <c r="L43" s="140"/>
      <c r="M43" s="141"/>
    </row>
    <row r="44" spans="2:13" x14ac:dyDescent="0.25">
      <c r="B44" s="12">
        <v>45117</v>
      </c>
      <c r="C44" s="18">
        <v>12.38</v>
      </c>
      <c r="D44" s="120">
        <f t="shared" si="0"/>
        <v>0.14735866543095466</v>
      </c>
      <c r="H44" s="94">
        <v>0.01</v>
      </c>
      <c r="I44" s="95">
        <f t="shared" ref="I44:I58" si="7">_xlfn.PERCENTILE.INC(D:D,H44)</f>
        <v>-0.17267815680384388</v>
      </c>
      <c r="J44" s="96">
        <v>0.2</v>
      </c>
      <c r="K44" s="95">
        <f t="shared" ref="K44:K56" si="8">_xlfn.PERCENTILE.INC(D:D,J44)</f>
        <v>-7.5136008218715578E-2</v>
      </c>
      <c r="L44" s="96">
        <v>0.85</v>
      </c>
      <c r="M44" s="97">
        <f t="shared" ref="M44:M58" si="9">_xlfn.PERCENTILE.INC(D:D,L44)</f>
        <v>8.0489456916210511E-2</v>
      </c>
    </row>
    <row r="45" spans="2:13" x14ac:dyDescent="0.25">
      <c r="B45" s="12">
        <v>45110</v>
      </c>
      <c r="C45" s="18">
        <v>10.79</v>
      </c>
      <c r="D45" s="120">
        <f t="shared" si="0"/>
        <v>8.1162324649298512E-2</v>
      </c>
      <c r="H45" s="98">
        <v>0.02</v>
      </c>
      <c r="I45" s="99">
        <f t="shared" si="7"/>
        <v>-0.15915502211074847</v>
      </c>
      <c r="J45" s="100">
        <v>0.25</v>
      </c>
      <c r="K45" s="99">
        <f t="shared" si="8"/>
        <v>-6.679496902404139E-2</v>
      </c>
      <c r="L45" s="100">
        <v>0.86</v>
      </c>
      <c r="M45" s="101">
        <f t="shared" si="9"/>
        <v>8.8612010537929664E-2</v>
      </c>
    </row>
    <row r="46" spans="2:13" x14ac:dyDescent="0.25">
      <c r="B46" s="12">
        <v>45103</v>
      </c>
      <c r="C46" s="18">
        <v>9.98</v>
      </c>
      <c r="D46" s="120">
        <f t="shared" si="0"/>
        <v>5.163329820864071E-2</v>
      </c>
      <c r="H46" s="98">
        <v>0.03</v>
      </c>
      <c r="I46" s="99">
        <f t="shared" si="7"/>
        <v>-0.15217577472554963</v>
      </c>
      <c r="J46" s="100">
        <v>0.3</v>
      </c>
      <c r="K46" s="99">
        <f t="shared" si="8"/>
        <v>-5.4004146429047953E-2</v>
      </c>
      <c r="L46" s="100">
        <v>0.87</v>
      </c>
      <c r="M46" s="101">
        <f t="shared" si="9"/>
        <v>9.0325630252100914E-2</v>
      </c>
    </row>
    <row r="47" spans="2:13" x14ac:dyDescent="0.25">
      <c r="B47" s="12">
        <v>45096</v>
      </c>
      <c r="C47" s="18">
        <v>9.49</v>
      </c>
      <c r="D47" s="120">
        <f t="shared" si="0"/>
        <v>-5.3838484546360865E-2</v>
      </c>
      <c r="H47" s="98">
        <v>0.04</v>
      </c>
      <c r="I47" s="99">
        <f t="shared" si="7"/>
        <v>-0.14897081050178212</v>
      </c>
      <c r="J47" s="100">
        <v>0.35</v>
      </c>
      <c r="K47" s="99">
        <f t="shared" si="8"/>
        <v>-4.3496583356072364E-2</v>
      </c>
      <c r="L47" s="100">
        <v>0.88</v>
      </c>
      <c r="M47" s="101">
        <f t="shared" si="9"/>
        <v>9.7952057072755852E-2</v>
      </c>
    </row>
    <row r="48" spans="2:13" x14ac:dyDescent="0.25">
      <c r="B48" s="12">
        <v>45089</v>
      </c>
      <c r="C48" s="18">
        <v>10.029999999999999</v>
      </c>
      <c r="D48" s="120">
        <f t="shared" si="0"/>
        <v>6.5887353878852251E-2</v>
      </c>
      <c r="H48" s="98">
        <v>0.05</v>
      </c>
      <c r="I48" s="99">
        <f t="shared" si="7"/>
        <v>-0.1469395976973239</v>
      </c>
      <c r="J48" s="100">
        <v>0.4</v>
      </c>
      <c r="K48" s="99">
        <f t="shared" si="8"/>
        <v>-2.7542872363898643E-2</v>
      </c>
      <c r="L48" s="100">
        <v>0.89</v>
      </c>
      <c r="M48" s="101">
        <f t="shared" si="9"/>
        <v>0.10006601865899793</v>
      </c>
    </row>
    <row r="49" spans="2:13" x14ac:dyDescent="0.25">
      <c r="B49" s="12">
        <v>45082</v>
      </c>
      <c r="C49" s="18">
        <v>9.41</v>
      </c>
      <c r="D49" s="120">
        <f t="shared" si="0"/>
        <v>7.4946466809422407E-3</v>
      </c>
      <c r="H49" s="98">
        <v>0.06</v>
      </c>
      <c r="I49" s="99">
        <f t="shared" si="7"/>
        <v>-0.13170002162579042</v>
      </c>
      <c r="J49" s="100">
        <v>0.45</v>
      </c>
      <c r="K49" s="99">
        <f t="shared" si="8"/>
        <v>-1.5552510747342064E-2</v>
      </c>
      <c r="L49" s="100">
        <v>0.9</v>
      </c>
      <c r="M49" s="101">
        <f t="shared" si="9"/>
        <v>0.10552245142965914</v>
      </c>
    </row>
    <row r="50" spans="2:13" x14ac:dyDescent="0.25">
      <c r="B50" s="12">
        <v>45075</v>
      </c>
      <c r="C50" s="18">
        <v>9.34</v>
      </c>
      <c r="D50" s="120">
        <f t="shared" si="0"/>
        <v>5.895691609977316E-2</v>
      </c>
      <c r="H50" s="98">
        <v>7.0000000000000007E-2</v>
      </c>
      <c r="I50" s="99">
        <f t="shared" si="7"/>
        <v>-0.12219847972593008</v>
      </c>
      <c r="J50" s="100">
        <v>0.5</v>
      </c>
      <c r="K50" s="99">
        <f t="shared" si="8"/>
        <v>-2.6075652274316075E-3</v>
      </c>
      <c r="L50" s="100">
        <v>0.91</v>
      </c>
      <c r="M50" s="101">
        <f t="shared" si="9"/>
        <v>0.1134373938457791</v>
      </c>
    </row>
    <row r="51" spans="2:13" x14ac:dyDescent="0.25">
      <c r="B51" s="12">
        <v>45068</v>
      </c>
      <c r="C51" s="18">
        <v>8.82</v>
      </c>
      <c r="D51" s="120">
        <f t="shared" si="0"/>
        <v>4.1322314049586639E-2</v>
      </c>
      <c r="H51" s="98">
        <v>0.08</v>
      </c>
      <c r="I51" s="99">
        <f t="shared" si="7"/>
        <v>-0.11664076579545353</v>
      </c>
      <c r="J51" s="100">
        <v>0.55000000000000004</v>
      </c>
      <c r="K51" s="99">
        <f t="shared" si="8"/>
        <v>7.4858994275796903E-3</v>
      </c>
      <c r="L51" s="100">
        <v>0.92</v>
      </c>
      <c r="M51" s="101">
        <f t="shared" si="9"/>
        <v>0.12036012971496847</v>
      </c>
    </row>
    <row r="52" spans="2:13" x14ac:dyDescent="0.25">
      <c r="B52" s="12">
        <v>45061</v>
      </c>
      <c r="C52" s="18">
        <v>8.4700000000000006</v>
      </c>
      <c r="D52" s="120">
        <f t="shared" si="0"/>
        <v>-3.0892448512585768E-2</v>
      </c>
      <c r="H52" s="98">
        <v>0.09</v>
      </c>
      <c r="I52" s="99">
        <f t="shared" si="7"/>
        <v>-0.11425076473428422</v>
      </c>
      <c r="J52" s="100">
        <v>0.6</v>
      </c>
      <c r="K52" s="99">
        <f t="shared" si="8"/>
        <v>1.3402603467398187E-2</v>
      </c>
      <c r="L52" s="100">
        <v>0.93</v>
      </c>
      <c r="M52" s="101">
        <f t="shared" si="9"/>
        <v>0.12422055003478412</v>
      </c>
    </row>
    <row r="53" spans="2:13" x14ac:dyDescent="0.25">
      <c r="B53" s="12">
        <v>45054</v>
      </c>
      <c r="C53" s="18">
        <v>8.74</v>
      </c>
      <c r="D53" s="120">
        <f t="shared" si="0"/>
        <v>-1.2429378531073398E-2</v>
      </c>
      <c r="H53" s="98">
        <v>0.1</v>
      </c>
      <c r="I53" s="99">
        <f t="shared" si="7"/>
        <v>-0.1109421921921922</v>
      </c>
      <c r="J53" s="100">
        <v>0.65</v>
      </c>
      <c r="K53" s="99">
        <f t="shared" si="8"/>
        <v>2.5209124266300346E-2</v>
      </c>
      <c r="L53" s="100">
        <v>0.94</v>
      </c>
      <c r="M53" s="101">
        <f t="shared" si="9"/>
        <v>0.1315556033709879</v>
      </c>
    </row>
    <row r="54" spans="2:13" x14ac:dyDescent="0.25">
      <c r="B54" s="12">
        <v>45047</v>
      </c>
      <c r="C54" s="18">
        <v>8.85</v>
      </c>
      <c r="D54" s="120">
        <f t="shared" si="0"/>
        <v>0</v>
      </c>
      <c r="H54" s="98">
        <v>0.11</v>
      </c>
      <c r="I54" s="99">
        <f t="shared" si="7"/>
        <v>-0.10027439676055674</v>
      </c>
      <c r="J54" s="100">
        <v>0.7</v>
      </c>
      <c r="K54" s="99">
        <f t="shared" si="8"/>
        <v>3.2146353369325344E-2</v>
      </c>
      <c r="L54" s="100">
        <v>0.95</v>
      </c>
      <c r="M54" s="101">
        <f t="shared" si="9"/>
        <v>0.14339182385824958</v>
      </c>
    </row>
    <row r="55" spans="2:13" x14ac:dyDescent="0.25">
      <c r="B55" s="12">
        <v>45040</v>
      </c>
      <c r="C55" s="18">
        <v>8.85</v>
      </c>
      <c r="D55" s="120">
        <f t="shared" si="0"/>
        <v>-8.195020746887971E-2</v>
      </c>
      <c r="H55" s="98">
        <v>0.12</v>
      </c>
      <c r="I55" s="99">
        <f t="shared" si="7"/>
        <v>-9.0747474747474771E-2</v>
      </c>
      <c r="J55" s="100">
        <v>0.75</v>
      </c>
      <c r="K55" s="99">
        <f t="shared" si="8"/>
        <v>5.2244897755152286E-2</v>
      </c>
      <c r="L55" s="100">
        <v>0.96</v>
      </c>
      <c r="M55" s="101">
        <f t="shared" si="9"/>
        <v>0.14786619491139233</v>
      </c>
    </row>
    <row r="56" spans="2:13" x14ac:dyDescent="0.25">
      <c r="B56" s="12">
        <v>45033</v>
      </c>
      <c r="C56" s="18">
        <v>9.64</v>
      </c>
      <c r="D56" s="120">
        <f t="shared" si="0"/>
        <v>-3.5999999999999921E-2</v>
      </c>
      <c r="H56" s="98">
        <v>0.13</v>
      </c>
      <c r="I56" s="99">
        <f t="shared" si="7"/>
        <v>-8.7563973871769646E-2</v>
      </c>
      <c r="J56" s="100">
        <v>0.8</v>
      </c>
      <c r="K56" s="99">
        <f t="shared" si="8"/>
        <v>6.469359969850573E-2</v>
      </c>
      <c r="L56" s="100">
        <v>0.97</v>
      </c>
      <c r="M56" s="101">
        <f t="shared" si="9"/>
        <v>0.17990538728283584</v>
      </c>
    </row>
    <row r="57" spans="2:13" x14ac:dyDescent="0.25">
      <c r="B57" s="12">
        <v>45026</v>
      </c>
      <c r="C57" s="18">
        <v>10</v>
      </c>
      <c r="D57" s="120">
        <f t="shared" si="0"/>
        <v>-9.9900099900096517E-4</v>
      </c>
      <c r="H57" s="98">
        <v>0.14000000000000001</v>
      </c>
      <c r="I57" s="99">
        <f t="shared" si="7"/>
        <v>-8.4213078223451657E-2</v>
      </c>
      <c r="J57" s="100"/>
      <c r="K57" s="99"/>
      <c r="L57" s="100">
        <v>0.98</v>
      </c>
      <c r="M57" s="101">
        <f t="shared" si="9"/>
        <v>0.21316834405763618</v>
      </c>
    </row>
    <row r="58" spans="2:13" ht="15.75" thickBot="1" x14ac:dyDescent="0.3">
      <c r="B58" s="12">
        <v>45019</v>
      </c>
      <c r="C58" s="18">
        <v>10.01</v>
      </c>
      <c r="D58" s="120">
        <f t="shared" si="0"/>
        <v>3.0895983522142068E-2</v>
      </c>
      <c r="H58" s="102">
        <v>0.15</v>
      </c>
      <c r="I58" s="103">
        <f t="shared" si="7"/>
        <v>-8.0902439987899324E-2</v>
      </c>
      <c r="J58" s="104"/>
      <c r="K58" s="83"/>
      <c r="L58" s="105">
        <v>0.99</v>
      </c>
      <c r="M58" s="106">
        <f t="shared" si="9"/>
        <v>0.24182101602237024</v>
      </c>
    </row>
    <row r="59" spans="2:13" ht="15.75" thickBot="1" x14ac:dyDescent="0.3">
      <c r="B59" s="12">
        <v>45012</v>
      </c>
      <c r="C59" s="18">
        <v>9.7100000000000009</v>
      </c>
      <c r="D59" s="120">
        <f t="shared" si="0"/>
        <v>0.11866359447004626</v>
      </c>
    </row>
    <row r="60" spans="2:13" x14ac:dyDescent="0.25">
      <c r="B60" s="12">
        <v>45005</v>
      </c>
      <c r="C60" s="18">
        <v>8.68</v>
      </c>
      <c r="D60" s="120">
        <f t="shared" si="0"/>
        <v>-5.5495103373231713E-2</v>
      </c>
      <c r="H60" s="107" t="s">
        <v>123</v>
      </c>
      <c r="I60" s="108"/>
    </row>
    <row r="61" spans="2:13" ht="15.75" thickBot="1" x14ac:dyDescent="0.3">
      <c r="B61" s="12">
        <v>44998</v>
      </c>
      <c r="C61" s="18">
        <v>9.19</v>
      </c>
      <c r="D61" s="120">
        <f t="shared" si="0"/>
        <v>1.9977802441731418E-2</v>
      </c>
      <c r="H61" s="109" t="s">
        <v>124</v>
      </c>
      <c r="I61" s="110"/>
    </row>
    <row r="62" spans="2:13" ht="15.75" thickBot="1" x14ac:dyDescent="0.3">
      <c r="B62" s="12">
        <v>44991</v>
      </c>
      <c r="C62" s="18">
        <v>9.01</v>
      </c>
      <c r="D62" s="120">
        <f t="shared" si="0"/>
        <v>-8.9898989898989923E-2</v>
      </c>
      <c r="H62" s="111"/>
    </row>
    <row r="63" spans="2:13" x14ac:dyDescent="0.25">
      <c r="B63" s="12">
        <v>44984</v>
      </c>
      <c r="C63" s="18">
        <v>9.9</v>
      </c>
      <c r="D63" s="120">
        <f t="shared" si="0"/>
        <v>3.2325338894682032E-2</v>
      </c>
      <c r="H63" s="107" t="s">
        <v>125</v>
      </c>
      <c r="I63" s="112"/>
    </row>
    <row r="64" spans="2:13" x14ac:dyDescent="0.25">
      <c r="B64" s="12">
        <v>44977</v>
      </c>
      <c r="C64" s="18">
        <v>9.59</v>
      </c>
      <c r="D64" s="120">
        <f t="shared" si="0"/>
        <v>-7.3429951690821227E-2</v>
      </c>
      <c r="H64" s="113" t="s">
        <v>126</v>
      </c>
      <c r="I64" s="114">
        <f>I63*(1-I60)</f>
        <v>0</v>
      </c>
    </row>
    <row r="65" spans="2:9" ht="15.75" thickBot="1" x14ac:dyDescent="0.3">
      <c r="B65" s="12">
        <v>44970</v>
      </c>
      <c r="C65" s="18">
        <v>10.35</v>
      </c>
      <c r="D65" s="120">
        <f t="shared" si="0"/>
        <v>3.7074148296593057E-2</v>
      </c>
      <c r="H65" s="109" t="s">
        <v>127</v>
      </c>
      <c r="I65" s="115">
        <f>I63*(1+I61)</f>
        <v>0</v>
      </c>
    </row>
    <row r="66" spans="2:9" x14ac:dyDescent="0.25">
      <c r="B66" s="12">
        <v>44963</v>
      </c>
      <c r="C66" s="18">
        <v>9.98</v>
      </c>
      <c r="D66" s="120">
        <f t="shared" si="0"/>
        <v>-7.0763500931098622E-2</v>
      </c>
    </row>
    <row r="67" spans="2:9" x14ac:dyDescent="0.25">
      <c r="B67" s="12">
        <v>44956</v>
      </c>
      <c r="C67" s="18">
        <v>10.74</v>
      </c>
      <c r="D67" s="120">
        <f t="shared" ref="D67:D130" si="10">C67/C68-1</f>
        <v>3.3686236766121258E-2</v>
      </c>
    </row>
    <row r="68" spans="2:9" x14ac:dyDescent="0.25">
      <c r="B68" s="12">
        <v>44949</v>
      </c>
      <c r="C68" s="18">
        <v>10.39</v>
      </c>
      <c r="D68" s="120">
        <f t="shared" si="10"/>
        <v>9.1386554621848859E-2</v>
      </c>
    </row>
    <row r="69" spans="2:9" x14ac:dyDescent="0.25">
      <c r="B69" s="12">
        <v>44942</v>
      </c>
      <c r="C69" s="18">
        <v>9.52</v>
      </c>
      <c r="D69" s="120">
        <f t="shared" si="10"/>
        <v>2.1459227467811148E-2</v>
      </c>
    </row>
    <row r="70" spans="2:9" x14ac:dyDescent="0.25">
      <c r="B70" s="12">
        <v>44935</v>
      </c>
      <c r="C70" s="18">
        <v>9.32</v>
      </c>
      <c r="D70" s="120">
        <f t="shared" si="10"/>
        <v>0.12969696969696964</v>
      </c>
    </row>
    <row r="71" spans="2:9" x14ac:dyDescent="0.25">
      <c r="B71" s="12">
        <v>44928</v>
      </c>
      <c r="C71" s="18">
        <v>8.25</v>
      </c>
      <c r="D71" s="120">
        <f t="shared" si="10"/>
        <v>1.3513513513513375E-2</v>
      </c>
    </row>
    <row r="72" spans="2:9" x14ac:dyDescent="0.25">
      <c r="B72" s="12">
        <v>44921</v>
      </c>
      <c r="C72" s="18">
        <v>8.14</v>
      </c>
      <c r="D72" s="120">
        <f t="shared" si="10"/>
        <v>2.3899371069182385E-2</v>
      </c>
    </row>
    <row r="73" spans="2:9" x14ac:dyDescent="0.25">
      <c r="B73" s="12">
        <v>44914</v>
      </c>
      <c r="C73" s="18">
        <v>7.95</v>
      </c>
      <c r="D73" s="120">
        <f t="shared" si="10"/>
        <v>-7.6655052264808288E-2</v>
      </c>
    </row>
    <row r="74" spans="2:9" x14ac:dyDescent="0.25">
      <c r="B74" s="12">
        <v>44907</v>
      </c>
      <c r="C74" s="18">
        <v>8.61</v>
      </c>
      <c r="D74" s="120">
        <f t="shared" si="10"/>
        <v>-7.5187969924812137E-2</v>
      </c>
    </row>
    <row r="75" spans="2:9" x14ac:dyDescent="0.25">
      <c r="B75" s="12">
        <v>44900</v>
      </c>
      <c r="C75" s="18">
        <v>9.31</v>
      </c>
      <c r="D75" s="120">
        <f t="shared" si="10"/>
        <v>-6.8068068068068088E-2</v>
      </c>
    </row>
    <row r="76" spans="2:9" x14ac:dyDescent="0.25">
      <c r="B76" s="12">
        <v>44893</v>
      </c>
      <c r="C76" s="18">
        <v>9.99</v>
      </c>
      <c r="D76" s="120">
        <f t="shared" si="10"/>
        <v>6.3897763578274702E-2</v>
      </c>
    </row>
    <row r="77" spans="2:9" x14ac:dyDescent="0.25">
      <c r="B77" s="12">
        <v>44886</v>
      </c>
      <c r="C77" s="18">
        <v>9.39</v>
      </c>
      <c r="D77" s="120">
        <f t="shared" si="10"/>
        <v>2.1762785636561643E-2</v>
      </c>
    </row>
    <row r="78" spans="2:9" x14ac:dyDescent="0.25">
      <c r="B78" s="12">
        <v>44879</v>
      </c>
      <c r="C78" s="18">
        <v>9.19</v>
      </c>
      <c r="D78" s="120">
        <f t="shared" si="10"/>
        <v>-0.12225405921680998</v>
      </c>
    </row>
    <row r="79" spans="2:9" x14ac:dyDescent="0.25">
      <c r="B79" s="12">
        <v>44872</v>
      </c>
      <c r="C79" s="18">
        <v>10.47</v>
      </c>
      <c r="D79" s="120">
        <f t="shared" si="10"/>
        <v>-0.14739413680781754</v>
      </c>
    </row>
    <row r="80" spans="2:9" x14ac:dyDescent="0.25">
      <c r="B80" s="12">
        <v>44865</v>
      </c>
      <c r="C80" s="18">
        <v>12.28</v>
      </c>
      <c r="D80" s="120">
        <f t="shared" si="10"/>
        <v>6.7826086956521703E-2</v>
      </c>
    </row>
    <row r="81" spans="2:4" x14ac:dyDescent="0.25">
      <c r="B81" s="12">
        <v>44858</v>
      </c>
      <c r="C81" s="18">
        <v>11.5</v>
      </c>
      <c r="D81" s="120">
        <f t="shared" si="10"/>
        <v>0.13412228796844183</v>
      </c>
    </row>
    <row r="82" spans="2:4" x14ac:dyDescent="0.25">
      <c r="B82" s="12">
        <v>44851</v>
      </c>
      <c r="C82" s="18">
        <v>10.14</v>
      </c>
      <c r="D82" s="120">
        <f t="shared" si="10"/>
        <v>2.5278058645096024E-2</v>
      </c>
    </row>
    <row r="83" spans="2:4" x14ac:dyDescent="0.25">
      <c r="B83" s="12">
        <v>44844</v>
      </c>
      <c r="C83" s="18">
        <v>9.89</v>
      </c>
      <c r="D83" s="120">
        <f t="shared" si="10"/>
        <v>-8.4259259259259256E-2</v>
      </c>
    </row>
    <row r="84" spans="2:4" x14ac:dyDescent="0.25">
      <c r="B84" s="12">
        <v>44837</v>
      </c>
      <c r="C84" s="18">
        <v>10.8</v>
      </c>
      <c r="D84" s="120">
        <f t="shared" si="10"/>
        <v>6.9306930693069368E-2</v>
      </c>
    </row>
    <row r="85" spans="2:4" x14ac:dyDescent="0.25">
      <c r="B85" s="12">
        <v>44830</v>
      </c>
      <c r="C85" s="18">
        <v>10.1</v>
      </c>
      <c r="D85" s="120">
        <f t="shared" si="10"/>
        <v>6.991525423728806E-2</v>
      </c>
    </row>
    <row r="86" spans="2:4" x14ac:dyDescent="0.25">
      <c r="B86" s="12">
        <v>44823</v>
      </c>
      <c r="C86" s="18">
        <v>9.44</v>
      </c>
      <c r="D86" s="120">
        <f t="shared" si="10"/>
        <v>-7.9024390243902509E-2</v>
      </c>
    </row>
    <row r="87" spans="2:4" x14ac:dyDescent="0.25">
      <c r="B87" s="12">
        <v>44816</v>
      </c>
      <c r="C87" s="18">
        <v>10.25</v>
      </c>
      <c r="D87" s="120">
        <f t="shared" si="10"/>
        <v>-3.3018867924528239E-2</v>
      </c>
    </row>
    <row r="88" spans="2:4" x14ac:dyDescent="0.25">
      <c r="B88" s="12">
        <v>44809</v>
      </c>
      <c r="C88" s="18">
        <v>10.6</v>
      </c>
      <c r="D88" s="120">
        <f t="shared" si="10"/>
        <v>0.12169312169312163</v>
      </c>
    </row>
    <row r="89" spans="2:4" x14ac:dyDescent="0.25">
      <c r="B89" s="12">
        <v>44802</v>
      </c>
      <c r="C89" s="18">
        <v>9.4499999999999993</v>
      </c>
      <c r="D89" s="120">
        <f t="shared" si="10"/>
        <v>7.4626865671640896E-3</v>
      </c>
    </row>
    <row r="90" spans="2:4" x14ac:dyDescent="0.25">
      <c r="B90" s="12">
        <v>44795</v>
      </c>
      <c r="C90" s="18">
        <v>9.3800000000000008</v>
      </c>
      <c r="D90" s="120">
        <f t="shared" si="10"/>
        <v>1.2958963282937441E-2</v>
      </c>
    </row>
    <row r="91" spans="2:4" x14ac:dyDescent="0.25">
      <c r="B91" s="12">
        <v>44788</v>
      </c>
      <c r="C91" s="18">
        <v>9.26</v>
      </c>
      <c r="D91" s="120">
        <f t="shared" si="10"/>
        <v>-0.1527904849039341</v>
      </c>
    </row>
    <row r="92" spans="2:4" x14ac:dyDescent="0.25">
      <c r="B92" s="12">
        <v>44781</v>
      </c>
      <c r="C92" s="18">
        <v>10.93</v>
      </c>
      <c r="D92" s="120">
        <f t="shared" si="10"/>
        <v>5.0961538461538503E-2</v>
      </c>
    </row>
    <row r="93" spans="2:4" x14ac:dyDescent="0.25">
      <c r="B93" s="12">
        <v>44774</v>
      </c>
      <c r="C93" s="18">
        <v>10.4</v>
      </c>
      <c r="D93" s="120">
        <f t="shared" si="10"/>
        <v>0.149171270718232</v>
      </c>
    </row>
    <row r="94" spans="2:4" x14ac:dyDescent="0.25">
      <c r="B94" s="12">
        <v>44767</v>
      </c>
      <c r="C94" s="18">
        <v>9.0500000000000007</v>
      </c>
      <c r="D94" s="120">
        <f t="shared" si="10"/>
        <v>-3.3039647577092213E-3</v>
      </c>
    </row>
    <row r="95" spans="2:4" x14ac:dyDescent="0.25">
      <c r="B95" s="12">
        <v>44760</v>
      </c>
      <c r="C95" s="18">
        <v>9.08</v>
      </c>
      <c r="D95" s="120">
        <f t="shared" si="10"/>
        <v>7.9667063020214091E-2</v>
      </c>
    </row>
    <row r="96" spans="2:4" x14ac:dyDescent="0.25">
      <c r="B96" s="12">
        <v>44753</v>
      </c>
      <c r="C96" s="18">
        <v>8.41</v>
      </c>
      <c r="D96" s="120">
        <f t="shared" si="10"/>
        <v>-6.5555555555555589E-2</v>
      </c>
    </row>
    <row r="97" spans="2:4" x14ac:dyDescent="0.25">
      <c r="B97" s="12">
        <v>44746</v>
      </c>
      <c r="C97" s="18">
        <v>9</v>
      </c>
      <c r="D97" s="120">
        <f t="shared" si="10"/>
        <v>0.10024449877750619</v>
      </c>
    </row>
    <row r="98" spans="2:4" x14ac:dyDescent="0.25">
      <c r="B98" s="12">
        <v>44739</v>
      </c>
      <c r="C98" s="18">
        <v>8.18</v>
      </c>
      <c r="D98" s="120">
        <f t="shared" si="10"/>
        <v>2.2499999999999964E-2</v>
      </c>
    </row>
    <row r="99" spans="2:4" x14ac:dyDescent="0.25">
      <c r="B99" s="12">
        <v>44732</v>
      </c>
      <c r="C99" s="18">
        <v>8</v>
      </c>
      <c r="D99" s="120">
        <f t="shared" si="10"/>
        <v>0.11265646731571621</v>
      </c>
    </row>
    <row r="100" spans="2:4" x14ac:dyDescent="0.25">
      <c r="B100" s="12">
        <v>44725</v>
      </c>
      <c r="C100" s="18">
        <v>7.19</v>
      </c>
      <c r="D100" s="120">
        <f t="shared" si="10"/>
        <v>-7.9385403329065185E-2</v>
      </c>
    </row>
    <row r="101" spans="2:4" x14ac:dyDescent="0.25">
      <c r="B101" s="12">
        <v>44718</v>
      </c>
      <c r="C101" s="18">
        <v>7.81</v>
      </c>
      <c r="D101" s="120">
        <f t="shared" si="10"/>
        <v>-0.14830970556161405</v>
      </c>
    </row>
    <row r="102" spans="2:4" x14ac:dyDescent="0.25">
      <c r="B102" s="12">
        <v>44711</v>
      </c>
      <c r="C102" s="18">
        <v>9.17</v>
      </c>
      <c r="D102" s="120">
        <f t="shared" si="10"/>
        <v>-0.11657032755298657</v>
      </c>
    </row>
    <row r="103" spans="2:4" x14ac:dyDescent="0.25">
      <c r="B103" s="12">
        <v>44704</v>
      </c>
      <c r="C103" s="18">
        <v>10.38</v>
      </c>
      <c r="D103" s="120">
        <f t="shared" si="10"/>
        <v>2.9761904761904878E-2</v>
      </c>
    </row>
    <row r="104" spans="2:4" x14ac:dyDescent="0.25">
      <c r="B104" s="12">
        <v>44697</v>
      </c>
      <c r="C104" s="18">
        <v>10.08</v>
      </c>
      <c r="D104" s="120">
        <f t="shared" si="10"/>
        <v>-5.7062675397567819E-2</v>
      </c>
    </row>
    <row r="105" spans="2:4" x14ac:dyDescent="0.25">
      <c r="B105" s="12">
        <v>44690</v>
      </c>
      <c r="C105" s="18">
        <v>10.69</v>
      </c>
      <c r="D105" s="120">
        <f t="shared" si="10"/>
        <v>5.6324110671936767E-2</v>
      </c>
    </row>
    <row r="106" spans="2:4" x14ac:dyDescent="0.25">
      <c r="B106" s="12">
        <v>44683</v>
      </c>
      <c r="C106" s="18">
        <v>10.119999999999999</v>
      </c>
      <c r="D106" s="120">
        <f t="shared" si="10"/>
        <v>3.2126466088730155E-2</v>
      </c>
    </row>
    <row r="107" spans="2:4" x14ac:dyDescent="0.25">
      <c r="B107" s="12">
        <v>44676</v>
      </c>
      <c r="C107" s="18">
        <v>9.8049999999999997</v>
      </c>
      <c r="D107" s="120">
        <f t="shared" si="10"/>
        <v>-4.4346978557504912E-2</v>
      </c>
    </row>
    <row r="108" spans="2:4" x14ac:dyDescent="0.25">
      <c r="B108" s="12">
        <v>44669</v>
      </c>
      <c r="C108" s="18">
        <v>10.26</v>
      </c>
      <c r="D108" s="120">
        <f t="shared" si="10"/>
        <v>-9.8418277680140664E-2</v>
      </c>
    </row>
    <row r="109" spans="2:4" x14ac:dyDescent="0.25">
      <c r="B109" s="12">
        <v>44662</v>
      </c>
      <c r="C109" s="18">
        <v>11.38</v>
      </c>
      <c r="D109" s="120">
        <f t="shared" si="10"/>
        <v>1.2455516014235002E-2</v>
      </c>
    </row>
    <row r="110" spans="2:4" x14ac:dyDescent="0.25">
      <c r="B110" s="12">
        <v>44655</v>
      </c>
      <c r="C110" s="18">
        <v>11.24</v>
      </c>
      <c r="D110" s="120">
        <f t="shared" si="10"/>
        <v>-0.16740740740740734</v>
      </c>
    </row>
    <row r="111" spans="2:4" x14ac:dyDescent="0.25">
      <c r="B111" s="12">
        <v>44648</v>
      </c>
      <c r="C111" s="18">
        <v>13.5</v>
      </c>
      <c r="D111" s="120">
        <f t="shared" si="10"/>
        <v>8.9588377723970991E-2</v>
      </c>
    </row>
    <row r="112" spans="2:4" x14ac:dyDescent="0.25">
      <c r="B112" s="12">
        <v>44641</v>
      </c>
      <c r="C112" s="18">
        <v>12.39</v>
      </c>
      <c r="D112" s="120">
        <f t="shared" si="10"/>
        <v>-7.8124999999999889E-2</v>
      </c>
    </row>
    <row r="113" spans="2:4" x14ac:dyDescent="0.25">
      <c r="B113" s="12">
        <v>44634</v>
      </c>
      <c r="C113" s="18">
        <v>13.44</v>
      </c>
      <c r="D113" s="120">
        <f t="shared" si="10"/>
        <v>0.21960072595281299</v>
      </c>
    </row>
    <row r="114" spans="2:4" x14ac:dyDescent="0.25">
      <c r="B114" s="12">
        <v>44627</v>
      </c>
      <c r="C114" s="18">
        <v>11.02</v>
      </c>
      <c r="D114" s="120">
        <f t="shared" si="10"/>
        <v>5.4744525547443246E-3</v>
      </c>
    </row>
    <row r="115" spans="2:4" x14ac:dyDescent="0.25">
      <c r="B115" s="12">
        <v>44620</v>
      </c>
      <c r="C115" s="18">
        <v>10.96</v>
      </c>
      <c r="D115" s="120">
        <f t="shared" si="10"/>
        <v>-5.5986218776916341E-2</v>
      </c>
    </row>
    <row r="116" spans="2:4" x14ac:dyDescent="0.25">
      <c r="B116" s="12">
        <v>44613</v>
      </c>
      <c r="C116" s="18">
        <v>11.61</v>
      </c>
      <c r="D116" s="120">
        <f t="shared" si="10"/>
        <v>-1.693480101608813E-2</v>
      </c>
    </row>
    <row r="117" spans="2:4" x14ac:dyDescent="0.25">
      <c r="B117" s="12">
        <v>44606</v>
      </c>
      <c r="C117" s="18">
        <v>11.81</v>
      </c>
      <c r="D117" s="120">
        <f t="shared" si="10"/>
        <v>-0.11336336336336339</v>
      </c>
    </row>
    <row r="118" spans="2:4" x14ac:dyDescent="0.25">
      <c r="B118" s="12">
        <v>44599</v>
      </c>
      <c r="C118" s="18">
        <v>13.32</v>
      </c>
      <c r="D118" s="120">
        <f t="shared" si="10"/>
        <v>-0.12252964426877466</v>
      </c>
    </row>
    <row r="119" spans="2:4" x14ac:dyDescent="0.25">
      <c r="B119" s="12">
        <v>44592</v>
      </c>
      <c r="C119" s="18">
        <v>15.18</v>
      </c>
      <c r="D119" s="120">
        <f t="shared" si="10"/>
        <v>0.19245875883739183</v>
      </c>
    </row>
    <row r="120" spans="2:4" x14ac:dyDescent="0.25">
      <c r="B120" s="12">
        <v>44585</v>
      </c>
      <c r="C120" s="18">
        <v>12.73</v>
      </c>
      <c r="D120" s="120">
        <f t="shared" si="10"/>
        <v>-1.9260400616332829E-2</v>
      </c>
    </row>
    <row r="121" spans="2:4" x14ac:dyDescent="0.25">
      <c r="B121" s="12">
        <v>44578</v>
      </c>
      <c r="C121" s="18">
        <v>12.98</v>
      </c>
      <c r="D121" s="120">
        <f t="shared" si="10"/>
        <v>-0.14436387607119316</v>
      </c>
    </row>
    <row r="122" spans="2:4" x14ac:dyDescent="0.25">
      <c r="B122" s="12">
        <v>44571</v>
      </c>
      <c r="C122" s="18">
        <v>15.17</v>
      </c>
      <c r="D122" s="120">
        <f t="shared" si="10"/>
        <v>-4.5311516677155494E-2</v>
      </c>
    </row>
    <row r="123" spans="2:4" x14ac:dyDescent="0.25">
      <c r="B123" s="12">
        <v>44564</v>
      </c>
      <c r="C123" s="18">
        <v>15.89</v>
      </c>
      <c r="D123" s="120">
        <f t="shared" si="10"/>
        <v>-0.1052927927927928</v>
      </c>
    </row>
    <row r="124" spans="2:4" x14ac:dyDescent="0.25">
      <c r="B124" s="12">
        <v>44557</v>
      </c>
      <c r="C124" s="18">
        <v>17.760000000000002</v>
      </c>
      <c r="D124" s="120">
        <f t="shared" si="10"/>
        <v>-6.0317460317460214E-2</v>
      </c>
    </row>
    <row r="125" spans="2:4" x14ac:dyDescent="0.25">
      <c r="B125" s="12">
        <v>44550</v>
      </c>
      <c r="C125" s="18">
        <v>18.899999999999999</v>
      </c>
      <c r="D125" s="120">
        <f t="shared" si="10"/>
        <v>-1.0471204188481797E-2</v>
      </c>
    </row>
    <row r="126" spans="2:4" x14ac:dyDescent="0.25">
      <c r="B126" s="12">
        <v>44543</v>
      </c>
      <c r="C126" s="18">
        <v>19.100000000000001</v>
      </c>
      <c r="D126" s="120">
        <f t="shared" si="10"/>
        <v>-5.1167364687896955E-2</v>
      </c>
    </row>
    <row r="127" spans="2:4" x14ac:dyDescent="0.25">
      <c r="B127" s="12">
        <v>44536</v>
      </c>
      <c r="C127" s="18">
        <v>20.129999000000002</v>
      </c>
      <c r="D127" s="120">
        <f t="shared" si="10"/>
        <v>-6.5893274519409406E-2</v>
      </c>
    </row>
    <row r="128" spans="2:4" x14ac:dyDescent="0.25">
      <c r="B128" s="12">
        <v>44529</v>
      </c>
      <c r="C128" s="18">
        <v>21.549999</v>
      </c>
      <c r="D128" s="120">
        <f t="shared" si="10"/>
        <v>-0.2281518982808024</v>
      </c>
    </row>
    <row r="129" spans="2:4" x14ac:dyDescent="0.25">
      <c r="B129" s="12">
        <v>44522</v>
      </c>
      <c r="C129" s="18">
        <v>27.92</v>
      </c>
      <c r="D129" s="120">
        <f t="shared" si="10"/>
        <v>-3.6909279061745348E-2</v>
      </c>
    </row>
    <row r="130" spans="2:4" x14ac:dyDescent="0.25">
      <c r="B130" s="12">
        <v>44515</v>
      </c>
      <c r="C130" s="18">
        <v>28.99</v>
      </c>
      <c r="D130" s="120">
        <f t="shared" si="10"/>
        <v>-0.17665433617308546</v>
      </c>
    </row>
    <row r="131" spans="2:4" x14ac:dyDescent="0.25">
      <c r="B131" s="12">
        <v>44508</v>
      </c>
      <c r="C131" s="18">
        <v>35.209999000000003</v>
      </c>
      <c r="D131" s="120">
        <f t="shared" ref="D131:D145" si="11">C131/C132-1</f>
        <v>-4.8635479526370151E-2</v>
      </c>
    </row>
    <row r="132" spans="2:4" x14ac:dyDescent="0.25">
      <c r="B132" s="12">
        <v>44501</v>
      </c>
      <c r="C132" s="18">
        <v>37.009998000000003</v>
      </c>
      <c r="D132" s="120">
        <f t="shared" si="11"/>
        <v>5.8335628872301148E-2</v>
      </c>
    </row>
    <row r="133" spans="2:4" x14ac:dyDescent="0.25">
      <c r="B133" s="12">
        <v>44494</v>
      </c>
      <c r="C133" s="18">
        <v>34.970001000000003</v>
      </c>
      <c r="D133" s="120">
        <f t="shared" si="11"/>
        <v>-0.11669611012882042</v>
      </c>
    </row>
    <row r="134" spans="2:4" x14ac:dyDescent="0.25">
      <c r="B134" s="12">
        <v>44487</v>
      </c>
      <c r="C134" s="18">
        <v>39.590000000000003</v>
      </c>
      <c r="D134" s="120">
        <f t="shared" si="11"/>
        <v>-3.5096247504173506E-2</v>
      </c>
    </row>
    <row r="135" spans="2:4" x14ac:dyDescent="0.25">
      <c r="B135" s="12">
        <v>44480</v>
      </c>
      <c r="C135" s="18">
        <v>41.029998999999997</v>
      </c>
      <c r="D135" s="120">
        <f t="shared" si="11"/>
        <v>-1.7951173239616369E-2</v>
      </c>
    </row>
    <row r="136" spans="2:4" x14ac:dyDescent="0.25">
      <c r="B136" s="12">
        <v>44473</v>
      </c>
      <c r="C136" s="18">
        <v>41.779998999999997</v>
      </c>
      <c r="D136" s="120">
        <f t="shared" si="11"/>
        <v>-2.8640332761799003E-3</v>
      </c>
    </row>
    <row r="137" spans="2:4" x14ac:dyDescent="0.25">
      <c r="B137" s="12">
        <v>44466</v>
      </c>
      <c r="C137" s="18">
        <v>41.900002000000001</v>
      </c>
      <c r="D137" s="120">
        <f t="shared" si="11"/>
        <v>-6.702289022489416E-2</v>
      </c>
    </row>
    <row r="138" spans="2:4" x14ac:dyDescent="0.25">
      <c r="B138" s="12">
        <v>44459</v>
      </c>
      <c r="C138" s="18">
        <v>44.91</v>
      </c>
      <c r="D138" s="120">
        <f t="shared" si="11"/>
        <v>5.9697945736244762E-2</v>
      </c>
    </row>
    <row r="139" spans="2:4" x14ac:dyDescent="0.25">
      <c r="B139" s="12">
        <v>44452</v>
      </c>
      <c r="C139" s="18">
        <v>42.380001</v>
      </c>
      <c r="D139" s="120">
        <f t="shared" si="11"/>
        <v>2.9390407062929613E-2</v>
      </c>
    </row>
    <row r="140" spans="2:4" x14ac:dyDescent="0.25">
      <c r="B140" s="12">
        <v>44445</v>
      </c>
      <c r="C140" s="18">
        <v>41.169998</v>
      </c>
      <c r="D140" s="120">
        <f t="shared" si="11"/>
        <v>-5.0288352954479976E-2</v>
      </c>
    </row>
    <row r="141" spans="2:4" x14ac:dyDescent="0.25">
      <c r="B141" s="12">
        <v>44438</v>
      </c>
      <c r="C141" s="18">
        <v>43.349997999999999</v>
      </c>
      <c r="D141" s="120">
        <f t="shared" si="11"/>
        <v>-7.5101367081317871E-2</v>
      </c>
    </row>
    <row r="142" spans="2:4" x14ac:dyDescent="0.25">
      <c r="B142" s="12">
        <v>44431</v>
      </c>
      <c r="C142" s="18">
        <v>46.869999</v>
      </c>
      <c r="D142" s="120">
        <f t="shared" si="11"/>
        <v>9.9202628968166673E-2</v>
      </c>
    </row>
    <row r="143" spans="2:4" x14ac:dyDescent="0.25">
      <c r="B143" s="12">
        <v>44424</v>
      </c>
      <c r="C143" s="18">
        <v>42.639999000000003</v>
      </c>
      <c r="D143" s="120">
        <f t="shared" si="11"/>
        <v>-0.15781161055082726</v>
      </c>
    </row>
    <row r="144" spans="2:4" x14ac:dyDescent="0.25">
      <c r="B144" s="12">
        <v>44417</v>
      </c>
      <c r="C144" s="18">
        <v>50.630001</v>
      </c>
      <c r="D144" s="120">
        <f t="shared" si="11"/>
        <v>-7.9621835288923304E-2</v>
      </c>
    </row>
    <row r="145" spans="2:4" x14ac:dyDescent="0.25">
      <c r="B145" s="12">
        <v>44410</v>
      </c>
      <c r="C145" s="18">
        <v>55.009998000000003</v>
      </c>
      <c r="D145" s="120">
        <f t="shared" si="11"/>
        <v>0.56500696642919124</v>
      </c>
    </row>
    <row r="146" spans="2:4" x14ac:dyDescent="0.25">
      <c r="B146" s="12">
        <v>44403</v>
      </c>
      <c r="C146" s="18">
        <v>35.150002000000001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2024-10-20T18:05:32Z</dcterms:modified>
</cp:coreProperties>
</file>