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732" documentId="13_ncr:1_{B2811DB8-E09A-48A2-B570-C3AFD3E21269}" xr6:coauthVersionLast="45" xr6:coauthVersionMax="45" xr10:uidLastSave="{CA6FB8B3-4648-4582-886C-B72FADB82888}"/>
  <bookViews>
    <workbookView xWindow="-108" yWindow="-108" windowWidth="23256" windowHeight="12576" firstSheet="4" activeTab="8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Cash flows" sheetId="8" r:id="rId5"/>
    <sheet name="Consob Reorg " sheetId="12" r:id="rId6"/>
    <sheet name="Trailing 12-months" sheetId="5" r:id="rId7"/>
    <sheet name="WACC " sheetId="7" r:id="rId8"/>
    <sheet name="Forecasts Simo " sheetId="9" r:id="rId9"/>
    <sheet name="Output forecasts simo " sheetId="13" r:id="rId10"/>
    <sheet name="Forecasts Gianma " sheetId="11" r:id="rId11"/>
  </sheets>
  <definedNames>
    <definedName name="solver_cvg" localSheetId="8" hidden="1">0.0001</definedName>
    <definedName name="solver_drv" localSheetId="8" hidden="1">2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opt" localSheetId="8" hidden="1">'Forecasts Simo '!#REF!</definedName>
    <definedName name="solver_pre" localSheetId="8" hidden="1">0.000001</definedName>
    <definedName name="solver_rbv" localSheetId="8" hidden="1">2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1561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9" l="1"/>
  <c r="J9" i="9"/>
  <c r="I9" i="9"/>
  <c r="H9" i="9"/>
  <c r="H58" i="13"/>
  <c r="I58" i="13"/>
  <c r="J58" i="13"/>
  <c r="K58" i="13"/>
  <c r="G58" i="13"/>
  <c r="H57" i="13"/>
  <c r="I57" i="13"/>
  <c r="J57" i="13"/>
  <c r="K57" i="13"/>
  <c r="G57" i="13"/>
  <c r="K71" i="9"/>
  <c r="J71" i="9"/>
  <c r="I71" i="9"/>
  <c r="H71" i="9"/>
  <c r="G71" i="9"/>
  <c r="G66" i="9"/>
  <c r="G80" i="13"/>
  <c r="H48" i="13"/>
  <c r="I48" i="13"/>
  <c r="J48" i="13"/>
  <c r="K48" i="13"/>
  <c r="G48" i="13"/>
  <c r="G47" i="13"/>
  <c r="H47" i="13"/>
  <c r="I47" i="13"/>
  <c r="J47" i="13"/>
  <c r="K47" i="13"/>
  <c r="G95" i="9"/>
  <c r="G91" i="9" s="1"/>
  <c r="G43" i="13" s="1"/>
  <c r="G90" i="9"/>
  <c r="G42" i="13" s="1"/>
  <c r="F45" i="13"/>
  <c r="F42" i="13"/>
  <c r="F43" i="13"/>
  <c r="F44" i="13"/>
  <c r="G44" i="13"/>
  <c r="H44" i="13"/>
  <c r="I44" i="13"/>
  <c r="J44" i="13"/>
  <c r="K44" i="13"/>
  <c r="C61" i="13"/>
  <c r="D61" i="13"/>
  <c r="E61" i="13"/>
  <c r="F61" i="13"/>
  <c r="B61" i="13"/>
  <c r="C53" i="13"/>
  <c r="D53" i="13"/>
  <c r="E53" i="13"/>
  <c r="B53" i="13"/>
  <c r="C50" i="13"/>
  <c r="D50" i="13"/>
  <c r="E50" i="13"/>
  <c r="F50" i="13"/>
  <c r="C51" i="13"/>
  <c r="D51" i="13"/>
  <c r="E51" i="13"/>
  <c r="F51" i="13"/>
  <c r="C52" i="13"/>
  <c r="D52" i="13"/>
  <c r="E52" i="13"/>
  <c r="F52" i="13"/>
  <c r="B51" i="13"/>
  <c r="B52" i="13"/>
  <c r="B50" i="13"/>
  <c r="C48" i="13"/>
  <c r="D48" i="13"/>
  <c r="E48" i="13"/>
  <c r="B48" i="13"/>
  <c r="C47" i="13"/>
  <c r="D47" i="13"/>
  <c r="E47" i="13"/>
  <c r="F47" i="13"/>
  <c r="B47" i="13"/>
  <c r="C42" i="13"/>
  <c r="D42" i="13"/>
  <c r="E42" i="13"/>
  <c r="C43" i="13"/>
  <c r="D43" i="13"/>
  <c r="E43" i="13"/>
  <c r="C44" i="13"/>
  <c r="D44" i="13"/>
  <c r="E44" i="13"/>
  <c r="B43" i="13"/>
  <c r="B44" i="13"/>
  <c r="B42" i="13"/>
  <c r="C39" i="13"/>
  <c r="D39" i="13"/>
  <c r="E39" i="13"/>
  <c r="F39" i="13"/>
  <c r="B39" i="13"/>
  <c r="C37" i="13"/>
  <c r="D37" i="13"/>
  <c r="E37" i="13"/>
  <c r="F37" i="13"/>
  <c r="C38" i="13"/>
  <c r="D38" i="13"/>
  <c r="E38" i="13"/>
  <c r="F38" i="13"/>
  <c r="B38" i="13"/>
  <c r="B37" i="13"/>
  <c r="G97" i="9"/>
  <c r="G93" i="9" s="1"/>
  <c r="G96" i="9"/>
  <c r="G92" i="9" s="1"/>
  <c r="B94" i="9"/>
  <c r="B95" i="9"/>
  <c r="B96" i="9"/>
  <c r="B97" i="9"/>
  <c r="D97" i="9"/>
  <c r="E97" i="9"/>
  <c r="F97" i="9"/>
  <c r="C97" i="9"/>
  <c r="D96" i="9"/>
  <c r="E96" i="9"/>
  <c r="F96" i="9"/>
  <c r="C96" i="9"/>
  <c r="D95" i="9"/>
  <c r="E95" i="9"/>
  <c r="F95" i="9"/>
  <c r="C95" i="9"/>
  <c r="D94" i="9"/>
  <c r="E94" i="9"/>
  <c r="F94" i="9"/>
  <c r="C94" i="9"/>
  <c r="D99" i="9"/>
  <c r="E99" i="9"/>
  <c r="F99" i="9"/>
  <c r="C99" i="9"/>
  <c r="B92" i="9"/>
  <c r="C93" i="9"/>
  <c r="D93" i="9"/>
  <c r="E93" i="9"/>
  <c r="F93" i="9"/>
  <c r="B93" i="9"/>
  <c r="C90" i="9"/>
  <c r="D90" i="9"/>
  <c r="E90" i="9"/>
  <c r="F90" i="9"/>
  <c r="C91" i="9"/>
  <c r="D91" i="9"/>
  <c r="E91" i="9"/>
  <c r="F91" i="9"/>
  <c r="C92" i="9"/>
  <c r="D92" i="9"/>
  <c r="E92" i="9"/>
  <c r="F92" i="9"/>
  <c r="B91" i="9"/>
  <c r="B90" i="9"/>
  <c r="H11" i="9" l="1"/>
  <c r="H166" i="9"/>
  <c r="H165" i="9" s="1"/>
  <c r="H168" i="9" s="1"/>
  <c r="G45" i="13"/>
  <c r="G157" i="2" l="1"/>
  <c r="G147" i="2" s="1"/>
  <c r="G140" i="2" s="1"/>
  <c r="F157" i="2"/>
  <c r="F147" i="2" s="1"/>
  <c r="E157" i="2"/>
  <c r="E147" i="2" s="1"/>
  <c r="E140" i="2" s="1"/>
  <c r="D157" i="2"/>
  <c r="D147" i="2" s="1"/>
  <c r="D140" i="2" s="1"/>
  <c r="D148" i="2"/>
  <c r="D139" i="2" s="1"/>
  <c r="G137" i="2"/>
  <c r="F137" i="2"/>
  <c r="E137" i="2"/>
  <c r="D137" i="2"/>
  <c r="E126" i="2"/>
  <c r="D126" i="2"/>
  <c r="G125" i="2"/>
  <c r="G148" i="2" s="1"/>
  <c r="G139" i="2" s="1"/>
  <c r="G134" i="2" s="1"/>
  <c r="F125" i="2"/>
  <c r="F148" i="2" s="1"/>
  <c r="F139" i="2" s="1"/>
  <c r="F134" i="2" s="1"/>
  <c r="E125" i="2"/>
  <c r="E148" i="2" s="1"/>
  <c r="D125" i="2"/>
  <c r="D146" i="2" s="1"/>
  <c r="F126" i="2" l="1"/>
  <c r="G126" i="2"/>
  <c r="F140" i="2"/>
  <c r="E139" i="2"/>
  <c r="E134" i="2" s="1"/>
  <c r="E146" i="2"/>
  <c r="F146" i="2"/>
  <c r="G146" i="2"/>
  <c r="G141" i="2" s="1"/>
  <c r="E141" i="2" l="1"/>
  <c r="F141" i="2"/>
  <c r="D141" i="2"/>
  <c r="D134" i="2"/>
  <c r="E63" i="7" l="1"/>
  <c r="F56" i="7" l="1"/>
  <c r="I166" i="9" l="1"/>
  <c r="F57" i="7"/>
  <c r="G14" i="9" s="1"/>
  <c r="H23" i="9"/>
  <c r="G11" i="9"/>
  <c r="D11" i="9"/>
  <c r="E11" i="9"/>
  <c r="F11" i="9"/>
  <c r="C11" i="9"/>
  <c r="F54" i="7"/>
  <c r="F53" i="7"/>
  <c r="D54" i="7"/>
  <c r="H26" i="9" l="1"/>
  <c r="N14" i="9"/>
  <c r="O14" i="9" s="1"/>
  <c r="I60" i="7"/>
  <c r="H14" i="9"/>
  <c r="I14" i="9" s="1"/>
  <c r="J14" i="9" s="1"/>
  <c r="G15" i="9"/>
  <c r="I53" i="7"/>
  <c r="I54" i="7"/>
  <c r="I55" i="7" s="1"/>
  <c r="I58" i="7" s="1"/>
  <c r="I52" i="7"/>
  <c r="Q26" i="10"/>
  <c r="R22" i="10"/>
  <c r="C69" i="13"/>
  <c r="D69" i="13"/>
  <c r="E69" i="13"/>
  <c r="F69" i="13"/>
  <c r="C83" i="13"/>
  <c r="D83" i="13"/>
  <c r="E83" i="13"/>
  <c r="F83" i="13"/>
  <c r="C87" i="13"/>
  <c r="D87" i="13"/>
  <c r="E87" i="13"/>
  <c r="F87" i="13"/>
  <c r="D68" i="13"/>
  <c r="E68" i="13"/>
  <c r="F68" i="13"/>
  <c r="C68" i="13"/>
  <c r="G171" i="9"/>
  <c r="G166" i="9"/>
  <c r="G167" i="9"/>
  <c r="H167" i="9" s="1"/>
  <c r="I167" i="9" s="1"/>
  <c r="J167" i="9" s="1"/>
  <c r="K167" i="9" s="1"/>
  <c r="C167" i="9"/>
  <c r="D167" i="9"/>
  <c r="E167" i="9"/>
  <c r="F167" i="9"/>
  <c r="B167" i="9"/>
  <c r="C165" i="9"/>
  <c r="D165" i="9"/>
  <c r="E165" i="9"/>
  <c r="F165" i="9"/>
  <c r="B165" i="9"/>
  <c r="H153" i="9"/>
  <c r="I153" i="9" s="1"/>
  <c r="J153" i="9" s="1"/>
  <c r="K153" i="9" s="1"/>
  <c r="H149" i="9"/>
  <c r="I149" i="9" s="1"/>
  <c r="J149" i="9" s="1"/>
  <c r="K149" i="9" s="1"/>
  <c r="I50" i="7"/>
  <c r="I49" i="7"/>
  <c r="I47" i="7"/>
  <c r="W146" i="9"/>
  <c r="C138" i="9"/>
  <c r="D138" i="9"/>
  <c r="E138" i="9"/>
  <c r="F138" i="9"/>
  <c r="C139" i="9"/>
  <c r="D139" i="9"/>
  <c r="E139" i="9"/>
  <c r="F139" i="9"/>
  <c r="B139" i="9"/>
  <c r="B138" i="9"/>
  <c r="H133" i="9"/>
  <c r="I133" i="9"/>
  <c r="J133" i="9"/>
  <c r="K133" i="9"/>
  <c r="I57" i="7" l="1"/>
  <c r="I11" i="9"/>
  <c r="D166" i="9"/>
  <c r="G165" i="9"/>
  <c r="C166" i="9"/>
  <c r="G173" i="9"/>
  <c r="B166" i="9"/>
  <c r="E166" i="9"/>
  <c r="F166" i="9"/>
  <c r="H27" i="9"/>
  <c r="K14" i="9"/>
  <c r="H21" i="9"/>
  <c r="X146" i="9"/>
  <c r="Y146" i="9" s="1"/>
  <c r="Z146" i="9" s="1"/>
  <c r="AA146" i="9" s="1"/>
  <c r="D140" i="9"/>
  <c r="E140" i="9"/>
  <c r="C140" i="9"/>
  <c r="F140" i="9"/>
  <c r="B140" i="9"/>
  <c r="K9" i="9" l="1"/>
  <c r="K11" i="9" s="1"/>
  <c r="K26" i="9" s="1"/>
  <c r="J11" i="9"/>
  <c r="H28" i="9"/>
  <c r="L14" i="9" s="1"/>
  <c r="M14" i="9" s="1"/>
  <c r="C120" i="9"/>
  <c r="D120" i="9"/>
  <c r="E120" i="9"/>
  <c r="F120" i="9"/>
  <c r="B120" i="9"/>
  <c r="C118" i="9"/>
  <c r="D118" i="9"/>
  <c r="E118" i="9"/>
  <c r="F118" i="9"/>
  <c r="G133" i="9" s="1"/>
  <c r="B118" i="9"/>
  <c r="C112" i="9"/>
  <c r="D112" i="9"/>
  <c r="E112" i="9"/>
  <c r="F112" i="9"/>
  <c r="G112" i="9" s="1"/>
  <c r="C113" i="9"/>
  <c r="D113" i="9"/>
  <c r="E113" i="9"/>
  <c r="F113" i="9"/>
  <c r="G113" i="9" s="1"/>
  <c r="C114" i="9"/>
  <c r="D114" i="9"/>
  <c r="E114" i="9"/>
  <c r="F114" i="9"/>
  <c r="G114" i="9" s="1"/>
  <c r="B114" i="9"/>
  <c r="B113" i="9"/>
  <c r="B112" i="9"/>
  <c r="H112" i="9" l="1"/>
  <c r="G50" i="13"/>
  <c r="H113" i="9"/>
  <c r="G51" i="13"/>
  <c r="H114" i="9"/>
  <c r="G52" i="13"/>
  <c r="C127" i="9"/>
  <c r="B127" i="9"/>
  <c r="F127" i="9"/>
  <c r="E127" i="9"/>
  <c r="D127" i="9"/>
  <c r="V65" i="9"/>
  <c r="C80" i="9"/>
  <c r="D80" i="9"/>
  <c r="E80" i="9"/>
  <c r="F80" i="9"/>
  <c r="B80" i="9"/>
  <c r="C69" i="9"/>
  <c r="D69" i="9"/>
  <c r="E69" i="9"/>
  <c r="F69" i="9"/>
  <c r="B69" i="9"/>
  <c r="G86" i="13" l="1"/>
  <c r="I114" i="9"/>
  <c r="H52" i="13"/>
  <c r="G85" i="13"/>
  <c r="I113" i="9"/>
  <c r="H51" i="13"/>
  <c r="G84" i="13"/>
  <c r="I112" i="9"/>
  <c r="H50" i="13"/>
  <c r="D125" i="9"/>
  <c r="D124" i="9"/>
  <c r="E125" i="9"/>
  <c r="E124" i="9"/>
  <c r="B125" i="9"/>
  <c r="B124" i="9"/>
  <c r="C125" i="9"/>
  <c r="C124" i="9"/>
  <c r="F16" i="13"/>
  <c r="E16" i="13"/>
  <c r="D16" i="13"/>
  <c r="B16" i="13"/>
  <c r="F122" i="9"/>
  <c r="V119" i="9" s="1"/>
  <c r="C16" i="13"/>
  <c r="C38" i="9"/>
  <c r="C5" i="13" s="1"/>
  <c r="C42" i="9"/>
  <c r="D42" i="9"/>
  <c r="E42" i="9"/>
  <c r="F42" i="9"/>
  <c r="C43" i="9"/>
  <c r="C9" i="13" s="1"/>
  <c r="D43" i="9"/>
  <c r="D9" i="13" s="1"/>
  <c r="E43" i="9"/>
  <c r="E9" i="13" s="1"/>
  <c r="F43" i="9"/>
  <c r="F9" i="13" s="1"/>
  <c r="C44" i="9"/>
  <c r="C10" i="13" s="1"/>
  <c r="D44" i="9"/>
  <c r="D10" i="13" s="1"/>
  <c r="E44" i="9"/>
  <c r="E10" i="13" s="1"/>
  <c r="F44" i="9"/>
  <c r="F10" i="13" s="1"/>
  <c r="B44" i="9"/>
  <c r="B10" i="13" s="1"/>
  <c r="B43" i="9"/>
  <c r="B9" i="13" s="1"/>
  <c r="B42" i="9"/>
  <c r="B8" i="13" s="1"/>
  <c r="D38" i="9"/>
  <c r="D5" i="13" s="1"/>
  <c r="E38" i="9"/>
  <c r="E5" i="13" s="1"/>
  <c r="F38" i="9"/>
  <c r="F5" i="13" s="1"/>
  <c r="B38" i="9"/>
  <c r="B5" i="13" s="1"/>
  <c r="C35" i="9"/>
  <c r="D35" i="9"/>
  <c r="E35" i="9"/>
  <c r="F35" i="9"/>
  <c r="C36" i="9"/>
  <c r="D36" i="9"/>
  <c r="E36" i="9"/>
  <c r="F36" i="9"/>
  <c r="B36" i="9"/>
  <c r="B35" i="9"/>
  <c r="C9" i="9"/>
  <c r="D9" i="9"/>
  <c r="E9" i="9"/>
  <c r="F9" i="9"/>
  <c r="B9" i="9"/>
  <c r="F8" i="13" l="1"/>
  <c r="E8" i="13"/>
  <c r="D8" i="13"/>
  <c r="C8" i="13"/>
  <c r="J113" i="9"/>
  <c r="I51" i="13"/>
  <c r="I85" i="13" s="1"/>
  <c r="H85" i="13"/>
  <c r="J112" i="9"/>
  <c r="I50" i="13"/>
  <c r="J114" i="9"/>
  <c r="I52" i="13"/>
  <c r="I86" i="13" s="1"/>
  <c r="H15" i="9"/>
  <c r="H84" i="13"/>
  <c r="H86" i="13"/>
  <c r="Z155" i="9"/>
  <c r="Z181" i="9"/>
  <c r="X155" i="9"/>
  <c r="X181" i="9"/>
  <c r="Y155" i="9"/>
  <c r="Y181" i="9"/>
  <c r="V120" i="9"/>
  <c r="F123" i="9"/>
  <c r="F125" i="9" s="1"/>
  <c r="F124" i="9"/>
  <c r="F37" i="9"/>
  <c r="E37" i="9"/>
  <c r="B39" i="9"/>
  <c r="C37" i="9"/>
  <c r="D37" i="9"/>
  <c r="B37" i="9"/>
  <c r="D39" i="9"/>
  <c r="E39" i="9"/>
  <c r="F39" i="9"/>
  <c r="R32" i="10"/>
  <c r="D53" i="7"/>
  <c r="D46" i="7"/>
  <c r="D52" i="7" s="1"/>
  <c r="F52" i="7" s="1"/>
  <c r="B52" i="7"/>
  <c r="B55" i="7"/>
  <c r="D4" i="13" l="1"/>
  <c r="D6" i="13" s="1"/>
  <c r="E4" i="13"/>
  <c r="E6" i="13" s="1"/>
  <c r="F4" i="13"/>
  <c r="F6" i="13" s="1"/>
  <c r="K114" i="9"/>
  <c r="K52" i="13" s="1"/>
  <c r="J52" i="13"/>
  <c r="J86" i="13" s="1"/>
  <c r="K112" i="9"/>
  <c r="K50" i="13" s="1"/>
  <c r="J50" i="13"/>
  <c r="J84" i="13" s="1"/>
  <c r="I84" i="13"/>
  <c r="I15" i="9"/>
  <c r="K113" i="9"/>
  <c r="K51" i="13" s="1"/>
  <c r="J51" i="13"/>
  <c r="AA181" i="9"/>
  <c r="AA155" i="9"/>
  <c r="B4" i="13"/>
  <c r="B6" i="13" s="1"/>
  <c r="C4" i="13"/>
  <c r="C6" i="13" s="1"/>
  <c r="AB37" i="9"/>
  <c r="Z40" i="9"/>
  <c r="AA34" i="9"/>
  <c r="AB40" i="9"/>
  <c r="AA37" i="9"/>
  <c r="Z37" i="9"/>
  <c r="AA40" i="9"/>
  <c r="Z34" i="9"/>
  <c r="H96" i="9" l="1"/>
  <c r="H92" i="9" s="1"/>
  <c r="H94" i="9"/>
  <c r="H90" i="9" s="1"/>
  <c r="H42" i="13" s="1"/>
  <c r="J166" i="9"/>
  <c r="J165" i="9" s="1"/>
  <c r="J15" i="9"/>
  <c r="K85" i="13"/>
  <c r="K84" i="13"/>
  <c r="J85" i="13"/>
  <c r="K86" i="13"/>
  <c r="Z41" i="9"/>
  <c r="Z38" i="9"/>
  <c r="Z35" i="9"/>
  <c r="F59" i="13"/>
  <c r="E59" i="13"/>
  <c r="D59" i="13"/>
  <c r="C59" i="13"/>
  <c r="B59" i="13"/>
  <c r="C45" i="13"/>
  <c r="D45" i="13"/>
  <c r="E45" i="13"/>
  <c r="F48" i="13"/>
  <c r="F53" i="13" s="1"/>
  <c r="B45" i="13"/>
  <c r="G39" i="13"/>
  <c r="H39" i="13" s="1"/>
  <c r="I39" i="13" s="1"/>
  <c r="J39" i="13" s="1"/>
  <c r="K39" i="13" s="1"/>
  <c r="H97" i="9" l="1"/>
  <c r="H93" i="9" s="1"/>
  <c r="G99" i="9"/>
  <c r="I96" i="9"/>
  <c r="H95" i="9"/>
  <c r="H91" i="9" s="1"/>
  <c r="H43" i="13" s="1"/>
  <c r="H45" i="13" s="1"/>
  <c r="I94" i="9"/>
  <c r="I90" i="9" s="1"/>
  <c r="I42" i="13" s="1"/>
  <c r="K166" i="9"/>
  <c r="K165" i="9" s="1"/>
  <c r="K15" i="9"/>
  <c r="M20" i="9" s="1"/>
  <c r="J96" i="9" l="1"/>
  <c r="I92" i="9"/>
  <c r="I97" i="9"/>
  <c r="I95" i="9"/>
  <c r="J94" i="9"/>
  <c r="C22" i="7"/>
  <c r="AC254" i="9" s="1"/>
  <c r="J97" i="9" l="1"/>
  <c r="I93" i="9"/>
  <c r="K96" i="9"/>
  <c r="K92" i="9" s="1"/>
  <c r="J92" i="9"/>
  <c r="J95" i="9"/>
  <c r="I91" i="9"/>
  <c r="I43" i="13" s="1"/>
  <c r="I45" i="13" s="1"/>
  <c r="K94" i="9"/>
  <c r="K90" i="9" s="1"/>
  <c r="K42" i="13" s="1"/>
  <c r="J90" i="9"/>
  <c r="J42" i="13" s="1"/>
  <c r="H99" i="9"/>
  <c r="K45" i="13" l="1"/>
  <c r="K97" i="9"/>
  <c r="K93" i="9" s="1"/>
  <c r="J93" i="9"/>
  <c r="K95" i="9"/>
  <c r="K91" i="9" s="1"/>
  <c r="K43" i="13" s="1"/>
  <c r="J91" i="9"/>
  <c r="J43" i="13" s="1"/>
  <c r="J45" i="13" s="1"/>
  <c r="I99" i="9"/>
  <c r="K99" i="9" l="1"/>
  <c r="J99" i="9"/>
  <c r="E28" i="13" l="1"/>
  <c r="D28" i="13"/>
  <c r="C28" i="13"/>
  <c r="F28" i="13"/>
  <c r="B28" i="13"/>
  <c r="H22" i="7"/>
  <c r="G22" i="7"/>
  <c r="H7" i="7" l="1"/>
  <c r="H6" i="7"/>
  <c r="F55" i="7" l="1"/>
  <c r="D55" i="7"/>
  <c r="F47" i="7" l="1"/>
  <c r="D157" i="12"/>
  <c r="E157" i="12"/>
  <c r="E164" i="12" s="1"/>
  <c r="F157" i="12"/>
  <c r="D152" i="12"/>
  <c r="E152" i="12"/>
  <c r="F152" i="12"/>
  <c r="C152" i="12"/>
  <c r="D164" i="12"/>
  <c r="F164" i="12"/>
  <c r="D158" i="12"/>
  <c r="E158" i="12"/>
  <c r="F158" i="12"/>
  <c r="C158" i="12"/>
  <c r="E154" i="12"/>
  <c r="F154" i="12"/>
  <c r="D156" i="12"/>
  <c r="E156" i="12"/>
  <c r="F156" i="12"/>
  <c r="C156" i="12"/>
  <c r="D153" i="12"/>
  <c r="D154" i="12" s="1"/>
  <c r="E153" i="12"/>
  <c r="F153" i="12"/>
  <c r="D151" i="12"/>
  <c r="E151" i="12"/>
  <c r="F151" i="12"/>
  <c r="C151" i="12"/>
  <c r="D150" i="12"/>
  <c r="E150" i="12"/>
  <c r="F150" i="12"/>
  <c r="C150" i="12"/>
  <c r="D148" i="12"/>
  <c r="E148" i="12"/>
  <c r="F148" i="12"/>
  <c r="C148" i="12"/>
  <c r="D139" i="12"/>
  <c r="D147" i="12" s="1"/>
  <c r="E139" i="12"/>
  <c r="E147" i="12" s="1"/>
  <c r="F139" i="12"/>
  <c r="F147" i="12" s="1"/>
  <c r="C139" i="12"/>
  <c r="C147" i="12" s="1"/>
  <c r="D135" i="12"/>
  <c r="E135" i="12"/>
  <c r="F135" i="12"/>
  <c r="C135" i="12"/>
  <c r="D130" i="12"/>
  <c r="E130" i="12"/>
  <c r="F130" i="12"/>
  <c r="C130" i="12"/>
  <c r="D51" i="12"/>
  <c r="E51" i="12"/>
  <c r="F51" i="12"/>
  <c r="G51" i="12"/>
  <c r="C51" i="12"/>
  <c r="D50" i="12"/>
  <c r="E50" i="12"/>
  <c r="F50" i="12"/>
  <c r="G50" i="12"/>
  <c r="C50" i="12"/>
  <c r="D48" i="12"/>
  <c r="E48" i="12"/>
  <c r="F48" i="12"/>
  <c r="G48" i="12"/>
  <c r="C48" i="12"/>
  <c r="C44" i="12"/>
  <c r="D34" i="12"/>
  <c r="E34" i="12"/>
  <c r="F34" i="12"/>
  <c r="G34" i="12"/>
  <c r="C34" i="12"/>
  <c r="D29" i="12"/>
  <c r="E29" i="12"/>
  <c r="F29" i="12"/>
  <c r="G29" i="12"/>
  <c r="C29" i="12"/>
  <c r="D24" i="12"/>
  <c r="E24" i="12"/>
  <c r="F24" i="12"/>
  <c r="G24" i="12"/>
  <c r="C24" i="12"/>
  <c r="D16" i="12"/>
  <c r="E16" i="12"/>
  <c r="F16" i="12"/>
  <c r="G16" i="12"/>
  <c r="C16" i="12"/>
  <c r="D14" i="12"/>
  <c r="E14" i="12"/>
  <c r="F14" i="12"/>
  <c r="G14" i="12"/>
  <c r="C14" i="12"/>
  <c r="D9" i="12"/>
  <c r="E9" i="12"/>
  <c r="F9" i="12"/>
  <c r="G9" i="12"/>
  <c r="C9" i="12"/>
  <c r="G116" i="12"/>
  <c r="F116" i="12"/>
  <c r="E116" i="12"/>
  <c r="D116" i="12"/>
  <c r="C116" i="12"/>
  <c r="F115" i="12"/>
  <c r="C115" i="12"/>
  <c r="G112" i="12"/>
  <c r="G115" i="12" s="1"/>
  <c r="F112" i="12"/>
  <c r="E112" i="12"/>
  <c r="E115" i="12" s="1"/>
  <c r="D112" i="12"/>
  <c r="D115" i="12" s="1"/>
  <c r="C112" i="12"/>
  <c r="C102" i="12"/>
  <c r="C89" i="12" s="1"/>
  <c r="C105" i="12" s="1"/>
  <c r="G100" i="12"/>
  <c r="G102" i="12" s="1"/>
  <c r="G89" i="12" s="1"/>
  <c r="G105" i="12" s="1"/>
  <c r="F100" i="12"/>
  <c r="F102" i="12" s="1"/>
  <c r="F89" i="12" s="1"/>
  <c r="F105" i="12" s="1"/>
  <c r="E100" i="12"/>
  <c r="E102" i="12" s="1"/>
  <c r="E89" i="12" s="1"/>
  <c r="E105" i="12" s="1"/>
  <c r="D100" i="12"/>
  <c r="D102" i="12" s="1"/>
  <c r="D89" i="12" s="1"/>
  <c r="D105" i="12" s="1"/>
  <c r="G93" i="12"/>
  <c r="F93" i="12"/>
  <c r="G82" i="12"/>
  <c r="F82" i="12"/>
  <c r="E82" i="12"/>
  <c r="D82" i="12"/>
  <c r="C82" i="12"/>
  <c r="G78" i="12"/>
  <c r="F78" i="12"/>
  <c r="E78" i="12"/>
  <c r="D78" i="12"/>
  <c r="C78" i="12"/>
  <c r="G72" i="12"/>
  <c r="G67" i="12" s="1"/>
  <c r="G74" i="12" s="1"/>
  <c r="F72" i="12"/>
  <c r="F67" i="12" s="1"/>
  <c r="F74" i="12" s="1"/>
  <c r="E72" i="12"/>
  <c r="E67" i="12" s="1"/>
  <c r="E74" i="12" s="1"/>
  <c r="D72" i="12"/>
  <c r="D67" i="12" s="1"/>
  <c r="D74" i="12" s="1"/>
  <c r="C72" i="12"/>
  <c r="C67" i="12" s="1"/>
  <c r="C74" i="12" s="1"/>
  <c r="G61" i="12"/>
  <c r="G58" i="12" s="1"/>
  <c r="F61" i="12"/>
  <c r="F58" i="12" s="1"/>
  <c r="E61" i="12"/>
  <c r="E58" i="12" s="1"/>
  <c r="D61" i="12"/>
  <c r="D58" i="12" s="1"/>
  <c r="D76" i="12" s="1"/>
  <c r="C61" i="12"/>
  <c r="C58" i="12" s="1"/>
  <c r="C76" i="12" s="1"/>
  <c r="AD254" i="9" l="1"/>
  <c r="AE254" i="9" s="1"/>
  <c r="AC255" i="9"/>
  <c r="C153" i="12"/>
  <c r="G76" i="12"/>
  <c r="G86" i="12" s="1"/>
  <c r="G107" i="12" s="1"/>
  <c r="G120" i="12" s="1"/>
  <c r="C86" i="12"/>
  <c r="F76" i="12"/>
  <c r="F86" i="12" s="1"/>
  <c r="F107" i="12" s="1"/>
  <c r="F120" i="12" s="1"/>
  <c r="C107" i="12"/>
  <c r="C120" i="12" s="1"/>
  <c r="D86" i="12"/>
  <c r="D107" i="12" s="1"/>
  <c r="D120" i="12" s="1"/>
  <c r="E76" i="12"/>
  <c r="E86" i="12" s="1"/>
  <c r="E107" i="12" s="1"/>
  <c r="E120" i="12" s="1"/>
  <c r="AG254" i="9" l="1"/>
  <c r="AF254" i="9"/>
  <c r="C154" i="12"/>
  <c r="C157" i="12"/>
  <c r="C164" i="12" s="1"/>
  <c r="F59" i="7" l="1"/>
  <c r="D57" i="7"/>
  <c r="B57" i="7"/>
  <c r="D48" i="7"/>
  <c r="D50" i="7" s="1"/>
  <c r="B48" i="7"/>
  <c r="B50" i="7" s="1"/>
  <c r="D60" i="7" l="1"/>
  <c r="B60" i="7"/>
  <c r="B59" i="7"/>
  <c r="E3" i="7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E66" i="5"/>
  <c r="E60" i="5"/>
  <c r="E53" i="5"/>
  <c r="F69" i="5"/>
  <c r="F66" i="5"/>
  <c r="F60" i="5"/>
  <c r="F53" i="5"/>
  <c r="G69" i="5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F106" i="5" l="1"/>
  <c r="D106" i="5"/>
  <c r="R33" i="10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F50" i="7"/>
  <c r="E4" i="7"/>
  <c r="E6" i="7"/>
  <c r="D6" i="7"/>
  <c r="F60" i="7" l="1"/>
  <c r="C38" i="7"/>
  <c r="C41" i="7" s="1"/>
  <c r="B38" i="7"/>
  <c r="B41" i="7" s="1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D86" i="13" s="1"/>
  <c r="F23" i="8"/>
  <c r="E86" i="13" s="1"/>
  <c r="G23" i="8"/>
  <c r="F86" i="13" s="1"/>
  <c r="D23" i="8"/>
  <c r="C86" i="13" s="1"/>
  <c r="E22" i="8"/>
  <c r="D85" i="13" s="1"/>
  <c r="F22" i="8"/>
  <c r="E85" i="13" s="1"/>
  <c r="G22" i="8"/>
  <c r="F85" i="13" s="1"/>
  <c r="D22" i="8"/>
  <c r="C85" i="13" s="1"/>
  <c r="E21" i="8"/>
  <c r="D84" i="13" s="1"/>
  <c r="F21" i="8"/>
  <c r="E84" i="13" s="1"/>
  <c r="G21" i="8"/>
  <c r="F84" i="13" s="1"/>
  <c r="D21" i="8"/>
  <c r="C84" i="13" s="1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D75" i="13" s="1"/>
  <c r="F12" i="8"/>
  <c r="E75" i="13" s="1"/>
  <c r="G12" i="8"/>
  <c r="F75" i="13" s="1"/>
  <c r="D12" i="8"/>
  <c r="C75" i="13" s="1"/>
  <c r="E11" i="8"/>
  <c r="D74" i="13" s="1"/>
  <c r="F11" i="8"/>
  <c r="E74" i="13" s="1"/>
  <c r="G11" i="8"/>
  <c r="F74" i="13" s="1"/>
  <c r="D11" i="8"/>
  <c r="C74" i="13" s="1"/>
  <c r="F10" i="8"/>
  <c r="E73" i="13" s="1"/>
  <c r="G10" i="8"/>
  <c r="F73" i="13" s="1"/>
  <c r="E10" i="8"/>
  <c r="D73" i="13" s="1"/>
  <c r="D10" i="8"/>
  <c r="C73" i="13" s="1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H94" i="2"/>
  <c r="H96" i="2" s="1"/>
  <c r="F141" i="9" s="1"/>
  <c r="F142" i="9" s="1"/>
  <c r="G94" i="2"/>
  <c r="G96" i="2" s="1"/>
  <c r="E141" i="9" s="1"/>
  <c r="E142" i="9" s="1"/>
  <c r="F94" i="2"/>
  <c r="F96" i="2" s="1"/>
  <c r="E94" i="2"/>
  <c r="E96" i="2" s="1"/>
  <c r="H87" i="2"/>
  <c r="G87" i="2"/>
  <c r="H76" i="2"/>
  <c r="F85" i="9" s="1"/>
  <c r="F17" i="13" s="1"/>
  <c r="G76" i="2"/>
  <c r="E85" i="9" s="1"/>
  <c r="E17" i="13" s="1"/>
  <c r="F76" i="2"/>
  <c r="D85" i="9" s="1"/>
  <c r="D17" i="13" s="1"/>
  <c r="E76" i="2"/>
  <c r="C85" i="9" s="1"/>
  <c r="C17" i="13" s="1"/>
  <c r="D76" i="2"/>
  <c r="B85" i="9" s="1"/>
  <c r="H72" i="2"/>
  <c r="G72" i="2"/>
  <c r="F72" i="2"/>
  <c r="E72" i="2"/>
  <c r="D72" i="2"/>
  <c r="H66" i="2"/>
  <c r="H61" i="2" s="1"/>
  <c r="F45" i="9" s="1"/>
  <c r="G66" i="2"/>
  <c r="G61" i="2" s="1"/>
  <c r="E45" i="9" s="1"/>
  <c r="F66" i="2"/>
  <c r="F61" i="2" s="1"/>
  <c r="D45" i="9" s="1"/>
  <c r="E66" i="2"/>
  <c r="E61" i="2" s="1"/>
  <c r="C45" i="9" s="1"/>
  <c r="D66" i="2"/>
  <c r="D61" i="2" s="1"/>
  <c r="B45" i="9" s="1"/>
  <c r="H55" i="2"/>
  <c r="G55" i="2"/>
  <c r="F55" i="2"/>
  <c r="F52" i="2" s="1"/>
  <c r="E52" i="5" s="1"/>
  <c r="E55" i="2"/>
  <c r="E52" i="2" s="1"/>
  <c r="D52" i="5" s="1"/>
  <c r="D55" i="2"/>
  <c r="C11" i="13" l="1"/>
  <c r="C13" i="13" s="1"/>
  <c r="C46" i="9"/>
  <c r="B17" i="13"/>
  <c r="G85" i="9"/>
  <c r="B11" i="13"/>
  <c r="B13" i="13" s="1"/>
  <c r="B46" i="9"/>
  <c r="E11" i="13"/>
  <c r="E13" i="13" s="1"/>
  <c r="E46" i="9"/>
  <c r="AA43" i="9"/>
  <c r="D11" i="13"/>
  <c r="D13" i="13" s="1"/>
  <c r="D46" i="9"/>
  <c r="Z43" i="9"/>
  <c r="F11" i="13"/>
  <c r="F13" i="13" s="1"/>
  <c r="F46" i="9"/>
  <c r="AB43" i="9"/>
  <c r="F52" i="5"/>
  <c r="G52" i="2"/>
  <c r="G142" i="9"/>
  <c r="H142" i="9" s="1"/>
  <c r="E83" i="2"/>
  <c r="C144" i="9" s="1"/>
  <c r="C141" i="9"/>
  <c r="C142" i="9" s="1"/>
  <c r="D83" i="2"/>
  <c r="B141" i="9"/>
  <c r="B142" i="9" s="1"/>
  <c r="F83" i="2"/>
  <c r="D144" i="9" s="1"/>
  <c r="D141" i="9"/>
  <c r="D142" i="9" s="1"/>
  <c r="E57" i="5"/>
  <c r="D101" i="5" s="1"/>
  <c r="D68" i="2"/>
  <c r="C54" i="5"/>
  <c r="F64" i="5"/>
  <c r="E88" i="5" s="1"/>
  <c r="F68" i="2"/>
  <c r="F70" i="2" s="1"/>
  <c r="F80" i="2" s="1"/>
  <c r="F101" i="2" s="1"/>
  <c r="F114" i="2" s="1"/>
  <c r="D164" i="9" s="1"/>
  <c r="D168" i="9" s="1"/>
  <c r="E54" i="5"/>
  <c r="E56" i="5" s="1"/>
  <c r="E59" i="5" s="1"/>
  <c r="G68" i="2"/>
  <c r="F54" i="5"/>
  <c r="C57" i="5"/>
  <c r="C88" i="5"/>
  <c r="E102" i="5"/>
  <c r="E101" i="5" s="1"/>
  <c r="F57" i="5"/>
  <c r="E68" i="2"/>
  <c r="E70" i="2" s="1"/>
  <c r="E80" i="2" s="1"/>
  <c r="E101" i="2" s="1"/>
  <c r="E114" i="2" s="1"/>
  <c r="C164" i="9" s="1"/>
  <c r="C168" i="9" s="1"/>
  <c r="D54" i="5"/>
  <c r="D56" i="5" s="1"/>
  <c r="F102" i="5"/>
  <c r="F101" i="5" s="1"/>
  <c r="G57" i="5"/>
  <c r="H68" i="2"/>
  <c r="G54" i="5"/>
  <c r="D57" i="5"/>
  <c r="D13" i="8"/>
  <c r="C76" i="13" s="1"/>
  <c r="E13" i="8"/>
  <c r="D76" i="13" s="1"/>
  <c r="G13" i="8"/>
  <c r="F76" i="13" s="1"/>
  <c r="F13" i="8"/>
  <c r="E76" i="13" s="1"/>
  <c r="H83" i="2"/>
  <c r="D52" i="2"/>
  <c r="H52" i="2"/>
  <c r="G83" i="2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D61" i="5" l="1"/>
  <c r="D62" i="5" s="1"/>
  <c r="C110" i="5" s="1"/>
  <c r="E99" i="2"/>
  <c r="E18" i="13"/>
  <c r="E14" i="13"/>
  <c r="F48" i="9"/>
  <c r="F52" i="9"/>
  <c r="B48" i="9"/>
  <c r="B52" i="9"/>
  <c r="B53" i="9" s="1"/>
  <c r="D99" i="2"/>
  <c r="B145" i="9" s="1"/>
  <c r="B144" i="9"/>
  <c r="F18" i="13"/>
  <c r="F14" i="13"/>
  <c r="B18" i="13"/>
  <c r="B14" i="13"/>
  <c r="B129" i="9"/>
  <c r="F56" i="5"/>
  <c r="Z44" i="9"/>
  <c r="G17" i="13"/>
  <c r="H85" i="9"/>
  <c r="F61" i="5"/>
  <c r="F62" i="5" s="1"/>
  <c r="E144" i="9"/>
  <c r="G61" i="5"/>
  <c r="G62" i="5" s="1"/>
  <c r="F144" i="9"/>
  <c r="D48" i="9"/>
  <c r="D52" i="9"/>
  <c r="D53" i="9" s="1"/>
  <c r="E61" i="5"/>
  <c r="E62" i="5" s="1"/>
  <c r="D110" i="5" s="1"/>
  <c r="D18" i="13"/>
  <c r="D14" i="13"/>
  <c r="E52" i="9"/>
  <c r="E53" i="9" s="1"/>
  <c r="E48" i="9"/>
  <c r="F99" i="2"/>
  <c r="C18" i="13"/>
  <c r="C14" i="13"/>
  <c r="I142" i="9"/>
  <c r="E28" i="8"/>
  <c r="D91" i="13" s="1"/>
  <c r="C12" i="9"/>
  <c r="C7" i="9"/>
  <c r="C61" i="5"/>
  <c r="C62" i="5" s="1"/>
  <c r="D12" i="9"/>
  <c r="D7" i="9"/>
  <c r="C145" i="9"/>
  <c r="D28" i="8"/>
  <c r="C91" i="13" s="1"/>
  <c r="E63" i="5"/>
  <c r="E65" i="5" s="1"/>
  <c r="E68" i="5" s="1"/>
  <c r="E71" i="5" s="1"/>
  <c r="F59" i="5"/>
  <c r="E87" i="5" s="1"/>
  <c r="E34" i="8"/>
  <c r="D97" i="13" s="1"/>
  <c r="D34" i="8"/>
  <c r="C97" i="13" s="1"/>
  <c r="D59" i="5"/>
  <c r="D63" i="5" s="1"/>
  <c r="D102" i="5"/>
  <c r="F63" i="5"/>
  <c r="F65" i="5" s="1"/>
  <c r="F68" i="5" s="1"/>
  <c r="F71" i="5" s="1"/>
  <c r="H70" i="2"/>
  <c r="H80" i="2" s="1"/>
  <c r="H101" i="2" s="1"/>
  <c r="H114" i="2" s="1"/>
  <c r="F164" i="9" s="1"/>
  <c r="F168" i="9" s="1"/>
  <c r="G52" i="5"/>
  <c r="G56" i="5" s="1"/>
  <c r="G59" i="5" s="1"/>
  <c r="G63" i="5" s="1"/>
  <c r="G65" i="5" s="1"/>
  <c r="G68" i="5" s="1"/>
  <c r="G71" i="5" s="1"/>
  <c r="F116" i="5" s="1"/>
  <c r="E5" i="7"/>
  <c r="C37" i="7" s="1"/>
  <c r="C40" i="7" s="1"/>
  <c r="D5" i="7"/>
  <c r="G42" i="2"/>
  <c r="G29" i="8"/>
  <c r="F92" i="13" s="1"/>
  <c r="D70" i="2"/>
  <c r="D80" i="2" s="1"/>
  <c r="D101" i="2" s="1"/>
  <c r="D114" i="2" s="1"/>
  <c r="B164" i="9" s="1"/>
  <c r="B168" i="9" s="1"/>
  <c r="C52" i="5"/>
  <c r="C56" i="5" s="1"/>
  <c r="C59" i="5" s="1"/>
  <c r="C101" i="5"/>
  <c r="C102" i="5"/>
  <c r="F42" i="2"/>
  <c r="F29" i="8"/>
  <c r="E92" i="13" s="1"/>
  <c r="E42" i="2"/>
  <c r="E29" i="8"/>
  <c r="D92" i="13" s="1"/>
  <c r="D87" i="5"/>
  <c r="H99" i="2"/>
  <c r="G99" i="2"/>
  <c r="F16" i="8"/>
  <c r="E79" i="13" s="1"/>
  <c r="E16" i="8"/>
  <c r="D79" i="13" s="1"/>
  <c r="E7" i="8"/>
  <c r="D70" i="13" s="1"/>
  <c r="G16" i="8"/>
  <c r="F79" i="13" s="1"/>
  <c r="H42" i="2"/>
  <c r="D7" i="8"/>
  <c r="C70" i="13" s="1"/>
  <c r="D16" i="8"/>
  <c r="C79" i="13" s="1"/>
  <c r="D44" i="2"/>
  <c r="D29" i="8"/>
  <c r="C92" i="13" s="1"/>
  <c r="G101" i="2"/>
  <c r="G114" i="2" s="1"/>
  <c r="E164" i="9" s="1"/>
  <c r="E168" i="9" s="1"/>
  <c r="D145" i="9" l="1"/>
  <c r="E44" i="2"/>
  <c r="C129" i="9"/>
  <c r="C130" i="9" s="1"/>
  <c r="G44" i="2"/>
  <c r="E129" i="9"/>
  <c r="C19" i="13"/>
  <c r="C22" i="13"/>
  <c r="C25" i="13" s="1"/>
  <c r="F44" i="2"/>
  <c r="D129" i="9"/>
  <c r="B130" i="9"/>
  <c r="B131" i="9"/>
  <c r="F53" i="9"/>
  <c r="G53" i="9" s="1"/>
  <c r="H53" i="9" s="1"/>
  <c r="I53" i="9" s="1"/>
  <c r="J53" i="9" s="1"/>
  <c r="G52" i="9"/>
  <c r="B19" i="13"/>
  <c r="B22" i="13"/>
  <c r="B25" i="13" s="1"/>
  <c r="D19" i="13"/>
  <c r="D22" i="13"/>
  <c r="D25" i="13" s="1"/>
  <c r="I85" i="9"/>
  <c r="H17" i="13"/>
  <c r="H44" i="2"/>
  <c r="F129" i="9"/>
  <c r="F130" i="9" s="1"/>
  <c r="F19" i="13"/>
  <c r="F22" i="13"/>
  <c r="F25" i="13" s="1"/>
  <c r="E19" i="13"/>
  <c r="E22" i="13"/>
  <c r="E25" i="13" s="1"/>
  <c r="J142" i="9"/>
  <c r="E12" i="9"/>
  <c r="E7" i="9"/>
  <c r="F7" i="9"/>
  <c r="F12" i="9"/>
  <c r="F28" i="8"/>
  <c r="E91" i="13" s="1"/>
  <c r="E145" i="9"/>
  <c r="G28" i="8"/>
  <c r="F91" i="13" s="1"/>
  <c r="F145" i="9"/>
  <c r="C63" i="5"/>
  <c r="C65" i="5" s="1"/>
  <c r="C68" i="5" s="1"/>
  <c r="C71" i="5" s="1"/>
  <c r="B7" i="9"/>
  <c r="B12" i="9"/>
  <c r="F34" i="8"/>
  <c r="E97" i="13" s="1"/>
  <c r="G34" i="8"/>
  <c r="F97" i="13" s="1"/>
  <c r="C87" i="5"/>
  <c r="F87" i="5"/>
  <c r="D65" i="5"/>
  <c r="D68" i="5" s="1"/>
  <c r="D71" i="5" s="1"/>
  <c r="C116" i="5" s="1"/>
  <c r="C89" i="5"/>
  <c r="C112" i="5" s="1"/>
  <c r="D116" i="5"/>
  <c r="D89" i="5"/>
  <c r="D112" i="5" s="1"/>
  <c r="E8" i="8"/>
  <c r="D71" i="13" s="1"/>
  <c r="E30" i="8"/>
  <c r="D93" i="13" s="1"/>
  <c r="E110" i="5"/>
  <c r="D8" i="8"/>
  <c r="C71" i="13" s="1"/>
  <c r="D30" i="8"/>
  <c r="C93" i="13" s="1"/>
  <c r="F110" i="5"/>
  <c r="G7" i="8"/>
  <c r="F70" i="13" s="1"/>
  <c r="F7" i="8"/>
  <c r="E70" i="13" s="1"/>
  <c r="E20" i="2"/>
  <c r="F20" i="2"/>
  <c r="G20" i="2"/>
  <c r="H20" i="2"/>
  <c r="D20" i="2"/>
  <c r="G50" i="1"/>
  <c r="H50" i="1"/>
  <c r="I50" i="1"/>
  <c r="J50" i="1"/>
  <c r="F50" i="1"/>
  <c r="F131" i="9" l="1"/>
  <c r="G131" i="9" s="1"/>
  <c r="H131" i="9" s="1"/>
  <c r="I131" i="9" s="1"/>
  <c r="J131" i="9" s="1"/>
  <c r="D130" i="9"/>
  <c r="D131" i="9"/>
  <c r="E130" i="9"/>
  <c r="E131" i="9"/>
  <c r="G37" i="9"/>
  <c r="H52" i="9"/>
  <c r="J85" i="9"/>
  <c r="I17" i="13"/>
  <c r="K142" i="9"/>
  <c r="C90" i="5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F71" i="13" s="1"/>
  <c r="G30" i="8"/>
  <c r="F93" i="13" s="1"/>
  <c r="F8" i="8"/>
  <c r="E71" i="13" s="1"/>
  <c r="F30" i="8"/>
  <c r="E93" i="13" s="1"/>
  <c r="G129" i="9" l="1"/>
  <c r="G127" i="9" s="1"/>
  <c r="G130" i="9"/>
  <c r="H130" i="9" s="1"/>
  <c r="I130" i="9" s="1"/>
  <c r="J130" i="9" s="1"/>
  <c r="K130" i="9" s="1"/>
  <c r="H129" i="9"/>
  <c r="I52" i="9"/>
  <c r="H37" i="9"/>
  <c r="G4" i="13"/>
  <c r="G38" i="9"/>
  <c r="G5" i="13" s="1"/>
  <c r="G43" i="9"/>
  <c r="G9" i="13" s="1"/>
  <c r="G42" i="9"/>
  <c r="G8" i="13" s="1"/>
  <c r="G45" i="9"/>
  <c r="G11" i="13" s="1"/>
  <c r="G59" i="13"/>
  <c r="K85" i="9"/>
  <c r="K17" i="13" s="1"/>
  <c r="J17" i="13"/>
  <c r="K27" i="9"/>
  <c r="E112" i="5"/>
  <c r="E90" i="5"/>
  <c r="E107" i="5" s="1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G6" i="13" l="1"/>
  <c r="G39" i="9"/>
  <c r="G46" i="9" s="1"/>
  <c r="G44" i="9" s="1"/>
  <c r="G10" i="13" s="1"/>
  <c r="H127" i="9"/>
  <c r="H59" i="13"/>
  <c r="I129" i="9"/>
  <c r="J52" i="9"/>
  <c r="I37" i="9"/>
  <c r="G48" i="9"/>
  <c r="H4" i="13"/>
  <c r="H42" i="9"/>
  <c r="H8" i="13" s="1"/>
  <c r="H43" i="9"/>
  <c r="H9" i="13" s="1"/>
  <c r="H38" i="9"/>
  <c r="H5" i="13" s="1"/>
  <c r="H45" i="9"/>
  <c r="H11" i="13" s="1"/>
  <c r="G134" i="9"/>
  <c r="G120" i="9"/>
  <c r="G124" i="9"/>
  <c r="G125" i="9" s="1"/>
  <c r="G139" i="9" s="1"/>
  <c r="K28" i="9"/>
  <c r="L9" i="9" s="1"/>
  <c r="E113" i="5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L11" i="9" l="1"/>
  <c r="L15" i="9"/>
  <c r="G13" i="13"/>
  <c r="H39" i="9"/>
  <c r="H46" i="9" s="1"/>
  <c r="H48" i="9" s="1"/>
  <c r="I38" i="9"/>
  <c r="I5" i="13" s="1"/>
  <c r="I43" i="9"/>
  <c r="I9" i="13" s="1"/>
  <c r="I42" i="9"/>
  <c r="I8" i="13" s="1"/>
  <c r="I4" i="13"/>
  <c r="I45" i="9"/>
  <c r="I11" i="13" s="1"/>
  <c r="G14" i="13"/>
  <c r="J129" i="9"/>
  <c r="K52" i="9"/>
  <c r="K129" i="9" s="1"/>
  <c r="J37" i="9"/>
  <c r="V122" i="9"/>
  <c r="W150" i="9" s="1"/>
  <c r="G92" i="13"/>
  <c r="H6" i="13"/>
  <c r="H134" i="9"/>
  <c r="H124" i="9"/>
  <c r="H125" i="9" s="1"/>
  <c r="H139" i="9" s="1"/>
  <c r="H120" i="9"/>
  <c r="I59" i="13"/>
  <c r="I127" i="9"/>
  <c r="M9" i="9"/>
  <c r="M11" i="9" s="1"/>
  <c r="I39" i="3"/>
  <c r="G61" i="3"/>
  <c r="G71" i="3" s="1"/>
  <c r="G74" i="3" s="1"/>
  <c r="F61" i="3"/>
  <c r="F71" i="3" s="1"/>
  <c r="F74" i="3" s="1"/>
  <c r="T27" i="3"/>
  <c r="H39" i="3"/>
  <c r="T36" i="3"/>
  <c r="H44" i="9" l="1"/>
  <c r="H10" i="13" s="1"/>
  <c r="I6" i="13"/>
  <c r="I124" i="9"/>
  <c r="I125" i="9" s="1"/>
  <c r="I139" i="9" s="1"/>
  <c r="I134" i="9"/>
  <c r="I120" i="9"/>
  <c r="W147" i="9"/>
  <c r="G138" i="9" s="1"/>
  <c r="G140" i="9" s="1"/>
  <c r="G141" i="9" s="1"/>
  <c r="G145" i="9" s="1"/>
  <c r="G21" i="13" s="1"/>
  <c r="G91" i="13" s="1"/>
  <c r="W122" i="9"/>
  <c r="X150" i="9" s="1"/>
  <c r="X147" i="9" s="1"/>
  <c r="H92" i="13"/>
  <c r="I39" i="9"/>
  <c r="I46" i="9" s="1"/>
  <c r="J4" i="13"/>
  <c r="J38" i="9"/>
  <c r="J5" i="13" s="1"/>
  <c r="J43" i="9"/>
  <c r="J9" i="13" s="1"/>
  <c r="J42" i="9"/>
  <c r="J8" i="13" s="1"/>
  <c r="J45" i="9"/>
  <c r="J11" i="13" s="1"/>
  <c r="J127" i="9"/>
  <c r="J59" i="13"/>
  <c r="H13" i="13"/>
  <c r="H14" i="13" s="1"/>
  <c r="K127" i="9"/>
  <c r="K59" i="13"/>
  <c r="N9" i="9"/>
  <c r="M15" i="9"/>
  <c r="I61" i="3"/>
  <c r="I71" i="3" s="1"/>
  <c r="I74" i="3" s="1"/>
  <c r="I77" i="3" s="1"/>
  <c r="I92" i="3" s="1"/>
  <c r="I93" i="3" s="1"/>
  <c r="T38" i="3"/>
  <c r="H61" i="3"/>
  <c r="H138" i="9" l="1"/>
  <c r="H140" i="9" s="1"/>
  <c r="H141" i="9" s="1"/>
  <c r="H145" i="9" s="1"/>
  <c r="H21" i="13" s="1"/>
  <c r="H91" i="13" s="1"/>
  <c r="J39" i="9"/>
  <c r="J46" i="9" s="1"/>
  <c r="I44" i="9"/>
  <c r="I10" i="13" s="1"/>
  <c r="I13" i="13" s="1"/>
  <c r="I14" i="13" s="1"/>
  <c r="I48" i="9"/>
  <c r="J120" i="9"/>
  <c r="J124" i="9"/>
  <c r="J125" i="9" s="1"/>
  <c r="J139" i="9" s="1"/>
  <c r="J134" i="9"/>
  <c r="J48" i="9"/>
  <c r="J44" i="9"/>
  <c r="J10" i="13" s="1"/>
  <c r="AD258" i="9"/>
  <c r="AD255" i="9" s="1"/>
  <c r="K124" i="9"/>
  <c r="K125" i="9" s="1"/>
  <c r="K139" i="9" s="1"/>
  <c r="K134" i="9"/>
  <c r="K120" i="9"/>
  <c r="J6" i="13"/>
  <c r="I92" i="13"/>
  <c r="X122" i="9"/>
  <c r="Y150" i="9" s="1"/>
  <c r="Y147" i="9" s="1"/>
  <c r="I138" i="9" s="1"/>
  <c r="I140" i="9" s="1"/>
  <c r="I141" i="9" s="1"/>
  <c r="N15" i="9"/>
  <c r="N11" i="9"/>
  <c r="T60" i="3"/>
  <c r="H71" i="3"/>
  <c r="M21" i="9" l="1"/>
  <c r="O15" i="9"/>
  <c r="M22" i="9" s="1"/>
  <c r="M23" i="9" s="1"/>
  <c r="AE258" i="9"/>
  <c r="AE255" i="9" s="1"/>
  <c r="AF258" i="9"/>
  <c r="AF255" i="9" s="1"/>
  <c r="AG258" i="9"/>
  <c r="AG255" i="9" s="1"/>
  <c r="J13" i="13"/>
  <c r="J14" i="13" s="1"/>
  <c r="Y122" i="9"/>
  <c r="Z150" i="9" s="1"/>
  <c r="Z147" i="9" s="1"/>
  <c r="J138" i="9" s="1"/>
  <c r="J140" i="9" s="1"/>
  <c r="J141" i="9" s="1"/>
  <c r="J92" i="13"/>
  <c r="I145" i="9"/>
  <c r="I21" i="13"/>
  <c r="I91" i="13" s="1"/>
  <c r="K92" i="13"/>
  <c r="Z122" i="9"/>
  <c r="AA150" i="9" s="1"/>
  <c r="H74" i="3"/>
  <c r="T70" i="3"/>
  <c r="AA147" i="9" l="1"/>
  <c r="K138" i="9" s="1"/>
  <c r="K140" i="9" s="1"/>
  <c r="K141" i="9" s="1"/>
  <c r="K145" i="9" s="1"/>
  <c r="J145" i="9"/>
  <c r="J21" i="13"/>
  <c r="J91" i="13" s="1"/>
  <c r="K21" i="13"/>
  <c r="K91" i="13" s="1"/>
  <c r="H77" i="3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B59" i="9" s="1"/>
  <c r="B79" i="9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E59" i="9" s="1"/>
  <c r="E79" i="9" s="1"/>
  <c r="H27" i="1"/>
  <c r="F6" i="2" s="1"/>
  <c r="D59" i="9" s="1"/>
  <c r="D79" i="9" s="1"/>
  <c r="G27" i="1"/>
  <c r="E6" i="2" s="1"/>
  <c r="C59" i="9" s="1"/>
  <c r="C79" i="9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E82" i="9" l="1"/>
  <c r="E83" i="9"/>
  <c r="F83" i="9"/>
  <c r="D83" i="9"/>
  <c r="D82" i="9"/>
  <c r="E58" i="9"/>
  <c r="E57" i="9"/>
  <c r="C58" i="9"/>
  <c r="C57" i="9"/>
  <c r="D58" i="9"/>
  <c r="D57" i="9"/>
  <c r="C82" i="9"/>
  <c r="C83" i="9"/>
  <c r="F19" i="8"/>
  <c r="E82" i="13" s="1"/>
  <c r="E19" i="8"/>
  <c r="D82" i="13" s="1"/>
  <c r="F8" i="2"/>
  <c r="G8" i="2"/>
  <c r="E8" i="2"/>
  <c r="G17" i="2"/>
  <c r="S53" i="1"/>
  <c r="G16" i="2"/>
  <c r="S78" i="1"/>
  <c r="H17" i="2"/>
  <c r="S163" i="1"/>
  <c r="F175" i="1"/>
  <c r="F16" i="2"/>
  <c r="S48" i="1"/>
  <c r="S27" i="1"/>
  <c r="H6" i="2"/>
  <c r="F59" i="9" s="1"/>
  <c r="F79" i="9" s="1"/>
  <c r="G75" i="9" s="1"/>
  <c r="G77" i="9" s="1"/>
  <c r="G80" i="9" s="1"/>
  <c r="G83" i="9" s="1"/>
  <c r="S73" i="1"/>
  <c r="H16" i="2"/>
  <c r="E17" i="2"/>
  <c r="S120" i="1"/>
  <c r="S156" i="1"/>
  <c r="D5" i="2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I110" i="1"/>
  <c r="F110" i="1"/>
  <c r="G110" i="1"/>
  <c r="F135" i="1"/>
  <c r="H110" i="1"/>
  <c r="Q156" i="1"/>
  <c r="H175" i="1"/>
  <c r="Q124" i="1"/>
  <c r="Q131" i="1"/>
  <c r="P131" i="1"/>
  <c r="P156" i="1"/>
  <c r="R109" i="1"/>
  <c r="S100" i="1"/>
  <c r="P113" i="1"/>
  <c r="P73" i="1"/>
  <c r="Q78" i="1"/>
  <c r="Q109" i="1"/>
  <c r="R53" i="1"/>
  <c r="Q73" i="1"/>
  <c r="P96" i="1"/>
  <c r="I175" i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E60" i="9" l="1"/>
  <c r="E68" i="9"/>
  <c r="D19" i="8"/>
  <c r="C82" i="13" s="1"/>
  <c r="B58" i="9"/>
  <c r="B57" i="9"/>
  <c r="D68" i="9"/>
  <c r="D60" i="9"/>
  <c r="D61" i="9" s="1"/>
  <c r="F82" i="9"/>
  <c r="F57" i="9"/>
  <c r="F58" i="9"/>
  <c r="C68" i="9"/>
  <c r="C60" i="9"/>
  <c r="C61" i="9" s="1"/>
  <c r="F177" i="1"/>
  <c r="D3" i="7"/>
  <c r="B37" i="7" s="1"/>
  <c r="B40" i="7" s="1"/>
  <c r="G19" i="8"/>
  <c r="F82" i="13" s="1"/>
  <c r="D26" i="2"/>
  <c r="B104" i="9" s="1"/>
  <c r="B106" i="9" s="1"/>
  <c r="G15" i="2"/>
  <c r="G26" i="2" s="1"/>
  <c r="E104" i="9" s="1"/>
  <c r="E106" i="9" s="1"/>
  <c r="H8" i="2"/>
  <c r="H15" i="2"/>
  <c r="H26" i="2" s="1"/>
  <c r="F104" i="9" s="1"/>
  <c r="F106" i="9" s="1"/>
  <c r="D8" i="2"/>
  <c r="F15" i="2"/>
  <c r="F26" i="2" s="1"/>
  <c r="D104" i="9" s="1"/>
  <c r="D106" i="9" s="1"/>
  <c r="E15" i="2"/>
  <c r="E26" i="2" s="1"/>
  <c r="C104" i="9" s="1"/>
  <c r="C106" i="9" s="1"/>
  <c r="F181" i="1"/>
  <c r="Q100" i="1"/>
  <c r="P48" i="1"/>
  <c r="R100" i="1"/>
  <c r="P100" i="1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E72" i="9" l="1"/>
  <c r="E71" i="9"/>
  <c r="B68" i="9"/>
  <c r="B60" i="9"/>
  <c r="B61" i="9" s="1"/>
  <c r="D72" i="9"/>
  <c r="D71" i="9"/>
  <c r="F68" i="9"/>
  <c r="G64" i="9" s="1"/>
  <c r="F60" i="9"/>
  <c r="F61" i="9" s="1"/>
  <c r="F72" i="9"/>
  <c r="G106" i="9"/>
  <c r="E61" i="9"/>
  <c r="R167" i="1"/>
  <c r="H31" i="2"/>
  <c r="H45" i="2" s="1"/>
  <c r="D31" i="2"/>
  <c r="D45" i="2" s="1"/>
  <c r="F15" i="8"/>
  <c r="E15" i="8"/>
  <c r="G15" i="8"/>
  <c r="D15" i="8"/>
  <c r="Q167" i="1"/>
  <c r="H181" i="1"/>
  <c r="R48" i="1"/>
  <c r="I89" i="1"/>
  <c r="Q48" i="1"/>
  <c r="G181" i="1"/>
  <c r="P167" i="1"/>
  <c r="P81" i="1"/>
  <c r="J181" i="1"/>
  <c r="S167" i="1"/>
  <c r="G69" i="9" l="1"/>
  <c r="G72" i="9" s="1"/>
  <c r="G17" i="8"/>
  <c r="F78" i="13"/>
  <c r="H106" i="9"/>
  <c r="G104" i="9"/>
  <c r="C71" i="9"/>
  <c r="C72" i="9"/>
  <c r="D17" i="8"/>
  <c r="C78" i="13"/>
  <c r="E17" i="8"/>
  <c r="D78" i="13"/>
  <c r="V69" i="9"/>
  <c r="F17" i="8"/>
  <c r="E78" i="13"/>
  <c r="F71" i="9"/>
  <c r="G31" i="2"/>
  <c r="G45" i="2" s="1"/>
  <c r="E31" i="2"/>
  <c r="E45" i="2" s="1"/>
  <c r="F31" i="2"/>
  <c r="F45" i="2" s="1"/>
  <c r="P171" i="1"/>
  <c r="Q171" i="1"/>
  <c r="S171" i="1"/>
  <c r="R171" i="1"/>
  <c r="R81" i="1"/>
  <c r="Q81" i="1"/>
  <c r="F88" i="5"/>
  <c r="F89" i="5"/>
  <c r="F90" i="5" s="1"/>
  <c r="F107" i="5" s="1"/>
  <c r="G16" i="13" l="1"/>
  <c r="G83" i="13" s="1"/>
  <c r="F25" i="8"/>
  <c r="E80" i="13"/>
  <c r="V70" i="9"/>
  <c r="I106" i="9"/>
  <c r="H104" i="9"/>
  <c r="E25" i="8"/>
  <c r="D80" i="13"/>
  <c r="G25" i="8"/>
  <c r="F80" i="13"/>
  <c r="D25" i="8"/>
  <c r="C80" i="13"/>
  <c r="F112" i="5"/>
  <c r="F113" i="5" s="1"/>
  <c r="F117" i="5" s="1"/>
  <c r="F123" i="5" s="1"/>
  <c r="C39" i="9"/>
  <c r="C52" i="9" s="1"/>
  <c r="G18" i="13" l="1"/>
  <c r="G19" i="13" s="1"/>
  <c r="D88" i="13"/>
  <c r="E31" i="8"/>
  <c r="E26" i="8"/>
  <c r="J106" i="9"/>
  <c r="I104" i="9"/>
  <c r="E88" i="13"/>
  <c r="F26" i="8"/>
  <c r="F31" i="8"/>
  <c r="H80" i="13"/>
  <c r="F88" i="13"/>
  <c r="G26" i="8"/>
  <c r="G31" i="8"/>
  <c r="C88" i="13"/>
  <c r="D26" i="8"/>
  <c r="D31" i="8"/>
  <c r="C53" i="9"/>
  <c r="K53" i="9" s="1"/>
  <c r="K37" i="9" s="1"/>
  <c r="C131" i="9"/>
  <c r="C48" i="9"/>
  <c r="G152" i="9" l="1"/>
  <c r="G154" i="9" s="1"/>
  <c r="G22" i="13"/>
  <c r="G148" i="9" s="1"/>
  <c r="G68" i="13"/>
  <c r="D35" i="8"/>
  <c r="C94" i="13"/>
  <c r="K106" i="9"/>
  <c r="K104" i="9" s="1"/>
  <c r="J104" i="9"/>
  <c r="J80" i="13" s="1"/>
  <c r="E35" i="8"/>
  <c r="D94" i="13"/>
  <c r="G35" i="8"/>
  <c r="F94" i="13"/>
  <c r="F35" i="8"/>
  <c r="E94" i="13"/>
  <c r="I80" i="13"/>
  <c r="K43" i="9"/>
  <c r="K9" i="13" s="1"/>
  <c r="Z64" i="9"/>
  <c r="Z65" i="9" s="1"/>
  <c r="K45" i="9"/>
  <c r="K11" i="13" s="1"/>
  <c r="K42" i="9"/>
  <c r="K8" i="13" s="1"/>
  <c r="K38" i="9"/>
  <c r="K4" i="13"/>
  <c r="K80" i="13" l="1"/>
  <c r="E41" i="8"/>
  <c r="D98" i="13"/>
  <c r="G41" i="8"/>
  <c r="F98" i="13"/>
  <c r="F41" i="8"/>
  <c r="E98" i="13"/>
  <c r="G158" i="9"/>
  <c r="G150" i="9"/>
  <c r="G156" i="9" s="1"/>
  <c r="D41" i="8"/>
  <c r="C98" i="13"/>
  <c r="Z69" i="9"/>
  <c r="Z70" i="9"/>
  <c r="K39" i="9"/>
  <c r="K46" i="9" s="1"/>
  <c r="K5" i="13"/>
  <c r="K6" i="13" s="1"/>
  <c r="G24" i="13" l="1"/>
  <c r="G159" i="9"/>
  <c r="G70" i="13" s="1"/>
  <c r="G93" i="13" s="1"/>
  <c r="H76" i="9"/>
  <c r="H82" i="9" s="1"/>
  <c r="G76" i="9"/>
  <c r="I76" i="9"/>
  <c r="I82" i="9" s="1"/>
  <c r="K76" i="9"/>
  <c r="K82" i="9" s="1"/>
  <c r="J76" i="9"/>
  <c r="J82" i="9" s="1"/>
  <c r="K65" i="9"/>
  <c r="I65" i="9"/>
  <c r="J65" i="9"/>
  <c r="H65" i="9"/>
  <c r="G65" i="9"/>
  <c r="K48" i="9"/>
  <c r="K44" i="9"/>
  <c r="K10" i="13" s="1"/>
  <c r="K13" i="13" s="1"/>
  <c r="G69" i="13" l="1"/>
  <c r="G71" i="13" s="1"/>
  <c r="G25" i="13"/>
  <c r="G26" i="13" s="1"/>
  <c r="G87" i="13" s="1"/>
  <c r="G82" i="9"/>
  <c r="G79" i="9"/>
  <c r="G68" i="9"/>
  <c r="G58" i="9" s="1"/>
  <c r="H64" i="9"/>
  <c r="H66" i="9" s="1"/>
  <c r="K14" i="13"/>
  <c r="G27" i="13" l="1"/>
  <c r="H69" i="9"/>
  <c r="G37" i="13"/>
  <c r="H75" i="9"/>
  <c r="G59" i="9"/>
  <c r="G38" i="13" s="1"/>
  <c r="G164" i="9" l="1"/>
  <c r="G28" i="13"/>
  <c r="G57" i="9"/>
  <c r="H77" i="9"/>
  <c r="H80" i="9" s="1"/>
  <c r="H83" i="9" s="1"/>
  <c r="G82" i="13"/>
  <c r="G88" i="13" s="1"/>
  <c r="G94" i="13" s="1"/>
  <c r="G98" i="13" s="1"/>
  <c r="G40" i="13"/>
  <c r="G53" i="13" s="1"/>
  <c r="I64" i="9"/>
  <c r="I66" i="9" s="1"/>
  <c r="H68" i="9"/>
  <c r="H58" i="9" s="1"/>
  <c r="H72" i="9"/>
  <c r="G172" i="9" l="1"/>
  <c r="G175" i="9" s="1"/>
  <c r="G168" i="9"/>
  <c r="I69" i="9"/>
  <c r="H79" i="9"/>
  <c r="H37" i="13"/>
  <c r="H16" i="13"/>
  <c r="H171" i="9" l="1"/>
  <c r="G55" i="13"/>
  <c r="G61" i="13" s="1"/>
  <c r="I68" i="9"/>
  <c r="I58" i="9" s="1"/>
  <c r="H83" i="13"/>
  <c r="H18" i="13"/>
  <c r="H59" i="9"/>
  <c r="I75" i="9"/>
  <c r="I72" i="9"/>
  <c r="J64" i="9" l="1"/>
  <c r="J66" i="9" s="1"/>
  <c r="J69" i="9" s="1"/>
  <c r="I77" i="9"/>
  <c r="I80" i="9" s="1"/>
  <c r="H152" i="9"/>
  <c r="H154" i="9" s="1"/>
  <c r="H68" i="13"/>
  <c r="H19" i="13"/>
  <c r="H22" i="13"/>
  <c r="H38" i="13"/>
  <c r="H57" i="9"/>
  <c r="I37" i="13"/>
  <c r="J72" i="9" l="1"/>
  <c r="H148" i="9"/>
  <c r="H40" i="13"/>
  <c r="H53" i="13" s="1"/>
  <c r="H82" i="13"/>
  <c r="I79" i="9"/>
  <c r="J68" i="9"/>
  <c r="I83" i="9"/>
  <c r="I16" i="13"/>
  <c r="K64" i="9" l="1"/>
  <c r="K66" i="9" s="1"/>
  <c r="J58" i="9"/>
  <c r="H150" i="9"/>
  <c r="H156" i="9" s="1"/>
  <c r="H158" i="9"/>
  <c r="I83" i="13"/>
  <c r="I18" i="13"/>
  <c r="I59" i="9"/>
  <c r="J75" i="9"/>
  <c r="I38" i="13" l="1"/>
  <c r="I57" i="9"/>
  <c r="J77" i="9"/>
  <c r="J80" i="9" s="1"/>
  <c r="I152" i="9"/>
  <c r="I154" i="9" s="1"/>
  <c r="I68" i="13"/>
  <c r="I19" i="13"/>
  <c r="I22" i="13"/>
  <c r="I148" i="9" s="1"/>
  <c r="H159" i="9"/>
  <c r="H70" i="13" s="1"/>
  <c r="H93" i="13" s="1"/>
  <c r="H24" i="13"/>
  <c r="J37" i="13"/>
  <c r="K69" i="9"/>
  <c r="J79" i="9" l="1"/>
  <c r="J59" i="9" s="1"/>
  <c r="K68" i="9"/>
  <c r="K58" i="9" s="1"/>
  <c r="J83" i="9"/>
  <c r="J16" i="13"/>
  <c r="K72" i="9"/>
  <c r="H69" i="13"/>
  <c r="H71" i="13" s="1"/>
  <c r="H25" i="13"/>
  <c r="H26" i="13" s="1"/>
  <c r="I158" i="9"/>
  <c r="I150" i="9"/>
  <c r="I156" i="9" s="1"/>
  <c r="I82" i="13"/>
  <c r="I40" i="13"/>
  <c r="I53" i="13" s="1"/>
  <c r="K75" i="9" l="1"/>
  <c r="H27" i="13"/>
  <c r="H87" i="13"/>
  <c r="H88" i="13" s="1"/>
  <c r="H94" i="13" s="1"/>
  <c r="H98" i="13" s="1"/>
  <c r="I24" i="13"/>
  <c r="I159" i="9"/>
  <c r="I70" i="13" s="1"/>
  <c r="I93" i="13" s="1"/>
  <c r="K77" i="9"/>
  <c r="K80" i="9" s="1"/>
  <c r="J83" i="13"/>
  <c r="J18" i="13"/>
  <c r="J38" i="13"/>
  <c r="J57" i="9"/>
  <c r="K37" i="13"/>
  <c r="K79" i="9" l="1"/>
  <c r="K59" i="9" s="1"/>
  <c r="K38" i="13" s="1"/>
  <c r="K40" i="13" s="1"/>
  <c r="K53" i="13" s="1"/>
  <c r="I25" i="13"/>
  <c r="I26" i="13" s="1"/>
  <c r="I69" i="13"/>
  <c r="I71" i="13" s="1"/>
  <c r="J152" i="9"/>
  <c r="J154" i="9" s="1"/>
  <c r="J68" i="13"/>
  <c r="J19" i="13"/>
  <c r="J22" i="13"/>
  <c r="K83" i="9"/>
  <c r="K16" i="13"/>
  <c r="J82" i="13"/>
  <c r="J40" i="13"/>
  <c r="J53" i="13" s="1"/>
  <c r="H164" i="9"/>
  <c r="H28" i="13"/>
  <c r="I165" i="9" l="1"/>
  <c r="H173" i="9"/>
  <c r="K57" i="9"/>
  <c r="K82" i="13"/>
  <c r="I27" i="13"/>
  <c r="I87" i="13"/>
  <c r="I88" i="13" s="1"/>
  <c r="I94" i="13" s="1"/>
  <c r="I98" i="13" s="1"/>
  <c r="H172" i="9"/>
  <c r="J148" i="9"/>
  <c r="K83" i="13"/>
  <c r="K18" i="13"/>
  <c r="H175" i="9" l="1"/>
  <c r="I171" i="9" s="1"/>
  <c r="J150" i="9"/>
  <c r="J156" i="9" s="1"/>
  <c r="J158" i="9"/>
  <c r="I164" i="9"/>
  <c r="I28" i="13"/>
  <c r="K152" i="9"/>
  <c r="K154" i="9" s="1"/>
  <c r="K68" i="13"/>
  <c r="K22" i="13"/>
  <c r="K148" i="9" s="1"/>
  <c r="K19" i="13"/>
  <c r="H55" i="13" l="1"/>
  <c r="H61" i="13" s="1"/>
  <c r="K158" i="9"/>
  <c r="K150" i="9"/>
  <c r="K156" i="9" s="1"/>
  <c r="I172" i="9"/>
  <c r="J24" i="13"/>
  <c r="J159" i="9"/>
  <c r="J70" i="13" s="1"/>
  <c r="J93" i="13" s="1"/>
  <c r="J69" i="13" l="1"/>
  <c r="J71" i="13" s="1"/>
  <c r="J25" i="13"/>
  <c r="J26" i="13" s="1"/>
  <c r="K159" i="9"/>
  <c r="K70" i="13" s="1"/>
  <c r="K93" i="13" s="1"/>
  <c r="K24" i="13"/>
  <c r="K25" i="13" l="1"/>
  <c r="K26" i="13" s="1"/>
  <c r="K69" i="13"/>
  <c r="K71" i="13" s="1"/>
  <c r="J27" i="13"/>
  <c r="J87" i="13"/>
  <c r="J88" i="13" s="1"/>
  <c r="J94" i="13" s="1"/>
  <c r="J98" i="13" s="1"/>
  <c r="J164" i="9" l="1"/>
  <c r="J28" i="13"/>
  <c r="K27" i="13"/>
  <c r="K87" i="13"/>
  <c r="K88" i="13" s="1"/>
  <c r="K94" i="13" s="1"/>
  <c r="K98" i="13" s="1"/>
  <c r="K164" i="9" l="1"/>
  <c r="K28" i="13"/>
  <c r="J172" i="9"/>
  <c r="K172" i="9" l="1"/>
  <c r="J168" i="9"/>
  <c r="J173" i="9"/>
  <c r="K168" i="9"/>
  <c r="K173" i="9"/>
  <c r="I168" i="9"/>
  <c r="I173" i="9"/>
  <c r="I175" i="9" s="1"/>
  <c r="J171" i="9" l="1"/>
  <c r="J175" i="9" s="1"/>
  <c r="I55" i="13"/>
  <c r="I61" i="13" s="1"/>
  <c r="J55" i="13" l="1"/>
  <c r="J61" i="13" s="1"/>
  <c r="K171" i="9"/>
  <c r="K175" i="9" s="1"/>
  <c r="K55" i="13" s="1"/>
  <c r="K61" i="13" s="1"/>
  <c r="D133" i="2"/>
  <c r="F182" i="1"/>
  <c r="F93" i="1"/>
  <c r="F44" i="1"/>
  <c r="F31" i="1"/>
  <c r="R172" i="1"/>
  <c r="R85" i="1"/>
  <c r="E159" i="2"/>
  <c r="E149" i="2"/>
  <c r="E153" i="2"/>
  <c r="E152" i="2"/>
  <c r="P37" i="1"/>
  <c r="D130" i="2"/>
  <c r="G129" i="2"/>
  <c r="E129" i="2"/>
  <c r="R31" i="1"/>
  <c r="P172" i="1"/>
  <c r="P85" i="1"/>
  <c r="G130" i="2"/>
  <c r="I93" i="1"/>
  <c r="I182" i="1"/>
  <c r="F159" i="2"/>
  <c r="F149" i="2"/>
  <c r="F153" i="2"/>
  <c r="F152" i="2"/>
  <c r="Q37" i="1"/>
  <c r="D144" i="2"/>
  <c r="J182" i="1"/>
  <c r="D129" i="2"/>
  <c r="G133" i="2"/>
  <c r="J93" i="1"/>
  <c r="S85" i="1"/>
  <c r="S172" i="1"/>
  <c r="E133" i="2"/>
  <c r="S31" i="1"/>
  <c r="F128" i="2"/>
  <c r="F131" i="2"/>
  <c r="F135" i="2"/>
  <c r="F143" i="2"/>
  <c r="F144" i="2"/>
  <c r="F130" i="2"/>
  <c r="G159" i="2"/>
  <c r="G149" i="2"/>
  <c r="G153" i="2"/>
  <c r="G152" i="2"/>
  <c r="Q31" i="1"/>
  <c r="Q172" i="1"/>
  <c r="Q85" i="1"/>
  <c r="E130" i="2"/>
  <c r="F129" i="2"/>
  <c r="G128" i="2"/>
  <c r="G131" i="2"/>
  <c r="G135" i="2"/>
  <c r="G143" i="2"/>
  <c r="G144" i="2"/>
  <c r="J31" i="1"/>
  <c r="J44" i="1"/>
  <c r="S37" i="1"/>
  <c r="I31" i="1"/>
  <c r="I44" i="1"/>
  <c r="R37" i="1"/>
  <c r="D159" i="2"/>
  <c r="D128" i="2"/>
  <c r="D131" i="2"/>
  <c r="D135" i="2"/>
  <c r="D143" i="2"/>
  <c r="D149" i="2"/>
  <c r="D153" i="2"/>
  <c r="D152" i="2"/>
  <c r="P31" i="1"/>
  <c r="H31" i="1"/>
  <c r="H44" i="1"/>
  <c r="H93" i="1"/>
  <c r="H182" i="1"/>
  <c r="F133" i="2"/>
  <c r="G31" i="1"/>
  <c r="G44" i="1"/>
  <c r="G93" i="1"/>
  <c r="G182" i="1"/>
  <c r="E128" i="2"/>
  <c r="E131" i="2"/>
  <c r="E135" i="2"/>
  <c r="E143" i="2"/>
  <c r="E144" i="2"/>
</calcChain>
</file>

<file path=xl/sharedStrings.xml><?xml version="1.0" encoding="utf-8"?>
<sst xmlns="http://schemas.openxmlformats.org/spreadsheetml/2006/main" count="1231" uniqueCount="698">
  <si>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</si>
  <si>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</si>
  <si>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</si>
  <si>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</si>
  <si>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</si>
  <si>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</si>
  <si>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</si>
  <si>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</si>
  <si>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</si>
  <si>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</si>
  <si>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</si>
  <si>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</si>
  <si>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</si>
  <si>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</si>
  <si>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</si>
  <si>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</si>
  <si>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</si>
  <si>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</si>
  <si>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</si>
  <si>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</si>
  <si>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</si>
  <si>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</si>
  <si>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</si>
  <si>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</si>
  <si>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</si>
  <si>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</si>
  <si>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</si>
  <si>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</si>
  <si>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</si>
  <si>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</si>
  <si>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</si>
  <si>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</si>
  <si>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</si>
  <si>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</si>
  <si>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</si>
  <si>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</si>
  <si>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</si>
  <si>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</si>
  <si>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</si>
  <si>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</si>
  <si>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</si>
  <si>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</si>
  <si>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</si>
  <si>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</si>
  <si>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</si>
  <si>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</si>
  <si>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</si>
  <si>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</si>
  <si>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</si>
  <si>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</si>
  <si>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</si>
  <si>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</si>
  <si>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</si>
  <si>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</si>
  <si>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</si>
  <si>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</si>
  <si>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</si>
  <si>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</si>
  <si>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</si>
  <si>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</si>
  <si>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</si>
  <si>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</si>
  <si>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</si>
  <si>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</si>
  <si>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</si>
  <si>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</si>
  <si>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</si>
  <si>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</si>
  <si>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</si>
  <si>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</si>
  <si>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</si>
  <si>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</si>
  <si>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</si>
  <si>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</si>
  <si>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</si>
  <si>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</si>
  <si>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</si>
  <si>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</si>
  <si>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</si>
  <si>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</si>
  <si>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</si>
  <si>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</si>
  <si>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</si>
  <si>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</si>
  <si>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</si>
  <si>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</si>
  <si>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</si>
  <si>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</si>
  <si>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</si>
  <si>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</si>
  <si>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</si>
  <si>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</si>
  <si>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</si>
  <si>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</si>
  <si>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</si>
  <si>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</si>
  <si>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</si>
  <si>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</si>
  <si>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</si>
  <si>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</si>
  <si>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</si>
  <si>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</si>
  <si>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</si>
  <si>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</si>
  <si>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</si>
  <si>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</si>
  <si>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</si>
  <si>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</si>
  <si>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</si>
  <si>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</si>
  <si>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</si>
  <si>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</si>
  <si>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</si>
  <si>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</si>
  <si>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</si>
  <si>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</si>
  <si>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</si>
  <si>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</si>
  <si>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</si>
  <si>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</si>
  <si>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</si>
  <si>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</si>
  <si>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</si>
  <si>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</si>
  <si>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</si>
  <si>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</si>
  <si>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</si>
  <si>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</si>
  <si>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</si>
  <si>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</si>
  <si>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</si>
  <si>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</si>
  <si>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</si>
  <si>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</si>
  <si>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</si>
  <si>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</si>
  <si>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</si>
  <si>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</si>
  <si>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</si>
  <si>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</si>
  <si>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</si>
  <si>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</si>
  <si>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</si>
  <si>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</si>
  <si>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</si>
  <si>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</si>
  <si>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</si>
  <si>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</si>
  <si>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</si>
  <si>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</si>
  <si>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</si>
  <si>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</si>
  <si>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</si>
  <si>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</si>
  <si>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</si>
  <si>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</si>
  <si>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</si>
  <si>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</si>
  <si>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</si>
  <si>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</si>
  <si>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</si>
  <si>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</si>
  <si>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</si>
  <si>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</si>
  <si>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</si>
  <si>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</si>
  <si>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</si>
  <si>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</si>
  <si>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</si>
  <si>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</si>
  <si>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</si>
  <si>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</si>
  <si>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</si>
  <si>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</si>
  <si>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</si>
  <si>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</si>
  <si>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</si>
  <si>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</si>
  <si>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</si>
  <si>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</si>
  <si>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</si>
  <si>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</si>
  <si>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</si>
  <si>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</si>
  <si>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</si>
  <si>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</si>
  <si>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</si>
  <si>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</si>
  <si>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</si>
  <si>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</si>
  <si>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</si>
  <si>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</si>
  <si>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</si>
  <si>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</si>
  <si>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</si>
  <si>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</si>
  <si>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</si>
  <si>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</si>
  <si>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</si>
  <si>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</si>
  <si>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</si>
  <si>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</si>
  <si>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</si>
  <si>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</si>
  <si>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</si>
  <si>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</si>
  <si>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</si>
  <si>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</si>
  <si>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</si>
  <si>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</si>
  <si>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</si>
  <si>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</si>
  <si>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</si>
  <si>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</si>
  <si>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</si>
  <si>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</si>
  <si>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</si>
  <si>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</si>
  <si>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</si>
  <si>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</si>
  <si>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</si>
  <si>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</si>
  <si>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</si>
  <si>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</si>
  <si>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</si>
  <si>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</si>
  <si>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</si>
  <si>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</si>
  <si>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</si>
  <si>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</si>
  <si>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</si>
  <si>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</si>
  <si>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</si>
  <si>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</si>
  <si>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</si>
  <si>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</si>
  <si>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</si>
  <si>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</si>
  <si>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</si>
  <si>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</si>
  <si>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</si>
  <si>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</si>
  <si>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</si>
  <si>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</si>
  <si>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</si>
  <si>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</si>
  <si>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</si>
  <si>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</si>
  <si>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</si>
  <si>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</si>
  <si>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</si>
  <si>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</si>
  <si>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</si>
  <si>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</si>
  <si>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</si>
  <si>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</si>
  <si>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</si>
  <si>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</si>
  <si>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</si>
  <si>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</si>
  <si>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</si>
  <si>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</si>
  <si>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</si>
  <si>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</si>
  <si>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</si>
  <si>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</si>
  <si>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</si>
  <si>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</si>
  <si>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</si>
  <si>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</si>
  <si>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</si>
  <si>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</si>
  <si>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</si>
  <si>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</si>
  <si>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</si>
  <si>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</si>
  <si>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</si>
  <si>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</si>
  <si>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</si>
  <si>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</si>
  <si>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</si>
  <si>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</si>
  <si>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</si>
  <si>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</si>
  <si>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</si>
  <si>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</si>
  <si>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</si>
  <si>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</si>
  <si>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</si>
  <si>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</si>
  <si>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</si>
  <si>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</si>
  <si>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</si>
  <si>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</si>
  <si>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</si>
  <si>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</si>
  <si>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</si>
  <si>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</si>
  <si>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</si>
  <si>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</si>
  <si>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</si>
  <si>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</si>
  <si>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</si>
  <si>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</si>
  <si>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</si>
  <si>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</si>
  <si>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>EBITDA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</si>
  <si>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</si>
  <si>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</si>
  <si>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</si>
  <si>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</si>
  <si>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</si>
  <si>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</si>
  <si>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</si>
  <si>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</si>
  <si>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</si>
  <si>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</si>
  <si>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</si>
  <si>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</si>
  <si>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</si>
  <si>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</si>
  <si>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</si>
  <si>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</si>
  <si>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</si>
  <si>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</si>
  <si>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</si>
  <si>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</si>
  <si>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</si>
  <si>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</si>
  <si>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</si>
  <si>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</si>
  <si>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</si>
  <si>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</si>
  <si>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</si>
  <si>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</si>
  <si>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</si>
  <si>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</si>
  <si>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</si>
  <si>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</si>
  <si>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</si>
  <si>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</si>
  <si>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</si>
  <si>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</si>
  <si>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</si>
  <si>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</si>
  <si>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</si>
  <si>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</si>
  <si>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</si>
  <si>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</si>
  <si>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</si>
  <si>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</si>
  <si>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</si>
  <si>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</si>
  <si>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</si>
  <si>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</si>
  <si>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</si>
  <si>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</si>
  <si>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</si>
  <si>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</si>
  <si>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</si>
  <si>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</si>
  <si>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</si>
  <si>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</si>
  <si>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</si>
  <si>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</si>
  <si>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</si>
  <si>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</si>
  <si>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</si>
  <si>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</si>
  <si>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</si>
  <si>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</si>
  <si>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</si>
  <si>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</si>
  <si>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</si>
  <si>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</si>
  <si>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</si>
  <si>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</si>
  <si>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</si>
  <si>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</si>
  <si>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</si>
  <si>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</si>
  <si>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</si>
  <si>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</si>
  <si>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</si>
  <si>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</si>
  <si>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</si>
  <si>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</si>
  <si>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</si>
  <si>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</si>
  <si>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</si>
  <si>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</si>
  <si>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</si>
  <si>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</si>
  <si>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</si>
  <si>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</si>
  <si>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</si>
  <si>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</si>
  <si>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</si>
  <si>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</si>
  <si>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</si>
  <si>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</si>
  <si>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</si>
  <si>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</si>
  <si>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</si>
  <si>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</si>
  <si>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</si>
  <si>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</si>
  <si>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</si>
  <si>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</si>
  <si>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</si>
  <si>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</si>
  <si>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</si>
  <si>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</si>
  <si>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</si>
  <si>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</si>
  <si>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</si>
  <si>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</si>
  <si>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</si>
  <si>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</si>
  <si>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</si>
  <si>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</si>
  <si>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</si>
  <si>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</si>
  <si>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</si>
  <si>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</si>
  <si>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</si>
  <si>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</si>
  <si>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</si>
  <si>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</si>
  <si>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</si>
  <si>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</si>
  <si>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</si>
  <si>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</si>
  <si>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</si>
  <si>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</si>
  <si>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</si>
  <si>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</si>
  <si>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</si>
  <si>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</si>
  <si>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</si>
  <si>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</si>
  <si>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</si>
  <si>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</si>
  <si>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</si>
  <si>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</si>
  <si>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</si>
  <si>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</si>
  <si>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</si>
  <si>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</si>
  <si>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</si>
  <si>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</si>
  <si>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</si>
  <si>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</si>
  <si>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</si>
  <si>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</si>
  <si>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</si>
  <si>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</si>
  <si>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</si>
  <si>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</si>
  <si>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</si>
  <si>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</si>
  <si>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</si>
  <si>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</si>
  <si>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</si>
  <si>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</si>
  <si>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</si>
  <si>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</si>
  <si>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</si>
  <si>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</si>
  <si>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</si>
  <si>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</si>
  <si>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</si>
  <si>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</si>
  <si>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</si>
  <si>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</si>
  <si>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</si>
  <si>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</si>
  <si>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</si>
  <si>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</si>
  <si>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</si>
  <si>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</si>
  <si>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</si>
  <si>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</si>
  <si>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</si>
  <si>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</si>
  <si>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</si>
  <si>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</si>
  <si>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</si>
  <si>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</si>
  <si>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</si>
  <si>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</si>
  <si>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</si>
  <si>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</si>
  <si>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</si>
  <si>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</si>
  <si>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</si>
  <si>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</si>
  <si>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</si>
  <si>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</si>
  <si>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</si>
  <si>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</si>
  <si>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</si>
  <si>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</si>
  <si>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</si>
  <si>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</si>
  <si>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</si>
  <si>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</si>
  <si>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</si>
  <si>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</si>
  <si>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</si>
  <si>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</si>
  <si>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</si>
  <si>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</si>
  <si>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</si>
  <si>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</si>
  <si>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</si>
  <si>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</si>
  <si>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</si>
  <si>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</si>
  <si>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</si>
  <si>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</si>
  <si>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</si>
  <si>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</si>
  <si>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</si>
  <si>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</si>
  <si>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</si>
  <si>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Historicals </t>
  </si>
  <si>
    <t xml:space="preserve">(Values included in NPF) </t>
  </si>
  <si>
    <t xml:space="preserve">Non current derivatives </t>
  </si>
  <si>
    <t>Total medium long term financial receivables</t>
  </si>
  <si>
    <t xml:space="preserve">Current financial assets </t>
  </si>
  <si>
    <t xml:space="preserve"> ∆ Current financial assets </t>
  </si>
  <si>
    <t>Bond2023 private</t>
  </si>
  <si>
    <t xml:space="preserve">Bond2024 private </t>
  </si>
  <si>
    <t>Bond 2021 (partial)</t>
  </si>
  <si>
    <t xml:space="preserve">Dividend discount model </t>
  </si>
  <si>
    <t xml:space="preserve">A2A Dividend policy </t>
  </si>
  <si>
    <t>Distributed</t>
  </si>
  <si>
    <t>DPS</t>
  </si>
  <si>
    <t xml:space="preserve">Dividend payout ratio </t>
  </si>
  <si>
    <t xml:space="preserve">EPS </t>
  </si>
  <si>
    <t>Outstanding shares</t>
  </si>
  <si>
    <t xml:space="preserve">Steady payout ratio: </t>
  </si>
  <si>
    <t xml:space="preserve">Stable dividend growth: ROE (utility sectore) * Steady retention ratio </t>
  </si>
  <si>
    <t xml:space="preserve">Present Value of future dividends </t>
  </si>
  <si>
    <t xml:space="preserve">Present value of terminal value </t>
  </si>
  <si>
    <t xml:space="preserve">Expected price per share </t>
  </si>
  <si>
    <t>Terminal Value assumptions (stricty)</t>
  </si>
  <si>
    <t xml:space="preserve">Stable cost of equity (Beta = 1) </t>
  </si>
  <si>
    <t xml:space="preserve">Stable Cost of Equity </t>
  </si>
  <si>
    <t xml:space="preserve">Different Weighted AVG </t>
  </si>
  <si>
    <t xml:space="preserve">Sales Forecasts </t>
  </si>
  <si>
    <t>Revenues from  goods</t>
  </si>
  <si>
    <t xml:space="preserve">Operational costs forecasts </t>
  </si>
  <si>
    <t>Operational costs</t>
  </si>
  <si>
    <t xml:space="preserve">Present value of transition phase </t>
  </si>
  <si>
    <t xml:space="preserve">Transition phase assumptions </t>
  </si>
  <si>
    <t xml:space="preserve">Starting cost of equity </t>
  </si>
  <si>
    <t xml:space="preserve">Starting div. growth </t>
  </si>
  <si>
    <t xml:space="preserve">Terminal cost of equity </t>
  </si>
  <si>
    <t xml:space="preserve">Year step </t>
  </si>
  <si>
    <t>Terminal div. Growth</t>
  </si>
  <si>
    <t xml:space="preserve">Year Step </t>
  </si>
  <si>
    <t xml:space="preserve">Steady Phase </t>
  </si>
  <si>
    <t>Output</t>
  </si>
  <si>
    <t xml:space="preserve">As Percentage of sales </t>
  </si>
  <si>
    <t xml:space="preserve">EBITDA margin </t>
  </si>
  <si>
    <t>Steady State</t>
  </si>
  <si>
    <t xml:space="preserve">Capex Computation </t>
  </si>
  <si>
    <t xml:space="preserve">Intangibles </t>
  </si>
  <si>
    <t xml:space="preserve">Tangibles </t>
  </si>
  <si>
    <t xml:space="preserve">EOP </t>
  </si>
  <si>
    <t xml:space="preserve"> + Capex</t>
  </si>
  <si>
    <t xml:space="preserve"> - D&amp;A</t>
  </si>
  <si>
    <t xml:space="preserve">Evolution of Intangibles </t>
  </si>
  <si>
    <t>Evolution of Tangibles</t>
  </si>
  <si>
    <t xml:space="preserve">Tangible Capex </t>
  </si>
  <si>
    <t xml:space="preserve">Intangible Capex </t>
  </si>
  <si>
    <t>D&amp;A</t>
  </si>
  <si>
    <t xml:space="preserve"> - D&amp;A </t>
  </si>
  <si>
    <t xml:space="preserve">D&amp;A (also write downs in fixed assets) </t>
  </si>
  <si>
    <t xml:space="preserve">NWC forecasts </t>
  </si>
  <si>
    <t xml:space="preserve">Other items in Restated BS </t>
  </si>
  <si>
    <t xml:space="preserve">1) Net deferred tax </t>
  </si>
  <si>
    <t xml:space="preserve">2) Employee benefits </t>
  </si>
  <si>
    <t>3) Provisions for risks</t>
  </si>
  <si>
    <t xml:space="preserve">Income Statement </t>
  </si>
  <si>
    <t xml:space="preserve">Margin </t>
  </si>
  <si>
    <t xml:space="preserve">EBIT </t>
  </si>
  <si>
    <t xml:space="preserve">Steady State </t>
  </si>
  <si>
    <t xml:space="preserve">Debt Forecast </t>
  </si>
  <si>
    <t xml:space="preserve">Short term financial debt </t>
  </si>
  <si>
    <t xml:space="preserve">Bank loans and Bonds (M/L) </t>
  </si>
  <si>
    <t xml:space="preserve">Total Net Income </t>
  </si>
  <si>
    <t xml:space="preserve">Dividends </t>
  </si>
  <si>
    <t xml:space="preserve">Payout ratio </t>
  </si>
  <si>
    <t xml:space="preserve">Evolution of equity </t>
  </si>
  <si>
    <t xml:space="preserve">Begin of period equity </t>
  </si>
  <si>
    <t xml:space="preserve">"+" Net Income </t>
  </si>
  <si>
    <t xml:space="preserve">"-" Dividends </t>
  </si>
  <si>
    <t xml:space="preserve">End of period equity </t>
  </si>
  <si>
    <t xml:space="preserve">DPS </t>
  </si>
  <si>
    <t xml:space="preserve">Outstanding Shares </t>
  </si>
  <si>
    <t xml:space="preserve">NFP/ EBITDA </t>
  </si>
  <si>
    <t xml:space="preserve">NFP / Total debt </t>
  </si>
  <si>
    <t xml:space="preserve">Interests </t>
  </si>
  <si>
    <t xml:space="preserve">Financial Items </t>
  </si>
  <si>
    <t xml:space="preserve">Other financing   </t>
  </si>
  <si>
    <t xml:space="preserve">Term </t>
  </si>
  <si>
    <t xml:space="preserve">Nominal </t>
  </si>
  <si>
    <t xml:space="preserve">Additional </t>
  </si>
  <si>
    <t xml:space="preserve">Additional Bond evo </t>
  </si>
  <si>
    <t xml:space="preserve">Average Interest </t>
  </si>
  <si>
    <t xml:space="preserve">EBT </t>
  </si>
  <si>
    <t xml:space="preserve">IRES Tax Base = EBT </t>
  </si>
  <si>
    <t xml:space="preserve">IRES tax rate </t>
  </si>
  <si>
    <t xml:space="preserve">IRES </t>
  </si>
  <si>
    <t xml:space="preserve">IRAP Tax Base = EBIT </t>
  </si>
  <si>
    <t xml:space="preserve">IRAP Tax rate </t>
  </si>
  <si>
    <t xml:space="preserve">IRAP </t>
  </si>
  <si>
    <t xml:space="preserve">Total taxes </t>
  </si>
  <si>
    <t xml:space="preserve">Taxable Income </t>
  </si>
  <si>
    <t xml:space="preserve">Effective tax rate </t>
  </si>
  <si>
    <t xml:space="preserve">N I </t>
  </si>
  <si>
    <t xml:space="preserve">Income Taxes </t>
  </si>
  <si>
    <t xml:space="preserve">After tax result </t>
  </si>
  <si>
    <t xml:space="preserve">Balance Sheet </t>
  </si>
  <si>
    <t xml:space="preserve">Trade receivables </t>
  </si>
  <si>
    <t xml:space="preserve">NFP </t>
  </si>
  <si>
    <t>Explicit forecast</t>
  </si>
  <si>
    <t>Decreasing growth phase (3Y)</t>
  </si>
  <si>
    <t xml:space="preserve">Present value </t>
  </si>
  <si>
    <t>Sales</t>
  </si>
  <si>
    <t>Tangibles</t>
  </si>
  <si>
    <t>Intangibles</t>
  </si>
  <si>
    <t>D&amp;A as % EOP Tangibles</t>
  </si>
  <si>
    <t xml:space="preserve">%Tangibles </t>
  </si>
  <si>
    <t>%Intangibles</t>
  </si>
  <si>
    <t xml:space="preserve">Other operating revenues as % of sales </t>
  </si>
  <si>
    <t xml:space="preserve">Raw materials as % of sales </t>
  </si>
  <si>
    <t>Mean value (past 2 years)</t>
  </si>
  <si>
    <t>Services as % of sales</t>
  </si>
  <si>
    <t xml:space="preserve">Labour cost as % of sales </t>
  </si>
  <si>
    <t>Mean value (past 3 years)</t>
  </si>
  <si>
    <t>Cumulative capex for 2024</t>
  </si>
  <si>
    <t xml:space="preserve">Splitted per year </t>
  </si>
  <si>
    <t>References for capex</t>
  </si>
  <si>
    <t xml:space="preserve">Tangible part </t>
  </si>
  <si>
    <t xml:space="preserve">Intangible part </t>
  </si>
  <si>
    <t xml:space="preserve">Of which: </t>
  </si>
  <si>
    <t xml:space="preserve">OWC forecast </t>
  </si>
  <si>
    <t xml:space="preserve">As % of sales </t>
  </si>
  <si>
    <t xml:space="preserve">Sales </t>
  </si>
  <si>
    <t>Other revenues</t>
  </si>
  <si>
    <t xml:space="preserve">Cost of services </t>
  </si>
  <si>
    <t>Other expenses</t>
  </si>
  <si>
    <t xml:space="preserve">Bonds   </t>
  </si>
  <si>
    <t xml:space="preserve">Bonds/Total Debt </t>
  </si>
  <si>
    <t xml:space="preserve">Other financing /Total debt </t>
  </si>
  <si>
    <t xml:space="preserve">Debt Repayment (+) </t>
  </si>
  <si>
    <t xml:space="preserve">Debt Issue (-) </t>
  </si>
  <si>
    <t xml:space="preserve">Total financial balance </t>
  </si>
  <si>
    <t xml:space="preserve">Interest expenses as % of total </t>
  </si>
  <si>
    <t xml:space="preserve">Computational reference </t>
  </si>
  <si>
    <t xml:space="preserve">Interest expenses </t>
  </si>
  <si>
    <t>% Bonds</t>
  </si>
  <si>
    <t xml:space="preserve">% Other financing </t>
  </si>
  <si>
    <t xml:space="preserve">New Bonds </t>
  </si>
  <si>
    <t xml:space="preserve">Additional Bond evolution </t>
  </si>
  <si>
    <t xml:space="preserve">Other interests / Other financing </t>
  </si>
  <si>
    <t xml:space="preserve">WACC according to Python development </t>
  </si>
  <si>
    <t xml:space="preserve">WACC according to simplified approach </t>
  </si>
  <si>
    <t>Net of taxes Cost of Debt</t>
  </si>
  <si>
    <t>Risk Free Rate</t>
  </si>
  <si>
    <t>Regression (levered) Beta</t>
  </si>
  <si>
    <t>Wacc (market value)</t>
  </si>
  <si>
    <t xml:space="preserve">Stable Wacc (Beta = 1) </t>
  </si>
  <si>
    <t xml:space="preserve">Equity forecast </t>
  </si>
  <si>
    <t xml:space="preserve">TCE </t>
  </si>
  <si>
    <t>Cumulative sales</t>
  </si>
  <si>
    <t>Capex for 1 u. sales</t>
  </si>
  <si>
    <t>Tangible part</t>
  </si>
  <si>
    <t xml:space="preserve">AAA Countries (10 years bond) TIR at 31/12/2019 </t>
  </si>
  <si>
    <t xml:space="preserve">Switzerland </t>
  </si>
  <si>
    <t xml:space="preserve">Norway </t>
  </si>
  <si>
    <t>Denmark</t>
  </si>
  <si>
    <t xml:space="preserve">Sweden </t>
  </si>
  <si>
    <t xml:space="preserve">Canada </t>
  </si>
  <si>
    <t>Equity Risk Premium (Damodaran)</t>
  </si>
  <si>
    <t xml:space="preserve">Past dividend growth </t>
  </si>
  <si>
    <t xml:space="preserve">Stable cost of equity </t>
  </si>
  <si>
    <t xml:space="preserve">Other assets and liabilities </t>
  </si>
  <si>
    <t xml:space="preserve">Days for other A&amp;L (sales) </t>
  </si>
  <si>
    <t>Days payables (raw)</t>
  </si>
  <si>
    <t xml:space="preserve">Days receivables (sales) </t>
  </si>
  <si>
    <t xml:space="preserve">Days trade inventory (sales) </t>
  </si>
  <si>
    <t xml:space="preserve">Changes in NWC </t>
  </si>
  <si>
    <t>Other assets &amp;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</si>
</sst>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 * #,##0.00_)\ &quot;€&quot;_ ;_ * \(#,##0.00\)\ &quot;€&quot;_ ;_ * &quot;-&quot;??_)\ &quot;€&quot;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0.0000"/>
    <numFmt numFmtId="173" formatCode="0.00000"/>
    <numFmt numFmtId="174" formatCode="0.0"/>
    <numFmt numFmtId="175" formatCode="0.0%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   "/>
    </font>
    <font>
      <sz val="11"/>
      <color theme="1"/>
      <name val="Calibri Light"/>
      <family val="2"/>
      <scheme val="major"/>
    </font>
    <font>
      <i/>
      <sz val="10"/>
      <color indexed="8"/>
      <name val="Calibri"/>
      <family val="2"/>
    </font>
    <font>
      <i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4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0" borderId="29" xfId="0" applyBorder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2" fillId="3" borderId="0" xfId="0" applyNumberFormat="1" applyFont="1" applyFill="1" applyBorder="1"/>
    <xf numFmtId="0" fontId="24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5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6" fillId="2" borderId="0" xfId="0" applyFont="1" applyFill="1" applyBorder="1"/>
    <xf numFmtId="166" fontId="6" fillId="2" borderId="0" xfId="1" applyNumberFormat="1" applyFont="1" applyFill="1" applyBorder="1"/>
    <xf numFmtId="0" fontId="22" fillId="3" borderId="0" xfId="0" applyFont="1" applyFill="1" applyBorder="1"/>
    <xf numFmtId="165" fontId="27" fillId="3" borderId="0" xfId="0" applyNumberFormat="1" applyFont="1" applyFill="1" applyBorder="1" applyAlignment="1">
      <alignment horizontal="right" vertical="center" indent="1"/>
    </xf>
    <xf numFmtId="0" fontId="0" fillId="14" borderId="0" xfId="0" applyFill="1"/>
    <xf numFmtId="14" fontId="22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19" fillId="2" borderId="0" xfId="0" applyFont="1" applyFill="1"/>
    <xf numFmtId="0" fontId="28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3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 applyBorder="1" applyAlignment="1">
      <alignment wrapText="1"/>
    </xf>
    <xf numFmtId="168" fontId="6" fillId="2" borderId="0" xfId="1" applyNumberFormat="1" applyFont="1" applyFill="1" applyBorder="1"/>
    <xf numFmtId="168" fontId="11" fillId="7" borderId="2" xfId="0" applyNumberFormat="1" applyFont="1" applyFill="1" applyBorder="1"/>
    <xf numFmtId="168" fontId="11" fillId="5" borderId="2" xfId="0" applyNumberFormat="1" applyFont="1" applyFill="1" applyBorder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0" fontId="29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29" fillId="2" borderId="0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29" fillId="2" borderId="2" xfId="2" applyNumberFormat="1" applyFont="1" applyFill="1" applyBorder="1"/>
    <xf numFmtId="168" fontId="29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5" fillId="8" borderId="0" xfId="2" applyNumberFormat="1" applyFont="1" applyFill="1" applyBorder="1"/>
    <xf numFmtId="169" fontId="25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0" fillId="8" borderId="0" xfId="2" applyNumberFormat="1" applyFont="1" applyFill="1" applyBorder="1"/>
    <xf numFmtId="169" fontId="30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0" fontId="3" fillId="8" borderId="0" xfId="0" applyFont="1" applyFill="1" applyBorder="1" applyAlignment="1"/>
    <xf numFmtId="0" fontId="21" fillId="8" borderId="0" xfId="0" applyFont="1" applyFill="1" applyBorder="1"/>
    <xf numFmtId="0" fontId="23" fillId="8" borderId="0" xfId="0" applyFont="1" applyFill="1" applyBorder="1"/>
    <xf numFmtId="0" fontId="21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2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3" fillId="16" borderId="19" xfId="0" applyFont="1" applyFill="1" applyBorder="1"/>
    <xf numFmtId="0" fontId="31" fillId="13" borderId="42" xfId="0" applyFont="1" applyFill="1" applyBorder="1"/>
    <xf numFmtId="0" fontId="31" fillId="18" borderId="40" xfId="0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0" fontId="0" fillId="2" borderId="30" xfId="0" applyFill="1" applyBorder="1"/>
    <xf numFmtId="0" fontId="2" fillId="2" borderId="44" xfId="0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9" fontId="0" fillId="2" borderId="30" xfId="1" applyFont="1" applyFill="1" applyBorder="1"/>
    <xf numFmtId="0" fontId="31" fillId="17" borderId="28" xfId="0" applyFont="1" applyFill="1" applyBorder="1"/>
    <xf numFmtId="0" fontId="31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32" xfId="0" applyFill="1" applyBorder="1"/>
    <xf numFmtId="0" fontId="0" fillId="2" borderId="1" xfId="0" applyFill="1" applyBorder="1"/>
    <xf numFmtId="0" fontId="31" fillId="13" borderId="5" xfId="0" applyFont="1" applyFill="1" applyBorder="1"/>
    <xf numFmtId="171" fontId="31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2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2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2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2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5" fillId="0" borderId="0" xfId="0" applyFont="1" applyFill="1" applyBorder="1"/>
    <xf numFmtId="0" fontId="32" fillId="0" borderId="0" xfId="0" applyFont="1" applyFill="1" applyBorder="1"/>
    <xf numFmtId="169" fontId="0" fillId="11" borderId="39" xfId="0" applyNumberFormat="1" applyFill="1" applyBorder="1"/>
    <xf numFmtId="0" fontId="31" fillId="0" borderId="0" xfId="0" applyFont="1" applyFill="1"/>
    <xf numFmtId="0" fontId="36" fillId="0" borderId="0" xfId="0" applyFont="1" applyFill="1"/>
    <xf numFmtId="169" fontId="0" fillId="11" borderId="39" xfId="2" applyNumberFormat="1" applyFont="1" applyFill="1" applyBorder="1"/>
    <xf numFmtId="0" fontId="37" fillId="21" borderId="26" xfId="0" applyFont="1" applyFill="1" applyBorder="1"/>
    <xf numFmtId="0" fontId="38" fillId="2" borderId="29" xfId="0" applyFont="1" applyFill="1" applyBorder="1"/>
    <xf numFmtId="0" fontId="38" fillId="2" borderId="44" xfId="0" applyFont="1" applyFill="1" applyBorder="1"/>
    <xf numFmtId="0" fontId="37" fillId="2" borderId="29" xfId="0" applyFont="1" applyFill="1" applyBorder="1"/>
    <xf numFmtId="0" fontId="38" fillId="2" borderId="0" xfId="0" applyFont="1" applyFill="1" applyBorder="1"/>
    <xf numFmtId="0" fontId="37" fillId="2" borderId="0" xfId="0" applyFont="1" applyFill="1" applyBorder="1"/>
    <xf numFmtId="0" fontId="38" fillId="2" borderId="35" xfId="0" applyFont="1" applyFill="1" applyBorder="1"/>
    <xf numFmtId="0" fontId="37" fillId="2" borderId="44" xfId="0" applyFont="1" applyFill="1" applyBorder="1"/>
    <xf numFmtId="0" fontId="37" fillId="2" borderId="48" xfId="0" applyFont="1" applyFill="1" applyBorder="1"/>
    <xf numFmtId="0" fontId="38" fillId="2" borderId="30" xfId="0" applyFont="1" applyFill="1" applyBorder="1"/>
    <xf numFmtId="0" fontId="39" fillId="2" borderId="35" xfId="0" applyFont="1" applyFill="1" applyBorder="1"/>
    <xf numFmtId="0" fontId="38" fillId="2" borderId="45" xfId="0" applyFont="1" applyFill="1" applyBorder="1"/>
    <xf numFmtId="2" fontId="38" fillId="2" borderId="35" xfId="0" applyNumberFormat="1" applyFont="1" applyFill="1" applyBorder="1"/>
    <xf numFmtId="1" fontId="38" fillId="2" borderId="35" xfId="3" applyNumberFormat="1" applyFont="1" applyFill="1" applyBorder="1"/>
    <xf numFmtId="1" fontId="38" fillId="2" borderId="35" xfId="0" applyNumberFormat="1" applyFont="1" applyFill="1" applyBorder="1"/>
    <xf numFmtId="1" fontId="38" fillId="2" borderId="0" xfId="0" applyNumberFormat="1" applyFont="1" applyFill="1" applyBorder="1"/>
    <xf numFmtId="1" fontId="37" fillId="2" borderId="0" xfId="0" applyNumberFormat="1" applyFont="1" applyFill="1" applyBorder="1"/>
    <xf numFmtId="0" fontId="37" fillId="2" borderId="35" xfId="0" applyFont="1" applyFill="1" applyBorder="1"/>
    <xf numFmtId="0" fontId="37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0" fillId="19" borderId="22" xfId="0" applyNumberFormat="1" applyFont="1" applyFill="1" applyBorder="1"/>
    <xf numFmtId="0" fontId="37" fillId="2" borderId="30" xfId="0" applyFont="1" applyFill="1" applyBorder="1"/>
    <xf numFmtId="1" fontId="37" fillId="2" borderId="30" xfId="0" applyNumberFormat="1" applyFont="1" applyFill="1" applyBorder="1"/>
    <xf numFmtId="0" fontId="37" fillId="2" borderId="46" xfId="0" applyFont="1" applyFill="1" applyBorder="1"/>
    <xf numFmtId="1" fontId="40" fillId="19" borderId="32" xfId="0" applyNumberFormat="1" applyFont="1" applyFill="1" applyBorder="1"/>
    <xf numFmtId="0" fontId="37" fillId="2" borderId="45" xfId="0" applyFont="1" applyFill="1" applyBorder="1"/>
    <xf numFmtId="0" fontId="37" fillId="22" borderId="5" xfId="0" applyFont="1" applyFill="1" applyBorder="1"/>
    <xf numFmtId="14" fontId="37" fillId="22" borderId="26" xfId="0" applyNumberFormat="1" applyFont="1" applyFill="1" applyBorder="1"/>
    <xf numFmtId="0" fontId="37" fillId="23" borderId="31" xfId="0" applyFont="1" applyFill="1" applyBorder="1"/>
    <xf numFmtId="0" fontId="38" fillId="23" borderId="22" xfId="0" applyFont="1" applyFill="1" applyBorder="1"/>
    <xf numFmtId="0" fontId="38" fillId="23" borderId="32" xfId="0" applyFont="1" applyFill="1" applyBorder="1"/>
    <xf numFmtId="0" fontId="37" fillId="2" borderId="49" xfId="0" applyFont="1" applyFill="1" applyBorder="1"/>
    <xf numFmtId="0" fontId="37" fillId="2" borderId="50" xfId="0" applyFont="1" applyFill="1" applyBorder="1"/>
    <xf numFmtId="0" fontId="37" fillId="2" borderId="51" xfId="0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2" fontId="38" fillId="2" borderId="45" xfId="0" applyNumberFormat="1" applyFont="1" applyFill="1" applyBorder="1"/>
    <xf numFmtId="2" fontId="37" fillId="2" borderId="0" xfId="0" applyNumberFormat="1" applyFont="1" applyFill="1" applyBorder="1"/>
    <xf numFmtId="2" fontId="37" fillId="2" borderId="30" xfId="0" applyNumberFormat="1" applyFont="1" applyFill="1" applyBorder="1"/>
    <xf numFmtId="1" fontId="38" fillId="2" borderId="45" xfId="0" applyNumberFormat="1" applyFont="1" applyFill="1" applyBorder="1"/>
    <xf numFmtId="0" fontId="39" fillId="2" borderId="29" xfId="0" applyFont="1" applyFill="1" applyBorder="1"/>
    <xf numFmtId="10" fontId="39" fillId="2" borderId="0" xfId="1" applyNumberFormat="1" applyFont="1" applyFill="1" applyBorder="1"/>
    <xf numFmtId="10" fontId="39" fillId="2" borderId="30" xfId="1" applyNumberFormat="1" applyFont="1" applyFill="1" applyBorder="1"/>
    <xf numFmtId="1" fontId="38" fillId="2" borderId="30" xfId="0" applyNumberFormat="1" applyFont="1" applyFill="1" applyBorder="1"/>
    <xf numFmtId="0" fontId="37" fillId="2" borderId="31" xfId="0" applyFont="1" applyFill="1" applyBorder="1"/>
    <xf numFmtId="0" fontId="37" fillId="2" borderId="22" xfId="0" applyFont="1" applyFill="1" applyBorder="1"/>
    <xf numFmtId="0" fontId="37" fillId="2" borderId="32" xfId="0" applyFont="1" applyFill="1" applyBorder="1"/>
    <xf numFmtId="14" fontId="37" fillId="0" borderId="0" xfId="0" applyNumberFormat="1" applyFont="1" applyFill="1" applyBorder="1"/>
    <xf numFmtId="14" fontId="37" fillId="21" borderId="26" xfId="0" applyNumberFormat="1" applyFont="1" applyFill="1" applyBorder="1"/>
    <xf numFmtId="14" fontId="37" fillId="21" borderId="39" xfId="0" applyNumberFormat="1" applyFont="1" applyFill="1" applyBorder="1"/>
    <xf numFmtId="0" fontId="37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1" fillId="24" borderId="26" xfId="0" applyFont="1" applyFill="1" applyBorder="1"/>
    <xf numFmtId="14" fontId="31" fillId="24" borderId="26" xfId="0" applyNumberFormat="1" applyFont="1" applyFill="1" applyBorder="1"/>
    <xf numFmtId="0" fontId="31" fillId="24" borderId="39" xfId="0" applyFont="1" applyFill="1" applyBorder="1"/>
    <xf numFmtId="0" fontId="31" fillId="24" borderId="5" xfId="0" applyFont="1" applyFill="1" applyBorder="1"/>
    <xf numFmtId="0" fontId="31" fillId="24" borderId="6" xfId="0" applyFont="1" applyFill="1" applyBorder="1"/>
    <xf numFmtId="0" fontId="0" fillId="6" borderId="39" xfId="0" applyFill="1" applyBorder="1"/>
    <xf numFmtId="166" fontId="41" fillId="18" borderId="43" xfId="1" applyNumberFormat="1" applyFont="1" applyFill="1" applyBorder="1"/>
    <xf numFmtId="166" fontId="41" fillId="13" borderId="17" xfId="1" applyNumberFormat="1" applyFont="1" applyFill="1" applyBorder="1"/>
    <xf numFmtId="0" fontId="31" fillId="0" borderId="0" xfId="0" applyFont="1" applyFill="1" applyBorder="1"/>
    <xf numFmtId="0" fontId="2" fillId="24" borderId="5" xfId="0" applyFont="1" applyFill="1" applyBorder="1"/>
    <xf numFmtId="0" fontId="31" fillId="25" borderId="19" xfId="0" applyFont="1" applyFill="1" applyBorder="1"/>
    <xf numFmtId="0" fontId="31" fillId="25" borderId="21" xfId="0" applyFont="1" applyFill="1" applyBorder="1"/>
    <xf numFmtId="0" fontId="31" fillId="26" borderId="19" xfId="0" applyFont="1" applyFill="1" applyBorder="1"/>
    <xf numFmtId="0" fontId="31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1" fillId="25" borderId="5" xfId="0" applyFont="1" applyFill="1" applyBorder="1"/>
    <xf numFmtId="0" fontId="31" fillId="25" borderId="1" xfId="0" applyFont="1" applyFill="1" applyBorder="1"/>
    <xf numFmtId="0" fontId="31" fillId="25" borderId="27" xfId="0" applyFont="1" applyFill="1" applyBorder="1"/>
    <xf numFmtId="0" fontId="31" fillId="2" borderId="0" xfId="0" applyFont="1" applyFill="1" applyBorder="1"/>
    <xf numFmtId="0" fontId="31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11" fillId="6" borderId="30" xfId="0" applyNumberFormat="1" applyFont="1" applyFill="1" applyBorder="1"/>
    <xf numFmtId="168" fontId="14" fillId="2" borderId="29" xfId="0" applyNumberFormat="1" applyFont="1" applyFill="1" applyBorder="1" applyAlignment="1">
      <alignment wrapText="1"/>
    </xf>
    <xf numFmtId="168" fontId="14" fillId="2" borderId="0" xfId="0" applyNumberFormat="1" applyFont="1" applyFill="1" applyBorder="1" applyAlignment="1">
      <alignment wrapText="1"/>
    </xf>
    <xf numFmtId="168" fontId="14" fillId="6" borderId="37" xfId="0" applyNumberFormat="1" applyFont="1" applyFill="1" applyBorder="1"/>
    <xf numFmtId="0" fontId="28" fillId="2" borderId="31" xfId="0" applyFont="1" applyFill="1" applyBorder="1"/>
    <xf numFmtId="0" fontId="28" fillId="2" borderId="22" xfId="0" applyFont="1" applyFill="1" applyBorder="1"/>
    <xf numFmtId="168" fontId="28" fillId="2" borderId="22" xfId="0" applyNumberFormat="1" applyFont="1" applyFill="1" applyBorder="1"/>
    <xf numFmtId="168" fontId="28" fillId="2" borderId="32" xfId="0" applyNumberFormat="1" applyFont="1" applyFill="1" applyBorder="1"/>
    <xf numFmtId="0" fontId="0" fillId="2" borderId="37" xfId="0" applyFill="1" applyBorder="1"/>
    <xf numFmtId="0" fontId="14" fillId="2" borderId="29" xfId="0" applyFont="1" applyFill="1" applyBorder="1"/>
    <xf numFmtId="0" fontId="11" fillId="6" borderId="29" xfId="0" applyFont="1" applyFill="1" applyBorder="1"/>
    <xf numFmtId="0" fontId="0" fillId="5" borderId="0" xfId="0" applyFill="1" applyBorder="1"/>
    <xf numFmtId="168" fontId="6" fillId="2" borderId="37" xfId="1" applyNumberFormat="1" applyFont="1" applyFill="1" applyBorder="1"/>
    <xf numFmtId="0" fontId="6" fillId="2" borderId="29" xfId="0" applyFont="1" applyFill="1" applyBorder="1" applyAlignment="1">
      <alignment wrapText="1"/>
    </xf>
    <xf numFmtId="168" fontId="0" fillId="0" borderId="37" xfId="0" applyNumberFormat="1" applyBorder="1"/>
    <xf numFmtId="0" fontId="0" fillId="7" borderId="22" xfId="0" applyFill="1" applyBorder="1"/>
    <xf numFmtId="168" fontId="11" fillId="7" borderId="57" xfId="0" applyNumberFormat="1" applyFont="1" applyFill="1" applyBorder="1"/>
    <xf numFmtId="164" fontId="6" fillId="2" borderId="37" xfId="2" applyFont="1" applyFill="1" applyBorder="1"/>
    <xf numFmtId="164" fontId="6" fillId="7" borderId="2" xfId="2" applyNumberFormat="1" applyFont="1" applyFill="1" applyBorder="1"/>
    <xf numFmtId="10" fontId="6" fillId="2" borderId="2" xfId="1" applyNumberFormat="1" applyFont="1" applyFill="1" applyBorder="1"/>
    <xf numFmtId="169" fontId="6" fillId="5" borderId="30" xfId="2" applyNumberFormat="1" applyFont="1" applyFill="1" applyBorder="1"/>
    <xf numFmtId="164" fontId="6" fillId="2" borderId="30" xfId="2" applyNumberFormat="1" applyFont="1" applyFill="1" applyBorder="1"/>
    <xf numFmtId="164" fontId="6" fillId="7" borderId="30" xfId="2" applyNumberFormat="1" applyFont="1" applyFill="1" applyBorder="1"/>
    <xf numFmtId="10" fontId="6" fillId="2" borderId="30" xfId="1" applyNumberFormat="1" applyFont="1" applyFill="1" applyBorder="1"/>
    <xf numFmtId="0" fontId="42" fillId="2" borderId="0" xfId="0" applyFont="1" applyFill="1" applyBorder="1"/>
    <xf numFmtId="0" fontId="0" fillId="2" borderId="52" xfId="0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10" fontId="0" fillId="2" borderId="0" xfId="1" applyNumberFormat="1" applyFont="1" applyFill="1"/>
    <xf numFmtId="168" fontId="11" fillId="7" borderId="37" xfId="0" applyNumberFormat="1" applyFont="1" applyFill="1" applyBorder="1"/>
    <xf numFmtId="0" fontId="0" fillId="14" borderId="28" xfId="0" applyFill="1" applyBorder="1"/>
    <xf numFmtId="0" fontId="0" fillId="2" borderId="29" xfId="0" applyFill="1" applyBorder="1" applyAlignment="1"/>
    <xf numFmtId="168" fontId="0" fillId="0" borderId="37" xfId="0" applyNumberFormat="1" applyFont="1" applyBorder="1"/>
    <xf numFmtId="0" fontId="0" fillId="2" borderId="54" xfId="0" applyFill="1" applyBorder="1"/>
    <xf numFmtId="0" fontId="0" fillId="2" borderId="19" xfId="0" applyFill="1" applyBorder="1"/>
    <xf numFmtId="0" fontId="31" fillId="27" borderId="5" xfId="0" applyFont="1" applyFill="1" applyBorder="1"/>
    <xf numFmtId="0" fontId="31" fillId="27" borderId="39" xfId="0" applyFont="1" applyFill="1" applyBorder="1"/>
    <xf numFmtId="0" fontId="2" fillId="2" borderId="35" xfId="0" applyFont="1" applyFill="1" applyBorder="1"/>
    <xf numFmtId="0" fontId="0" fillId="2" borderId="58" xfId="0" applyFill="1" applyBorder="1"/>
    <xf numFmtId="10" fontId="0" fillId="2" borderId="59" xfId="0" applyNumberFormat="1" applyFill="1" applyBorder="1"/>
    <xf numFmtId="10" fontId="0" fillId="2" borderId="14" xfId="1" applyNumberFormat="1" applyFont="1" applyFill="1" applyBorder="1"/>
    <xf numFmtId="0" fontId="0" fillId="2" borderId="49" xfId="0" applyFill="1" applyBorder="1"/>
    <xf numFmtId="0" fontId="0" fillId="2" borderId="22" xfId="0" applyFill="1" applyBorder="1"/>
    <xf numFmtId="0" fontId="0" fillId="2" borderId="60" xfId="0" applyFill="1" applyBorder="1"/>
    <xf numFmtId="0" fontId="0" fillId="2" borderId="61" xfId="0" applyFill="1" applyBorder="1"/>
    <xf numFmtId="10" fontId="0" fillId="2" borderId="35" xfId="1" applyNumberFormat="1" applyFont="1" applyFill="1" applyBorder="1"/>
    <xf numFmtId="0" fontId="2" fillId="6" borderId="0" xfId="0" applyFont="1" applyFill="1" applyBorder="1"/>
    <xf numFmtId="0" fontId="2" fillId="6" borderId="52" xfId="0" applyFont="1" applyFill="1" applyBorder="1"/>
    <xf numFmtId="10" fontId="0" fillId="2" borderId="0" xfId="0" applyNumberFormat="1" applyFill="1"/>
    <xf numFmtId="10" fontId="0" fillId="2" borderId="35" xfId="0" applyNumberFormat="1" applyFill="1" applyBorder="1"/>
    <xf numFmtId="10" fontId="0" fillId="2" borderId="52" xfId="1" applyNumberFormat="1" applyFont="1" applyFill="1" applyBorder="1"/>
    <xf numFmtId="0" fontId="0" fillId="2" borderId="62" xfId="0" applyFill="1" applyBorder="1"/>
    <xf numFmtId="0" fontId="0" fillId="2" borderId="53" xfId="0" applyFill="1" applyBorder="1"/>
    <xf numFmtId="9" fontId="0" fillId="2" borderId="0" xfId="1" applyFont="1" applyFill="1"/>
    <xf numFmtId="10" fontId="1" fillId="2" borderId="0" xfId="1" applyNumberFormat="1" applyFont="1" applyFill="1" applyBorder="1"/>
    <xf numFmtId="2" fontId="0" fillId="2" borderId="0" xfId="1" applyNumberFormat="1" applyFont="1" applyFill="1" applyBorder="1"/>
    <xf numFmtId="2" fontId="0" fillId="2" borderId="0" xfId="0" applyNumberFormat="1" applyFill="1"/>
    <xf numFmtId="2" fontId="0" fillId="2" borderId="0" xfId="0" applyNumberFormat="1" applyFill="1" applyBorder="1"/>
    <xf numFmtId="0" fontId="0" fillId="0" borderId="0" xfId="0"/>
    <xf numFmtId="0" fontId="0" fillId="2" borderId="0" xfId="0" applyFill="1"/>
    <xf numFmtId="0" fontId="0" fillId="2" borderId="0" xfId="0" applyFill="1" applyBorder="1"/>
    <xf numFmtId="9" fontId="46" fillId="2" borderId="63" xfId="0" applyNumberFormat="1" applyFont="1" applyFill="1" applyBorder="1" applyAlignment="1">
      <alignment horizontal="center"/>
    </xf>
    <xf numFmtId="9" fontId="46" fillId="2" borderId="0" xfId="0" applyNumberFormat="1" applyFont="1" applyFill="1" applyBorder="1" applyAlignment="1">
      <alignment horizontal="center"/>
    </xf>
    <xf numFmtId="9" fontId="45" fillId="2" borderId="0" xfId="0" quotePrefix="1" applyNumberFormat="1" applyFont="1" applyFill="1" applyBorder="1" applyAlignment="1">
      <alignment horizontal="center" vertical="center" wrapText="1"/>
    </xf>
    <xf numFmtId="9" fontId="45" fillId="2" borderId="63" xfId="0" quotePrefix="1" applyNumberFormat="1" applyFont="1" applyFill="1" applyBorder="1" applyAlignment="1">
      <alignment horizontal="center" vertical="top" wrapText="1"/>
    </xf>
    <xf numFmtId="0" fontId="0" fillId="0" borderId="35" xfId="0" applyBorder="1"/>
    <xf numFmtId="0" fontId="0" fillId="0" borderId="52" xfId="0" applyBorder="1"/>
    <xf numFmtId="0" fontId="0" fillId="0" borderId="34" xfId="0" applyBorder="1"/>
    <xf numFmtId="0" fontId="0" fillId="0" borderId="54" xfId="0" applyBorder="1"/>
    <xf numFmtId="0" fontId="0" fillId="0" borderId="28" xfId="0" applyBorder="1"/>
    <xf numFmtId="0" fontId="0" fillId="0" borderId="62" xfId="0" applyBorder="1"/>
    <xf numFmtId="0" fontId="0" fillId="0" borderId="27" xfId="0" applyBorder="1"/>
    <xf numFmtId="0" fontId="0" fillId="0" borderId="30" xfId="0" applyBorder="1"/>
    <xf numFmtId="0" fontId="0" fillId="0" borderId="44" xfId="0" applyBorder="1"/>
    <xf numFmtId="0" fontId="0" fillId="0" borderId="45" xfId="0" applyBorder="1"/>
    <xf numFmtId="0" fontId="0" fillId="0" borderId="31" xfId="0" applyBorder="1"/>
    <xf numFmtId="0" fontId="0" fillId="0" borderId="60" xfId="0" applyBorder="1"/>
    <xf numFmtId="2" fontId="0" fillId="0" borderId="22" xfId="0" applyNumberFormat="1" applyBorder="1"/>
    <xf numFmtId="2" fontId="0" fillId="0" borderId="32" xfId="0" applyNumberFormat="1" applyBorder="1"/>
    <xf numFmtId="2" fontId="0" fillId="2" borderId="35" xfId="0" applyNumberFormat="1" applyFill="1" applyBorder="1"/>
    <xf numFmtId="1" fontId="0" fillId="2" borderId="0" xfId="0" applyNumberFormat="1" applyFill="1" applyBorder="1"/>
    <xf numFmtId="1" fontId="0" fillId="2" borderId="52" xfId="0" applyNumberFormat="1" applyFill="1" applyBorder="1"/>
    <xf numFmtId="0" fontId="0" fillId="6" borderId="10" xfId="0" applyFill="1" applyBorder="1"/>
    <xf numFmtId="0" fontId="0" fillId="6" borderId="16" xfId="0" applyFill="1" applyBorder="1"/>
    <xf numFmtId="0" fontId="2" fillId="2" borderId="52" xfId="0" applyFont="1" applyFill="1" applyBorder="1"/>
    <xf numFmtId="0" fontId="2" fillId="2" borderId="34" xfId="0" applyFont="1" applyFill="1" applyBorder="1"/>
    <xf numFmtId="2" fontId="2" fillId="2" borderId="35" xfId="0" applyNumberFormat="1" applyFont="1" applyFill="1" applyBorder="1"/>
    <xf numFmtId="2" fontId="2" fillId="2" borderId="34" xfId="0" applyNumberFormat="1" applyFont="1" applyFill="1" applyBorder="1"/>
    <xf numFmtId="1" fontId="0" fillId="2" borderId="35" xfId="0" applyNumberFormat="1" applyFill="1" applyBorder="1"/>
    <xf numFmtId="1" fontId="0" fillId="2" borderId="34" xfId="0" applyNumberFormat="1" applyFill="1" applyBorder="1"/>
    <xf numFmtId="1" fontId="0" fillId="2" borderId="0" xfId="1" applyNumberFormat="1" applyFont="1" applyFill="1" applyBorder="1"/>
    <xf numFmtId="1" fontId="0" fillId="2" borderId="52" xfId="1" applyNumberFormat="1" applyFont="1" applyFill="1" applyBorder="1"/>
    <xf numFmtId="166" fontId="0" fillId="2" borderId="52" xfId="1" applyNumberFormat="1" applyFont="1" applyFill="1" applyBorder="1"/>
    <xf numFmtId="0" fontId="0" fillId="9" borderId="0" xfId="0" applyFill="1" applyBorder="1"/>
    <xf numFmtId="10" fontId="0" fillId="9" borderId="0" xfId="1" applyNumberFormat="1" applyFont="1" applyFill="1" applyBorder="1"/>
    <xf numFmtId="0" fontId="0" fillId="9" borderId="29" xfId="0" applyFill="1" applyBorder="1"/>
    <xf numFmtId="0" fontId="0" fillId="9" borderId="58" xfId="0" applyFill="1" applyBorder="1"/>
    <xf numFmtId="0" fontId="0" fillId="9" borderId="30" xfId="0" applyFill="1" applyBorder="1"/>
    <xf numFmtId="0" fontId="31" fillId="27" borderId="26" xfId="0" applyFont="1" applyFill="1" applyBorder="1"/>
    <xf numFmtId="4" fontId="0" fillId="2" borderId="0" xfId="0" applyNumberFormat="1" applyFill="1" applyBorder="1"/>
    <xf numFmtId="173" fontId="0" fillId="2" borderId="0" xfId="0" applyNumberFormat="1" applyFill="1" applyBorder="1"/>
    <xf numFmtId="172" fontId="0" fillId="2" borderId="0" xfId="0" applyNumberFormat="1" applyFill="1" applyBorder="1"/>
    <xf numFmtId="173" fontId="0" fillId="2" borderId="52" xfId="0" applyNumberFormat="1" applyFill="1" applyBorder="1"/>
    <xf numFmtId="172" fontId="0" fillId="2" borderId="52" xfId="0" applyNumberFormat="1" applyFill="1" applyBorder="1"/>
    <xf numFmtId="0" fontId="31" fillId="27" borderId="64" xfId="0" applyFont="1" applyFill="1" applyBorder="1"/>
    <xf numFmtId="0" fontId="0" fillId="2" borderId="52" xfId="0" applyFont="1" applyFill="1" applyBorder="1"/>
    <xf numFmtId="2" fontId="2" fillId="2" borderId="0" xfId="0" applyNumberFormat="1" applyFont="1" applyFill="1" applyBorder="1"/>
    <xf numFmtId="10" fontId="0" fillId="2" borderId="54" xfId="1" applyNumberFormat="1" applyFont="1" applyFill="1" applyBorder="1"/>
    <xf numFmtId="9" fontId="0" fillId="2" borderId="0" xfId="1" applyFont="1" applyFill="1" applyBorder="1"/>
    <xf numFmtId="0" fontId="31" fillId="2" borderId="52" xfId="0" applyFont="1" applyFill="1" applyBorder="1"/>
    <xf numFmtId="0" fontId="0" fillId="2" borderId="34" xfId="0" applyFont="1" applyFill="1" applyBorder="1"/>
    <xf numFmtId="9" fontId="0" fillId="2" borderId="35" xfId="1" applyNumberFormat="1" applyFont="1" applyFill="1" applyBorder="1"/>
    <xf numFmtId="2" fontId="0" fillId="2" borderId="52" xfId="0" applyNumberFormat="1" applyFill="1" applyBorder="1"/>
    <xf numFmtId="9" fontId="0" fillId="2" borderId="52" xfId="1" applyFont="1" applyFill="1" applyBorder="1"/>
    <xf numFmtId="9" fontId="0" fillId="2" borderId="34" xfId="1" applyNumberFormat="1" applyFont="1" applyFill="1" applyBorder="1"/>
    <xf numFmtId="2" fontId="2" fillId="6" borderId="0" xfId="0" applyNumberFormat="1" applyFont="1" applyFill="1" applyBorder="1"/>
    <xf numFmtId="0" fontId="0" fillId="2" borderId="28" xfId="0" applyFill="1" applyBorder="1"/>
    <xf numFmtId="10" fontId="0" fillId="2" borderId="30" xfId="1" applyNumberFormat="1" applyFont="1" applyFill="1" applyBorder="1"/>
    <xf numFmtId="10" fontId="0" fillId="2" borderId="22" xfId="0" applyNumberFormat="1" applyFill="1" applyBorder="1"/>
    <xf numFmtId="10" fontId="0" fillId="2" borderId="30" xfId="0" applyNumberFormat="1" applyFill="1" applyBorder="1"/>
    <xf numFmtId="10" fontId="0" fillId="2" borderId="32" xfId="0" applyNumberFormat="1" applyFill="1" applyBorder="1"/>
    <xf numFmtId="0" fontId="31" fillId="27" borderId="65" xfId="0" applyFont="1" applyFill="1" applyBorder="1"/>
    <xf numFmtId="0" fontId="0" fillId="2" borderId="66" xfId="0" applyFill="1" applyBorder="1"/>
    <xf numFmtId="168" fontId="43" fillId="2" borderId="66" xfId="0" applyNumberFormat="1" applyFont="1" applyFill="1" applyBorder="1"/>
    <xf numFmtId="2" fontId="2" fillId="2" borderId="52" xfId="0" applyNumberFormat="1" applyFont="1" applyFill="1" applyBorder="1"/>
    <xf numFmtId="10" fontId="0" fillId="2" borderId="34" xfId="1" applyNumberFormat="1" applyFont="1" applyFill="1" applyBorder="1"/>
    <xf numFmtId="2" fontId="0" fillId="2" borderId="34" xfId="0" applyNumberFormat="1" applyFill="1" applyBorder="1"/>
    <xf numFmtId="174" fontId="0" fillId="2" borderId="0" xfId="0" applyNumberFormat="1" applyFill="1" applyBorder="1"/>
    <xf numFmtId="0" fontId="0" fillId="6" borderId="65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27" xfId="0" applyFill="1" applyBorder="1"/>
    <xf numFmtId="0" fontId="2" fillId="2" borderId="7" xfId="0" applyFont="1" applyFill="1" applyBorder="1"/>
    <xf numFmtId="1" fontId="2" fillId="2" borderId="7" xfId="0" applyNumberFormat="1" applyFont="1" applyFill="1" applyBorder="1"/>
    <xf numFmtId="1" fontId="2" fillId="2" borderId="0" xfId="0" applyNumberFormat="1" applyFont="1" applyFill="1" applyBorder="1"/>
    <xf numFmtId="1" fontId="2" fillId="2" borderId="52" xfId="0" applyNumberFormat="1" applyFont="1" applyFill="1" applyBorder="1"/>
    <xf numFmtId="167" fontId="0" fillId="2" borderId="0" xfId="0" applyNumberFormat="1" applyFill="1" applyBorder="1"/>
    <xf numFmtId="167" fontId="0" fillId="2" borderId="52" xfId="0" applyNumberFormat="1" applyFill="1" applyBorder="1"/>
    <xf numFmtId="174" fontId="0" fillId="2" borderId="52" xfId="0" applyNumberFormat="1" applyFill="1" applyBorder="1"/>
    <xf numFmtId="1" fontId="2" fillId="2" borderId="35" xfId="0" applyNumberFormat="1" applyFont="1" applyFill="1" applyBorder="1"/>
    <xf numFmtId="1" fontId="0" fillId="2" borderId="0" xfId="1" applyNumberFormat="1" applyFont="1" applyFill="1"/>
    <xf numFmtId="1" fontId="0" fillId="2" borderId="35" xfId="1" applyNumberFormat="1" applyFont="1" applyFill="1" applyBorder="1"/>
    <xf numFmtId="1" fontId="0" fillId="2" borderId="34" xfId="1" applyNumberFormat="1" applyFont="1" applyFill="1" applyBorder="1"/>
    <xf numFmtId="10" fontId="0" fillId="2" borderId="52" xfId="0" applyNumberFormat="1" applyFill="1" applyBorder="1"/>
    <xf numFmtId="2" fontId="0" fillId="28" borderId="34" xfId="0" applyNumberFormat="1" applyFill="1" applyBorder="1"/>
    <xf numFmtId="2" fontId="2" fillId="28" borderId="52" xfId="0" applyNumberFormat="1" applyFont="1" applyFill="1" applyBorder="1"/>
    <xf numFmtId="0" fontId="2" fillId="6" borderId="14" xfId="0" applyFont="1" applyFill="1" applyBorder="1"/>
    <xf numFmtId="0" fontId="31" fillId="5" borderId="26" xfId="0" applyFont="1" applyFill="1" applyBorder="1"/>
    <xf numFmtId="0" fontId="31" fillId="5" borderId="64" xfId="0" applyFont="1" applyFill="1" applyBorder="1"/>
    <xf numFmtId="0" fontId="44" fillId="2" borderId="66" xfId="0" applyFont="1" applyFill="1" applyBorder="1"/>
    <xf numFmtId="0" fontId="44" fillId="2" borderId="70" xfId="0" applyFont="1" applyFill="1" applyBorder="1"/>
    <xf numFmtId="0" fontId="0" fillId="2" borderId="39" xfId="0" applyFill="1" applyBorder="1"/>
    <xf numFmtId="9" fontId="0" fillId="2" borderId="35" xfId="0" applyNumberFormat="1" applyFill="1" applyBorder="1"/>
    <xf numFmtId="9" fontId="0" fillId="2" borderId="0" xfId="0" applyNumberFormat="1" applyFill="1" applyBorder="1"/>
    <xf numFmtId="10" fontId="0" fillId="9" borderId="30" xfId="1" applyNumberFormat="1" applyFont="1" applyFill="1" applyBorder="1"/>
    <xf numFmtId="1" fontId="0" fillId="2" borderId="30" xfId="1" applyNumberFormat="1" applyFont="1" applyFill="1" applyBorder="1"/>
    <xf numFmtId="10" fontId="0" fillId="2" borderId="45" xfId="1" applyNumberFormat="1" applyFont="1" applyFill="1" applyBorder="1"/>
    <xf numFmtId="2" fontId="0" fillId="2" borderId="22" xfId="0" applyNumberFormat="1" applyFill="1" applyBorder="1"/>
    <xf numFmtId="2" fontId="0" fillId="2" borderId="32" xfId="0" applyNumberFormat="1" applyFill="1" applyBorder="1"/>
    <xf numFmtId="10" fontId="0" fillId="2" borderId="22" xfId="1" applyNumberFormat="1" applyFont="1" applyFill="1" applyBorder="1"/>
    <xf numFmtId="167" fontId="0" fillId="2" borderId="35" xfId="0" applyNumberFormat="1" applyFill="1" applyBorder="1"/>
    <xf numFmtId="2" fontId="0" fillId="2" borderId="36" xfId="0" applyNumberFormat="1" applyFill="1" applyBorder="1"/>
    <xf numFmtId="1" fontId="2" fillId="2" borderId="34" xfId="0" applyNumberFormat="1" applyFont="1" applyFill="1" applyBorder="1"/>
    <xf numFmtId="10" fontId="0" fillId="2" borderId="32" xfId="1" applyNumberFormat="1" applyFont="1" applyFill="1" applyBorder="1"/>
    <xf numFmtId="0" fontId="31" fillId="24" borderId="64" xfId="0" applyFont="1" applyFill="1" applyBorder="1"/>
    <xf numFmtId="2" fontId="0" fillId="2" borderId="16" xfId="0" applyNumberFormat="1" applyFill="1" applyBorder="1"/>
    <xf numFmtId="0" fontId="0" fillId="2" borderId="33" xfId="0" applyFill="1" applyBorder="1"/>
    <xf numFmtId="10" fontId="0" fillId="2" borderId="21" xfId="1" applyNumberFormat="1" applyFont="1" applyFill="1" applyBorder="1"/>
    <xf numFmtId="10" fontId="31" fillId="18" borderId="43" xfId="0" applyNumberFormat="1" applyFont="1" applyFill="1" applyBorder="1"/>
    <xf numFmtId="10" fontId="41" fillId="13" borderId="17" xfId="1" applyNumberFormat="1" applyFont="1" applyFill="1" applyBorder="1"/>
    <xf numFmtId="2" fontId="0" fillId="2" borderId="45" xfId="0" applyNumberFormat="1" applyFill="1" applyBorder="1"/>
    <xf numFmtId="2" fontId="0" fillId="2" borderId="45" xfId="2" applyNumberFormat="1" applyFont="1" applyFill="1" applyBorder="1"/>
    <xf numFmtId="9" fontId="0" fillId="2" borderId="34" xfId="0" applyNumberFormat="1" applyFill="1" applyBorder="1"/>
    <xf numFmtId="10" fontId="0" fillId="2" borderId="34" xfId="0" applyNumberFormat="1" applyFill="1" applyBorder="1"/>
    <xf numFmtId="2" fontId="0" fillId="2" borderId="54" xfId="0" applyNumberFormat="1" applyFill="1" applyBorder="1"/>
    <xf numFmtId="1" fontId="0" fillId="2" borderId="0" xfId="0" applyNumberFormat="1" applyFill="1"/>
    <xf numFmtId="172" fontId="0" fillId="2" borderId="0" xfId="1" applyNumberFormat="1" applyFont="1" applyFill="1" applyBorder="1"/>
    <xf numFmtId="172" fontId="0" fillId="2" borderId="52" xfId="1" applyNumberFormat="1" applyFont="1" applyFill="1" applyBorder="1"/>
    <xf numFmtId="0" fontId="2" fillId="2" borderId="58" xfId="0" applyFont="1" applyFill="1" applyBorder="1"/>
    <xf numFmtId="2" fontId="2" fillId="2" borderId="0" xfId="0" applyNumberFormat="1" applyFont="1" applyFill="1"/>
    <xf numFmtId="1" fontId="2" fillId="2" borderId="58" xfId="0" applyNumberFormat="1" applyFont="1" applyFill="1" applyBorder="1"/>
    <xf numFmtId="167" fontId="0" fillId="2" borderId="54" xfId="0" applyNumberFormat="1" applyFill="1" applyBorder="1"/>
    <xf numFmtId="0" fontId="31" fillId="29" borderId="0" xfId="0" applyFont="1" applyFill="1"/>
    <xf numFmtId="0" fontId="0" fillId="29" borderId="0" xfId="0" applyFill="1"/>
    <xf numFmtId="10" fontId="0" fillId="2" borderId="10" xfId="0" applyNumberFormat="1" applyFill="1" applyBorder="1"/>
    <xf numFmtId="0" fontId="31" fillId="13" borderId="20" xfId="0" applyFont="1" applyFill="1" applyBorder="1"/>
    <xf numFmtId="0" fontId="31" fillId="18" borderId="20" xfId="0" applyFont="1" applyFill="1" applyBorder="1"/>
    <xf numFmtId="10" fontId="41" fillId="18" borderId="30" xfId="1" applyNumberFormat="1" applyFont="1" applyFill="1" applyBorder="1"/>
    <xf numFmtId="10" fontId="41" fillId="13" borderId="30" xfId="1" applyNumberFormat="1" applyFont="1" applyFill="1" applyBorder="1"/>
    <xf numFmtId="2" fontId="0" fillId="2" borderId="30" xfId="0" applyNumberFormat="1" applyFill="1" applyBorder="1"/>
    <xf numFmtId="175" fontId="0" fillId="2" borderId="0" xfId="1" applyNumberFormat="1" applyFont="1" applyFill="1" applyBorder="1"/>
    <xf numFmtId="175" fontId="0" fillId="2" borderId="52" xfId="1" applyNumberFormat="1" applyFont="1" applyFill="1" applyBorder="1"/>
    <xf numFmtId="0" fontId="20" fillId="8" borderId="0" xfId="0" applyFont="1" applyFill="1" applyBorder="1" applyAlignment="1">
      <alignment horizontal="center"/>
    </xf>
    <xf numFmtId="0" fontId="20" fillId="14" borderId="0" xfId="0" applyFont="1" applyFill="1" applyBorder="1" applyAlignment="1">
      <alignment horizontal="center"/>
    </xf>
    <xf numFmtId="0" fontId="20" fillId="14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3" fillId="14" borderId="0" xfId="0" applyFont="1" applyFill="1" applyBorder="1" applyAlignment="1">
      <alignment horizontal="center"/>
    </xf>
    <xf numFmtId="0" fontId="23" fillId="14" borderId="3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3" fillId="8" borderId="30" xfId="0" applyFont="1" applyFill="1" applyBorder="1" applyAlignment="1">
      <alignment horizontal="center"/>
    </xf>
    <xf numFmtId="2" fontId="0" fillId="2" borderId="58" xfId="0" applyNumberFormat="1" applyFill="1" applyBorder="1"/>
    <xf numFmtId="0" fontId="44" fillId="2" borderId="0" xfId="0" applyFont="1" applyFill="1" applyBorder="1"/>
    <xf numFmtId="168" fontId="42" fillId="2" borderId="0" xfId="0" applyNumberFormat="1" applyFont="1" applyFill="1" applyBorder="1"/>
    <xf numFmtId="168" fontId="2" fillId="2" borderId="0" xfId="0" applyNumberFormat="1" applyFont="1" applyFill="1" applyBorder="1"/>
    <xf numFmtId="10" fontId="2" fillId="2" borderId="0" xfId="0" applyNumberFormat="1" applyFont="1" applyFill="1" applyBorder="1"/>
    <xf numFmtId="167" fontId="0" fillId="2" borderId="0" xfId="1" applyNumberFormat="1" applyFont="1" applyFill="1" applyBorder="1"/>
    <xf numFmtId="172" fontId="0" fillId="2" borderId="30" xfId="0" applyNumberFormat="1" applyFill="1" applyBorder="1"/>
    <xf numFmtId="171" fontId="0" fillId="2" borderId="52" xfId="1" applyNumberFormat="1" applyFont="1" applyFill="1" applyBorder="1"/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9</xdr:row>
      <xdr:rowOff>106680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211580"/>
          <a:ext cx="323850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28</xdr:row>
      <xdr:rowOff>129540</xdr:rowOff>
    </xdr:from>
    <xdr:to>
      <xdr:col>11</xdr:col>
      <xdr:colOff>65616</xdr:colOff>
      <xdr:row>32</xdr:row>
      <xdr:rowOff>13123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5AC9C0F-1F8A-496E-87FF-D9041337C47E}"/>
            </a:ext>
          </a:extLst>
        </xdr:cNvPr>
        <xdr:cNvSpPr txBox="1"/>
      </xdr:nvSpPr>
      <xdr:spPr>
        <a:xfrm>
          <a:off x="9555480" y="5509260"/>
          <a:ext cx="2336376" cy="615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7</xdr:col>
      <xdr:colOff>259080</xdr:colOff>
      <xdr:row>45</xdr:row>
      <xdr:rowOff>0</xdr:rowOff>
    </xdr:from>
    <xdr:to>
      <xdr:col>11</xdr:col>
      <xdr:colOff>157056</xdr:colOff>
      <xdr:row>50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6445F0D-30E0-4FD7-972F-C68AD2B97E42}"/>
            </a:ext>
          </a:extLst>
        </xdr:cNvPr>
        <xdr:cNvSpPr txBox="1"/>
      </xdr:nvSpPr>
      <xdr:spPr>
        <a:xfrm>
          <a:off x="9646920" y="8488680"/>
          <a:ext cx="2336376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</a:t>
          </a:r>
          <a:r>
            <a:rPr lang="it-IT" sz="1100" baseline="0">
              <a:solidFill>
                <a:srgbClr val="002060"/>
              </a:solidFill>
            </a:rPr>
            <a:t>e, this is Net debt computation according to Consob rules, different from what we computed in Overviews. We find more realistic that way of computation. 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327660</xdr:colOff>
      <xdr:row>126</xdr:row>
      <xdr:rowOff>45720</xdr:rowOff>
    </xdr:from>
    <xdr:to>
      <xdr:col>11</xdr:col>
      <xdr:colOff>228600</xdr:colOff>
      <xdr:row>128</xdr:row>
      <xdr:rowOff>152400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DAC2FFD-E500-445B-AD8C-09107F89B5A4}"/>
            </a:ext>
          </a:extLst>
        </xdr:cNvPr>
        <xdr:cNvSpPr txBox="1"/>
      </xdr:nvSpPr>
      <xdr:spPr>
        <a:xfrm>
          <a:off x="8869680" y="23637240"/>
          <a:ext cx="32385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434340</xdr:colOff>
      <xdr:row>139</xdr:row>
      <xdr:rowOff>160020</xdr:rowOff>
    </xdr:from>
    <xdr:to>
      <xdr:col>11</xdr:col>
      <xdr:colOff>230505</xdr:colOff>
      <xdr:row>143</xdr:row>
      <xdr:rowOff>15240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FB124CE-457E-4EB2-915B-4215870865A6}"/>
            </a:ext>
          </a:extLst>
        </xdr:cNvPr>
        <xdr:cNvSpPr txBox="1"/>
      </xdr:nvSpPr>
      <xdr:spPr>
        <a:xfrm>
          <a:off x="8976360" y="26128980"/>
          <a:ext cx="3133725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426720</xdr:colOff>
      <xdr:row>158</xdr:row>
      <xdr:rowOff>60960</xdr:rowOff>
    </xdr:from>
    <xdr:to>
      <xdr:col>11</xdr:col>
      <xdr:colOff>30480</xdr:colOff>
      <xdr:row>161</xdr:row>
      <xdr:rowOff>137160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2E7FE1D2-0A15-4597-B7DB-F1051FB420F7}"/>
            </a:ext>
          </a:extLst>
        </xdr:cNvPr>
        <xdr:cNvSpPr txBox="1"/>
      </xdr:nvSpPr>
      <xdr:spPr>
        <a:xfrm>
          <a:off x="8968740" y="29504640"/>
          <a:ext cx="29413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</a:t>
          </a:r>
          <a:r>
            <a:rPr lang="it-IT" sz="1100" baseline="0"/>
            <a:t> value comes from modification In BS net debt side (according to Consob) 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95250</xdr:rowOff>
    </xdr:from>
    <xdr:to>
      <xdr:col>4</xdr:col>
      <xdr:colOff>108585</xdr:colOff>
      <xdr:row>29</xdr:row>
      <xdr:rowOff>9525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BAE75B0-FDA7-4AFE-93CC-85EA8B3008DE}"/>
            </a:ext>
          </a:extLst>
        </xdr:cNvPr>
        <xdr:cNvSpPr txBox="1"/>
      </xdr:nvSpPr>
      <xdr:spPr>
        <a:xfrm>
          <a:off x="9525" y="2828925"/>
          <a:ext cx="4442460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declared to augment DPS at least for 5% each year until 2024. </a:t>
          </a:r>
        </a:p>
        <a:p>
          <a:endParaRPr lang="it-IT" sz="1100" baseline="0"/>
        </a:p>
        <a:p>
          <a:r>
            <a:rPr lang="it-IT" sz="1100" baseline="0"/>
            <a:t>Strict assumptions : </a:t>
          </a:r>
        </a:p>
        <a:p>
          <a:endParaRPr lang="it-IT" sz="1100" baseline="0"/>
        </a:p>
        <a:p>
          <a:r>
            <a:rPr lang="it-IT" sz="1100" baseline="0"/>
            <a:t>1) I have decided to remain conservative about future dividend growth rate using minimum values A2a has disclosed. </a:t>
          </a:r>
        </a:p>
        <a:p>
          <a:endParaRPr lang="it-IT" sz="1100" baseline="0"/>
        </a:p>
        <a:p>
          <a:r>
            <a:rPr lang="it-IT" sz="1100"/>
            <a:t>2) I have decided to use cost of equity computed according analytical decomposition (without</a:t>
          </a:r>
          <a:r>
            <a:rPr lang="it-IT" sz="1100" baseline="0"/>
            <a:t> Damodaran's dataset). </a:t>
          </a:r>
        </a:p>
        <a:p>
          <a:endParaRPr lang="it-IT" sz="1100" baseline="0"/>
        </a:p>
        <a:p>
          <a:r>
            <a:rPr lang="it-IT" sz="1100" baseline="0"/>
            <a:t>3)  For what about stable growth period I have decided to reduce levered beta of company to global sector averages ( from 0,87 to 0,65). </a:t>
          </a:r>
        </a:p>
        <a:p>
          <a:endParaRPr lang="it-IT" sz="1100"/>
        </a:p>
      </xdr:txBody>
    </xdr:sp>
    <xdr:clientData/>
  </xdr:twoCellAnchor>
  <xdr:twoCellAnchor>
    <xdr:from>
      <xdr:col>23</xdr:col>
      <xdr:colOff>104776</xdr:colOff>
      <xdr:row>186</xdr:row>
      <xdr:rowOff>32657</xdr:rowOff>
    </xdr:from>
    <xdr:to>
      <xdr:col>26</xdr:col>
      <xdr:colOff>28576</xdr:colOff>
      <xdr:row>205</xdr:row>
      <xdr:rowOff>97970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1B28362A-1A6B-4E6B-9C3C-64C452B7BACC}"/>
            </a:ext>
          </a:extLst>
        </xdr:cNvPr>
        <xdr:cNvSpPr txBox="1"/>
      </xdr:nvSpPr>
      <xdr:spPr>
        <a:xfrm>
          <a:off x="17195347" y="6934200"/>
          <a:ext cx="1752600" cy="3581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has disclosed the target for EBITDA in 2023 of 1531. </a:t>
          </a:r>
        </a:p>
        <a:p>
          <a:r>
            <a:rPr lang="it-IT" sz="1100" baseline="0"/>
            <a:t>We decide to use an average growth in order to get it.</a:t>
          </a:r>
        </a:p>
        <a:p>
          <a:r>
            <a:rPr lang="it-IT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Thanks to the average % of ortinary Ebitda to Ebitda recurring we got this last.</a:t>
          </a:r>
        </a:p>
        <a:p>
          <a:endParaRPr lang="it-IT" sz="1100" baseline="0"/>
        </a:p>
        <a:p>
          <a:r>
            <a:rPr lang="it-IT" sz="1100"/>
            <a:t>Then,thanks</a:t>
          </a:r>
          <a:r>
            <a:rPr lang="it-IT" sz="1100" baseline="0"/>
            <a:t> to average EBITDA margin we get forecasts for Revenues. </a:t>
          </a:r>
        </a:p>
        <a:p>
          <a:r>
            <a:rPr lang="it-IT" sz="1100"/>
            <a:t>Notice:</a:t>
          </a:r>
          <a:r>
            <a:rPr lang="it-IT" sz="1100" baseline="0"/>
            <a:t> according to the dimensional logic we decide to start from a lower EBITDA margin (16,85%) and then enlarge it until the mean of past 5 years</a:t>
          </a:r>
          <a:endParaRPr lang="it-IT" sz="1100"/>
        </a:p>
      </xdr:txBody>
    </xdr:sp>
    <xdr:clientData/>
  </xdr:twoCellAnchor>
  <xdr:oneCellAnchor>
    <xdr:from>
      <xdr:col>11</xdr:col>
      <xdr:colOff>676275</xdr:colOff>
      <xdr:row>194</xdr:row>
      <xdr:rowOff>152400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CFC48B5-7EBD-41CB-B8AE-2817EE877509}"/>
            </a:ext>
          </a:extLst>
        </xdr:cNvPr>
        <xdr:cNvSpPr txBox="1"/>
      </xdr:nvSpPr>
      <xdr:spPr>
        <a:xfrm>
          <a:off x="8439150" y="832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23</xdr:col>
      <xdr:colOff>137433</xdr:colOff>
      <xdr:row>205</xdr:row>
      <xdr:rowOff>48984</xdr:rowOff>
    </xdr:from>
    <xdr:to>
      <xdr:col>26</xdr:col>
      <xdr:colOff>70758</xdr:colOff>
      <xdr:row>207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66B62A8-4280-4280-B2A8-6A056F9ACA50}"/>
            </a:ext>
          </a:extLst>
        </xdr:cNvPr>
        <xdr:cNvSpPr txBox="1"/>
      </xdr:nvSpPr>
      <xdr:spPr>
        <a:xfrm>
          <a:off x="18177783" y="31919634"/>
          <a:ext cx="1762125" cy="2675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</a:t>
          </a:r>
          <a:r>
            <a:rPr lang="it-IT" sz="1100" baseline="0"/>
            <a:t> to capture forecasts of operative costs we used the oeprational costs margin equal to 1 - EBITDA margin.</a:t>
          </a:r>
          <a:endParaRPr lang="it-IT" sz="1100"/>
        </a:p>
      </xdr:txBody>
    </xdr:sp>
    <xdr:clientData/>
  </xdr:twoCellAnchor>
  <xdr:twoCellAnchor>
    <xdr:from>
      <xdr:col>22</xdr:col>
      <xdr:colOff>163285</xdr:colOff>
      <xdr:row>207</xdr:row>
      <xdr:rowOff>0</xdr:rowOff>
    </xdr:from>
    <xdr:to>
      <xdr:col>25</xdr:col>
      <xdr:colOff>250371</xdr:colOff>
      <xdr:row>222</xdr:row>
      <xdr:rowOff>97971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BA5E833D-512D-4739-A960-C1ABA42142C3}"/>
            </a:ext>
          </a:extLst>
        </xdr:cNvPr>
        <xdr:cNvSpPr txBox="1"/>
      </xdr:nvSpPr>
      <xdr:spPr>
        <a:xfrm>
          <a:off x="16644256" y="20671972"/>
          <a:ext cx="1915886" cy="3254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/>
            <a:t>A2A disclosed info about </a:t>
          </a:r>
        </a:p>
        <a:p>
          <a:r>
            <a:rPr lang="it-IT" sz="1100" baseline="0"/>
            <a:t>target NI for 2023 (462) we forced our assumptions in order to maintain consistency between target EBITDA and NI. In green a possible development of NI forecasts.</a:t>
          </a:r>
        </a:p>
        <a:p>
          <a:r>
            <a:rPr lang="it-IT" sz="1100" baseline="0"/>
            <a:t>We mixed it with dividend policy's goals: for 2020 A2A declared to distribute dividends for 0,08 and increasing them at least by 5% each year. </a:t>
          </a:r>
        </a:p>
        <a:p>
          <a:r>
            <a:rPr lang="it-IT" sz="1100" baseline="0"/>
            <a:t>Thanks to this operation we can compute an appropriate payout ratio assuming outstanding shares constants. </a:t>
          </a:r>
        </a:p>
        <a:p>
          <a:r>
            <a:rPr lang="it-IT" sz="1100" baseline="0"/>
            <a:t>For 2024 we increase NI by 5% </a:t>
          </a:r>
        </a:p>
        <a:p>
          <a:endParaRPr lang="it-IT" sz="1100" baseline="0"/>
        </a:p>
      </xdr:txBody>
    </xdr:sp>
    <xdr:clientData/>
  </xdr:twoCellAnchor>
  <xdr:twoCellAnchor>
    <xdr:from>
      <xdr:col>22</xdr:col>
      <xdr:colOff>163286</xdr:colOff>
      <xdr:row>224</xdr:row>
      <xdr:rowOff>87086</xdr:rowOff>
    </xdr:from>
    <xdr:to>
      <xdr:col>25</xdr:col>
      <xdr:colOff>185057</xdr:colOff>
      <xdr:row>227</xdr:row>
      <xdr:rowOff>32657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A7CAC57C-7D32-4163-B0FB-34D61903E763}"/>
            </a:ext>
          </a:extLst>
        </xdr:cNvPr>
        <xdr:cNvSpPr txBox="1"/>
      </xdr:nvSpPr>
      <xdr:spPr>
        <a:xfrm>
          <a:off x="15544800" y="23741743"/>
          <a:ext cx="1850571" cy="511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Payments which will be</a:t>
          </a:r>
          <a:r>
            <a:rPr lang="it-IT" sz="1100" baseline="0"/>
            <a:t> due by A2A in 12 months </a:t>
          </a:r>
        </a:p>
        <a:p>
          <a:endParaRPr lang="it-IT" sz="1100"/>
        </a:p>
      </xdr:txBody>
    </xdr:sp>
    <xdr:clientData/>
  </xdr:twoCellAnchor>
  <xdr:twoCellAnchor>
    <xdr:from>
      <xdr:col>22</xdr:col>
      <xdr:colOff>239487</xdr:colOff>
      <xdr:row>227</xdr:row>
      <xdr:rowOff>152400</xdr:rowOff>
    </xdr:from>
    <xdr:to>
      <xdr:col>25</xdr:col>
      <xdr:colOff>163287</xdr:colOff>
      <xdr:row>244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AA04CC1-C86F-4A03-BFA9-25D28E18E312}"/>
            </a:ext>
          </a:extLst>
        </xdr:cNvPr>
        <xdr:cNvSpPr txBox="1"/>
      </xdr:nvSpPr>
      <xdr:spPr>
        <a:xfrm>
          <a:off x="15621001" y="24373114"/>
          <a:ext cx="1752600" cy="2993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r>
            <a:rPr lang="it-IT" sz="1100" baseline="0"/>
            <a:t>In order to get Total Debt from Net Debt we use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22</xdr:col>
      <xdr:colOff>261257</xdr:colOff>
      <xdr:row>244</xdr:row>
      <xdr:rowOff>119742</xdr:rowOff>
    </xdr:from>
    <xdr:to>
      <xdr:col>25</xdr:col>
      <xdr:colOff>185057</xdr:colOff>
      <xdr:row>264</xdr:row>
      <xdr:rowOff>152400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D7F2B13E-D641-42A3-A852-19965B7A107A}"/>
            </a:ext>
          </a:extLst>
        </xdr:cNvPr>
        <xdr:cNvSpPr txBox="1"/>
      </xdr:nvSpPr>
      <xdr:spPr>
        <a:xfrm>
          <a:off x="16742228" y="28041599"/>
          <a:ext cx="1752600" cy="3788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 to compute interests strict assumptions are</a:t>
          </a:r>
          <a:r>
            <a:rPr lang="it-IT" sz="1100" baseline="0"/>
            <a:t> made: </a:t>
          </a:r>
        </a:p>
        <a:p>
          <a:r>
            <a:rPr lang="it-IT" sz="1100" baseline="0"/>
            <a:t>1) Interest charged by banks maintained constants over time as percentage of 4 over 1015 </a:t>
          </a:r>
        </a:p>
        <a:p>
          <a:r>
            <a:rPr lang="it-IT" sz="1100" baseline="0"/>
            <a:t>2)  We use an average decomposition of bond and other financing over past 5 years </a:t>
          </a:r>
        </a:p>
        <a:p>
          <a:r>
            <a:rPr lang="it-IT" sz="1100" baseline="0"/>
            <a:t>3) Interests on bonds are computed at a decreasing rate over time (due to A2A policy) see right table. </a:t>
          </a:r>
        </a:p>
        <a:p>
          <a:r>
            <a:rPr lang="it-IT" sz="1100" baseline="0"/>
            <a:t>4) Financial items will be represented by sum of interests plus a  delta computed as percentage on EBIT  -1,116%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  <xdr:twoCellAnchor>
    <xdr:from>
      <xdr:col>27</xdr:col>
      <xdr:colOff>141514</xdr:colOff>
      <xdr:row>238</xdr:row>
      <xdr:rowOff>65313</xdr:rowOff>
    </xdr:from>
    <xdr:to>
      <xdr:col>32</xdr:col>
      <xdr:colOff>0</xdr:colOff>
      <xdr:row>244</xdr:row>
      <xdr:rowOff>97971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0200759-6FD9-4514-AD45-08DF553346F6}"/>
            </a:ext>
          </a:extLst>
        </xdr:cNvPr>
        <xdr:cNvSpPr txBox="1"/>
      </xdr:nvSpPr>
      <xdr:spPr>
        <a:xfrm>
          <a:off x="19670485" y="26321656"/>
          <a:ext cx="2906486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Additional interest is computed on new forecasted</a:t>
          </a:r>
          <a:r>
            <a:rPr lang="it-IT" sz="1100" baseline="0"/>
            <a:t> bond issues. It's given by avg of latest rates . </a:t>
          </a:r>
        </a:p>
        <a:p>
          <a:r>
            <a:rPr lang="it-IT" sz="1100" baseline="0"/>
            <a:t>Notice: This scheme doesn't represent true book value due to adj due to IFRS 16. It's a good tool to compute interest rate. </a:t>
          </a:r>
          <a:endParaRPr lang="it-IT" sz="1100"/>
        </a:p>
      </xdr:txBody>
    </xdr:sp>
    <xdr:clientData/>
  </xdr:twoCellAnchor>
  <xdr:twoCellAnchor>
    <xdr:from>
      <xdr:col>14</xdr:col>
      <xdr:colOff>400050</xdr:colOff>
      <xdr:row>32</xdr:row>
      <xdr:rowOff>9524</xdr:rowOff>
    </xdr:from>
    <xdr:to>
      <xdr:col>18</xdr:col>
      <xdr:colOff>371475</xdr:colOff>
      <xdr:row>43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B1489ED8-5F7F-42F6-9CFC-EC04D4F8186C}"/>
            </a:ext>
          </a:extLst>
        </xdr:cNvPr>
        <xdr:cNvSpPr txBox="1"/>
      </xdr:nvSpPr>
      <xdr:spPr>
        <a:xfrm>
          <a:off x="11820525" y="8762999"/>
          <a:ext cx="2924175" cy="2047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its EBITDA target for 2024 of 1626 </a:t>
          </a:r>
        </a:p>
        <a:p>
          <a:r>
            <a:rPr lang="it-IT" sz="1100" baseline="0"/>
            <a:t>I used a constant growth rate in order to reach it. </a:t>
          </a:r>
        </a:p>
        <a:p>
          <a:r>
            <a:rPr lang="it-IT" sz="1100" baseline="0"/>
            <a:t>In order to get respective sales forecast I used the average Ebitda margin from past 5 years</a:t>
          </a:r>
        </a:p>
        <a:p>
          <a:r>
            <a:rPr lang="it-IT" sz="1100" baseline="0"/>
            <a:t>as target for 2024, to reach according to a constant growth rate. </a:t>
          </a:r>
        </a:p>
        <a:p>
          <a:endParaRPr lang="it-IT" sz="1100" baseline="0"/>
        </a:p>
        <a:p>
          <a:r>
            <a:rPr lang="it-IT" sz="1100" baseline="0"/>
            <a:t>For what about operational costs I used averages of percentages over sales as represented in the right side.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361950</xdr:colOff>
      <xdr:row>56</xdr:row>
      <xdr:rowOff>66675</xdr:rowOff>
    </xdr:from>
    <xdr:to>
      <xdr:col>18</xdr:col>
      <xdr:colOff>523875</xdr:colOff>
      <xdr:row>78</xdr:row>
      <xdr:rowOff>152400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61208257-C8FB-4DFE-85C5-208939E9916B}"/>
            </a:ext>
          </a:extLst>
        </xdr:cNvPr>
        <xdr:cNvSpPr txBox="1"/>
      </xdr:nvSpPr>
      <xdr:spPr>
        <a:xfrm>
          <a:off x="12553950" y="13192125"/>
          <a:ext cx="3114675" cy="409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a cumulative capex target for 2024 of 4476. </a:t>
          </a:r>
        </a:p>
        <a:p>
          <a:r>
            <a:rPr lang="it-IT" sz="1100" baseline="0"/>
            <a:t>I simply considered cumulative capex, divided by cumulative sales (in order to better distribute capital expenditures) and assigned it according to each year sales.  Computations in right-side table. </a:t>
          </a:r>
        </a:p>
        <a:p>
          <a:endParaRPr lang="it-IT" sz="1100" baseline="0"/>
        </a:p>
        <a:p>
          <a:r>
            <a:rPr lang="it-IT" sz="1100"/>
            <a:t>Then</a:t>
          </a:r>
          <a:r>
            <a:rPr lang="it-IT" sz="1100" baseline="0"/>
            <a:t>, I used the mean of past two year percentages of tangibles and intangibles over total fixed assets as references to split this value. </a:t>
          </a:r>
        </a:p>
        <a:p>
          <a:endParaRPr lang="it-IT" sz="1100" baseline="0"/>
        </a:p>
        <a:p>
          <a:r>
            <a:rPr lang="it-IT" sz="1100"/>
            <a:t>For</a:t>
          </a:r>
          <a:r>
            <a:rPr lang="it-IT" sz="1100" baseline="0"/>
            <a:t> what about D&amp;A I used averages of past two years of percentages of D&amp;A over EOP tangibles (or intangibles). </a:t>
          </a:r>
        </a:p>
        <a:p>
          <a:r>
            <a:rPr lang="it-IT" sz="1100" baseline="0"/>
            <a:t>Notice that in D&amp;A for tangibles I also have included write downs. </a:t>
          </a:r>
        </a:p>
        <a:p>
          <a:endParaRPr lang="it-IT" sz="1100"/>
        </a:p>
        <a:p>
          <a:r>
            <a:rPr lang="it-IT" sz="1100"/>
            <a:t>Accruals are computed as a constant value given by mean value of past</a:t>
          </a:r>
          <a:r>
            <a:rPr lang="it-IT" sz="1100" baseline="0"/>
            <a:t> 5 results. </a:t>
          </a:r>
        </a:p>
        <a:p>
          <a:endParaRPr lang="it-IT" sz="1100" baseline="0"/>
        </a:p>
        <a:p>
          <a:r>
            <a:rPr lang="it-IT" sz="1100" baseline="0"/>
            <a:t>Defining the evolution of tangibles and intangibles adding capex and subtracting D&amp;A we get forecasts for fixed assets.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390525</xdr:colOff>
      <xdr:row>107</xdr:row>
      <xdr:rowOff>104775</xdr:rowOff>
    </xdr:from>
    <xdr:to>
      <xdr:col>18</xdr:col>
      <xdr:colOff>209550</xdr:colOff>
      <xdr:row>114</xdr:row>
      <xdr:rowOff>171450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F0A7FE59-3FA6-4770-B83E-3A985706803F}"/>
            </a:ext>
          </a:extLst>
        </xdr:cNvPr>
        <xdr:cNvSpPr txBox="1"/>
      </xdr:nvSpPr>
      <xdr:spPr>
        <a:xfrm>
          <a:off x="11849100" y="21783675"/>
          <a:ext cx="277177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what about other items</a:t>
          </a:r>
          <a:r>
            <a:rPr lang="it-IT" sz="1100" baseline="0"/>
            <a:t> in Restated Balance Sheet I have decided to maintian them constant over time due to unpredictability of them. </a:t>
          </a:r>
        </a:p>
        <a:p>
          <a:r>
            <a:rPr lang="it-IT" sz="1100" baseline="0"/>
            <a:t>This of course according to the logic that Employee benefits should tend to zero in the long term . </a:t>
          </a:r>
        </a:p>
        <a:p>
          <a:endParaRPr lang="it-IT" sz="1100" baseline="0"/>
        </a:p>
      </xdr:txBody>
    </xdr:sp>
    <xdr:clientData/>
  </xdr:twoCellAnchor>
  <xdr:twoCellAnchor>
    <xdr:from>
      <xdr:col>14</xdr:col>
      <xdr:colOff>409575</xdr:colOff>
      <xdr:row>102</xdr:row>
      <xdr:rowOff>47625</xdr:rowOff>
    </xdr:from>
    <xdr:to>
      <xdr:col>17</xdr:col>
      <xdr:colOff>47625</xdr:colOff>
      <xdr:row>107</xdr:row>
      <xdr:rowOff>19050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B35620D1-17A7-4983-A09D-E40C51821B6B}"/>
            </a:ext>
          </a:extLst>
        </xdr:cNvPr>
        <xdr:cNvSpPr txBox="1"/>
      </xdr:nvSpPr>
      <xdr:spPr>
        <a:xfrm>
          <a:off x="11868150" y="20821650"/>
          <a:ext cx="1981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</a:t>
          </a:r>
          <a:r>
            <a:rPr lang="it-IT" sz="1100" baseline="0"/>
            <a:t> Net Working Capital I took mean of past two NWC/sales and used constantly over time to forecast it for the future.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381000</xdr:colOff>
      <xdr:row>121</xdr:row>
      <xdr:rowOff>57150</xdr:rowOff>
    </xdr:from>
    <xdr:to>
      <xdr:col>18</xdr:col>
      <xdr:colOff>190500</xdr:colOff>
      <xdr:row>132</xdr:row>
      <xdr:rowOff>47625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97DA88FF-D615-4D2A-9778-9E5B5F543680}"/>
            </a:ext>
          </a:extLst>
        </xdr:cNvPr>
        <xdr:cNvSpPr txBox="1"/>
      </xdr:nvSpPr>
      <xdr:spPr>
        <a:xfrm>
          <a:off x="11839575" y="24307800"/>
          <a:ext cx="27622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endParaRPr lang="it-IT" sz="1100" baseline="0"/>
        </a:p>
        <a:p>
          <a:r>
            <a:rPr lang="it-IT" sz="1100" baseline="0"/>
            <a:t>In order to get Total Debt from Net Debt I used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115</xdr:row>
      <xdr:rowOff>76201</xdr:rowOff>
    </xdr:from>
    <xdr:to>
      <xdr:col>18</xdr:col>
      <xdr:colOff>266700</xdr:colOff>
      <xdr:row>120</xdr:row>
      <xdr:rowOff>142876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CF10C063-E796-46F2-958E-069787FE7843}"/>
            </a:ext>
          </a:extLst>
        </xdr:cNvPr>
        <xdr:cNvSpPr txBox="1"/>
      </xdr:nvSpPr>
      <xdr:spPr>
        <a:xfrm>
          <a:off x="11839575" y="23221951"/>
          <a:ext cx="283845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 took information from A2A</a:t>
          </a:r>
          <a:r>
            <a:rPr lang="it-IT" sz="1100" baseline="0"/>
            <a:t> Debt composition about percentages of Bond over total debt and future debt short term financial debt directly correlated with future debt repayments. 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132</xdr:row>
      <xdr:rowOff>104776</xdr:rowOff>
    </xdr:from>
    <xdr:to>
      <xdr:col>18</xdr:col>
      <xdr:colOff>228600</xdr:colOff>
      <xdr:row>136</xdr:row>
      <xdr:rowOff>142875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850B9E8E-E1F9-4797-AA61-0BA89F97D416}"/>
            </a:ext>
          </a:extLst>
        </xdr:cNvPr>
        <xdr:cNvSpPr txBox="1"/>
      </xdr:nvSpPr>
      <xdr:spPr>
        <a:xfrm>
          <a:off x="11839575" y="26346151"/>
          <a:ext cx="2800350" cy="781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Due to the fact</a:t>
          </a:r>
          <a:r>
            <a:rPr lang="it-IT" sz="1100" baseline="0"/>
            <a:t> I assumed the total debt to be a certain multiple of NFP I can easily compute future debt issues given debt repayment schedule. </a:t>
          </a:r>
          <a:endParaRPr lang="it-IT" sz="1100"/>
        </a:p>
      </xdr:txBody>
    </xdr:sp>
    <xdr:clientData/>
  </xdr:twoCellAnchor>
  <xdr:twoCellAnchor>
    <xdr:from>
      <xdr:col>13</xdr:col>
      <xdr:colOff>161925</xdr:colOff>
      <xdr:row>126</xdr:row>
      <xdr:rowOff>38101</xdr:rowOff>
    </xdr:from>
    <xdr:to>
      <xdr:col>13</xdr:col>
      <xdr:colOff>171450</xdr:colOff>
      <xdr:row>131</xdr:row>
      <xdr:rowOff>0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2B66D9A4-2206-47CD-A4F2-EC5442D6CF07}"/>
            </a:ext>
          </a:extLst>
        </xdr:cNvPr>
        <xdr:cNvCxnSpPr/>
      </xdr:nvCxnSpPr>
      <xdr:spPr>
        <a:xfrm flipH="1" flipV="1">
          <a:off x="11010900" y="25193626"/>
          <a:ext cx="9525" cy="866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238125</xdr:colOff>
      <xdr:row>142</xdr:row>
      <xdr:rowOff>95250</xdr:rowOff>
    </xdr:from>
    <xdr:ext cx="184731" cy="264560"/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B7450D17-B023-4155-8B16-D1D7E3B280AA}"/>
            </a:ext>
          </a:extLst>
        </xdr:cNvPr>
        <xdr:cNvSpPr txBox="1"/>
      </xdr:nvSpPr>
      <xdr:spPr>
        <a:xfrm>
          <a:off x="12563475" y="2817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14</xdr:col>
      <xdr:colOff>428625</xdr:colOff>
      <xdr:row>137</xdr:row>
      <xdr:rowOff>38100</xdr:rowOff>
    </xdr:from>
    <xdr:to>
      <xdr:col>18</xdr:col>
      <xdr:colOff>219075</xdr:colOff>
      <xdr:row>154</xdr:row>
      <xdr:rowOff>95251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1B03A793-0FF3-4561-AB30-7A1F28B3B18C}"/>
            </a:ext>
          </a:extLst>
        </xdr:cNvPr>
        <xdr:cNvSpPr txBox="1"/>
      </xdr:nvSpPr>
      <xdr:spPr>
        <a:xfrm>
          <a:off x="12439650" y="27212925"/>
          <a:ext cx="2743200" cy="3152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Interests assumptions</a:t>
          </a:r>
        </a:p>
        <a:p>
          <a:r>
            <a:rPr lang="it-IT" sz="1100"/>
            <a:t>For</a:t>
          </a:r>
          <a:r>
            <a:rPr lang="it-IT" sz="1100" baseline="0"/>
            <a:t> bond interests I used the following assumption: all new issues will pay at average cost of debt, therefore the average interest will tend to decrease as reported in right-side table. </a:t>
          </a:r>
        </a:p>
        <a:p>
          <a:r>
            <a:rPr lang="it-IT" sz="1100" baseline="0"/>
            <a:t>For bank interests I simply used the average interests/other financing over past 2</a:t>
          </a:r>
        </a:p>
        <a:p>
          <a:r>
            <a:rPr lang="it-IT" sz="1100" baseline="0"/>
            <a:t> years ( 0,51%) .</a:t>
          </a:r>
        </a:p>
        <a:p>
          <a:r>
            <a:rPr lang="it-IT" sz="1100" baseline="0"/>
            <a:t>Now (strict assumption) in order to get a forecast for total financial expenses I use the average Interest % of total of past two years. </a:t>
          </a:r>
        </a:p>
        <a:p>
          <a:r>
            <a:rPr lang="it-IT" sz="1100" baseline="0"/>
            <a:t>(78,60%)</a:t>
          </a:r>
        </a:p>
        <a:p>
          <a:r>
            <a:rPr lang="it-IT" sz="1100" baseline="0"/>
            <a:t>Due to unpredictability of financial balance and financial items I will consider this result as a proxy for their forecasts (no interest income and other nonr recurring results assumption). 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sheetPr codeName="Foglio1"/>
  <dimension ref="B1:V75"/>
  <sheetViews>
    <sheetView topLeftCell="A2" workbookViewId="0">
      <selection activeCell="M68" sqref="M68"/>
    </sheetView>
  </sheetViews>
  <sheetFormatPr defaultRowHeight="14.4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/>
    <row r="2" spans="2:20" ht="15" thickBot="1">
      <c r="B2" s="370" t="s">
        <v>461</v>
      </c>
      <c r="C2" s="420">
        <v>42369</v>
      </c>
      <c r="D2" s="420">
        <v>42735</v>
      </c>
      <c r="E2" s="420">
        <v>43100</v>
      </c>
      <c r="F2" s="421">
        <v>43465</v>
      </c>
      <c r="G2" s="421">
        <v>43830</v>
      </c>
      <c r="I2" s="370" t="s">
        <v>462</v>
      </c>
      <c r="J2" s="420">
        <v>42369</v>
      </c>
      <c r="K2" s="420">
        <v>42735</v>
      </c>
      <c r="L2" s="420">
        <v>43100</v>
      </c>
      <c r="M2" s="421">
        <v>43465</v>
      </c>
      <c r="N2" s="421">
        <v>43830</v>
      </c>
      <c r="P2" s="370" t="s">
        <v>463</v>
      </c>
      <c r="Q2" s="420">
        <v>42735</v>
      </c>
      <c r="R2" s="420">
        <v>43100</v>
      </c>
      <c r="S2" s="421">
        <v>43465</v>
      </c>
      <c r="T2" s="421">
        <v>43830</v>
      </c>
    </row>
    <row r="3" spans="2:20">
      <c r="B3" s="371" t="s">
        <v>464</v>
      </c>
      <c r="C3" s="374">
        <v>5067</v>
      </c>
      <c r="D3" s="374">
        <v>5129</v>
      </c>
      <c r="E3" s="374">
        <v>4606</v>
      </c>
      <c r="F3" s="374">
        <v>4620</v>
      </c>
      <c r="G3" s="379">
        <v>4869</v>
      </c>
      <c r="I3" s="402" t="s">
        <v>482</v>
      </c>
      <c r="J3" s="403">
        <v>4921</v>
      </c>
      <c r="K3" s="403">
        <v>4860</v>
      </c>
      <c r="L3" s="403">
        <v>5796</v>
      </c>
      <c r="M3" s="403">
        <v>6494</v>
      </c>
      <c r="N3" s="404">
        <v>7324</v>
      </c>
      <c r="P3" s="373" t="s">
        <v>303</v>
      </c>
      <c r="Q3" s="375">
        <v>443</v>
      </c>
      <c r="R3" s="375">
        <v>710</v>
      </c>
      <c r="S3" s="375">
        <v>588</v>
      </c>
      <c r="T3" s="392">
        <v>687</v>
      </c>
    </row>
    <row r="4" spans="2:20">
      <c r="B4" s="371" t="s">
        <v>465</v>
      </c>
      <c r="C4" s="374">
        <v>1348</v>
      </c>
      <c r="D4" s="374">
        <v>1704</v>
      </c>
      <c r="E4" s="374">
        <v>1863</v>
      </c>
      <c r="F4" s="374">
        <v>2302</v>
      </c>
      <c r="G4" s="379">
        <v>2379</v>
      </c>
      <c r="I4" s="371"/>
      <c r="J4" s="374"/>
      <c r="K4" s="374"/>
      <c r="L4" s="374"/>
      <c r="M4" s="374"/>
      <c r="N4" s="379"/>
      <c r="P4" s="371" t="s">
        <v>490</v>
      </c>
      <c r="Q4" s="374">
        <f>K16</f>
        <v>-122</v>
      </c>
      <c r="R4" s="374">
        <f t="shared" ref="R4:T4" si="0">L16</f>
        <v>-192</v>
      </c>
      <c r="S4" s="374">
        <f t="shared" si="0"/>
        <v>-157</v>
      </c>
      <c r="T4" s="379">
        <f t="shared" si="0"/>
        <v>-189</v>
      </c>
    </row>
    <row r="5" spans="2:20">
      <c r="B5" s="372" t="s">
        <v>466</v>
      </c>
      <c r="C5" s="380">
        <v>137</v>
      </c>
      <c r="D5" s="376">
        <v>136</v>
      </c>
      <c r="E5" s="376">
        <v>107</v>
      </c>
      <c r="F5" s="376">
        <v>45</v>
      </c>
      <c r="G5" s="381">
        <v>65</v>
      </c>
      <c r="I5" s="371" t="s">
        <v>483</v>
      </c>
      <c r="J5" s="374">
        <v>-3244</v>
      </c>
      <c r="K5" s="374">
        <v>-3102</v>
      </c>
      <c r="L5" s="374">
        <v>-3962</v>
      </c>
      <c r="M5" s="374">
        <v>-4598</v>
      </c>
      <c r="N5" s="379">
        <v>-5390</v>
      </c>
      <c r="P5" s="372" t="s">
        <v>491</v>
      </c>
      <c r="Q5" s="382">
        <f>-K13*(K16/K14)</f>
        <v>-39.814371257485028</v>
      </c>
      <c r="R5" s="382">
        <f t="shared" ref="R5:T5" si="1">-L13*(L16/L14)</f>
        <v>-44.666666666666664</v>
      </c>
      <c r="S5" s="382">
        <f t="shared" si="1"/>
        <v>-31.400000000000002</v>
      </c>
      <c r="T5" s="408">
        <f t="shared" si="1"/>
        <v>-34.481927710843372</v>
      </c>
    </row>
    <row r="6" spans="2:20">
      <c r="B6" s="373" t="s">
        <v>467</v>
      </c>
      <c r="C6" s="375">
        <f>SUM(C3:C5)</f>
        <v>6552</v>
      </c>
      <c r="D6" s="375">
        <f>SUM(D3:D5)</f>
        <v>6969</v>
      </c>
      <c r="E6" s="375">
        <f t="shared" ref="E6:G6" si="2">SUM(E3:E5)</f>
        <v>6576</v>
      </c>
      <c r="F6" s="375">
        <f t="shared" si="2"/>
        <v>6967</v>
      </c>
      <c r="G6" s="392">
        <f t="shared" si="2"/>
        <v>7313</v>
      </c>
      <c r="I6" s="372" t="s">
        <v>484</v>
      </c>
      <c r="J6" s="376">
        <v>-629</v>
      </c>
      <c r="K6" s="376">
        <v>-596</v>
      </c>
      <c r="L6" s="376">
        <v>-635</v>
      </c>
      <c r="M6" s="376">
        <v>-665</v>
      </c>
      <c r="N6" s="381">
        <v>-700</v>
      </c>
      <c r="P6" s="373" t="s">
        <v>349</v>
      </c>
      <c r="Q6" s="409">
        <f>Q3+Q4+Q5</f>
        <v>281.18562874251495</v>
      </c>
      <c r="R6" s="409">
        <f t="shared" ref="R6:T6" si="3">R3+R4+R5</f>
        <v>473.33333333333331</v>
      </c>
      <c r="S6" s="409">
        <f t="shared" si="3"/>
        <v>399.6</v>
      </c>
      <c r="T6" s="410">
        <f t="shared" si="3"/>
        <v>463.51807228915663</v>
      </c>
    </row>
    <row r="7" spans="2:20">
      <c r="B7" s="371"/>
      <c r="C7" s="374"/>
      <c r="D7" s="374"/>
      <c r="E7" s="374"/>
      <c r="F7" s="374"/>
      <c r="G7" s="379"/>
      <c r="I7" s="373" t="s">
        <v>485</v>
      </c>
      <c r="J7" s="375">
        <f>J3+J5+J6</f>
        <v>1048</v>
      </c>
      <c r="K7" s="375">
        <f t="shared" ref="K7:N7" si="4">K3+K5+K6</f>
        <v>1162</v>
      </c>
      <c r="L7" s="375">
        <f t="shared" si="4"/>
        <v>1199</v>
      </c>
      <c r="M7" s="375">
        <f t="shared" si="4"/>
        <v>1231</v>
      </c>
      <c r="N7" s="392">
        <f t="shared" si="4"/>
        <v>1234</v>
      </c>
      <c r="P7" s="371"/>
      <c r="Q7" s="374"/>
      <c r="R7" s="374"/>
      <c r="S7" s="374"/>
      <c r="T7" s="379"/>
    </row>
    <row r="8" spans="2:20">
      <c r="B8" s="371" t="s">
        <v>468</v>
      </c>
      <c r="C8" s="374">
        <v>184</v>
      </c>
      <c r="D8" s="374">
        <v>159</v>
      </c>
      <c r="E8" s="374">
        <v>147</v>
      </c>
      <c r="F8" s="374">
        <v>187</v>
      </c>
      <c r="G8" s="379">
        <v>184</v>
      </c>
      <c r="I8" s="371"/>
      <c r="J8" s="374"/>
      <c r="K8" s="374"/>
      <c r="L8" s="374"/>
      <c r="M8" s="374"/>
      <c r="N8" s="379"/>
      <c r="P8" s="371" t="s">
        <v>371</v>
      </c>
      <c r="Q8" s="374">
        <f>C8-D8</f>
        <v>25</v>
      </c>
      <c r="R8" s="374">
        <f t="shared" ref="R8:T10" si="5">D8-E8</f>
        <v>12</v>
      </c>
      <c r="S8" s="374">
        <f t="shared" si="5"/>
        <v>-40</v>
      </c>
      <c r="T8" s="379">
        <f t="shared" si="5"/>
        <v>3</v>
      </c>
    </row>
    <row r="9" spans="2:20">
      <c r="B9" s="371" t="s">
        <v>319</v>
      </c>
      <c r="C9" s="374">
        <v>1485</v>
      </c>
      <c r="D9" s="374">
        <v>1821</v>
      </c>
      <c r="E9" s="374">
        <v>1671</v>
      </c>
      <c r="F9" s="374">
        <v>1781</v>
      </c>
      <c r="G9" s="379">
        <v>1852</v>
      </c>
      <c r="I9" s="371" t="s">
        <v>486</v>
      </c>
      <c r="J9" s="374">
        <v>-754</v>
      </c>
      <c r="K9" s="374">
        <v>-648</v>
      </c>
      <c r="L9" s="374">
        <v>-444</v>
      </c>
      <c r="M9" s="374">
        <v>-623</v>
      </c>
      <c r="N9" s="379">
        <v>-511</v>
      </c>
      <c r="P9" s="371" t="s">
        <v>492</v>
      </c>
      <c r="Q9" s="374">
        <f>C9-D9</f>
        <v>-336</v>
      </c>
      <c r="R9" s="374">
        <f t="shared" si="5"/>
        <v>150</v>
      </c>
      <c r="S9" s="374">
        <f t="shared" si="5"/>
        <v>-110</v>
      </c>
      <c r="T9" s="379">
        <f t="shared" si="5"/>
        <v>-71</v>
      </c>
    </row>
    <row r="10" spans="2:20">
      <c r="B10" s="372" t="s">
        <v>469</v>
      </c>
      <c r="C10" s="383">
        <v>-1170</v>
      </c>
      <c r="D10" s="384">
        <v>-1384</v>
      </c>
      <c r="E10" s="376">
        <v>-1381</v>
      </c>
      <c r="F10" s="376">
        <v>-1413</v>
      </c>
      <c r="G10" s="381">
        <v>-1481</v>
      </c>
      <c r="I10" s="372" t="s">
        <v>487</v>
      </c>
      <c r="J10" s="376">
        <v>-79</v>
      </c>
      <c r="K10" s="376">
        <v>-71</v>
      </c>
      <c r="L10" s="376">
        <v>-45</v>
      </c>
      <c r="M10" s="376">
        <v>-20</v>
      </c>
      <c r="N10" s="381">
        <v>-36</v>
      </c>
      <c r="P10" s="372" t="s">
        <v>493</v>
      </c>
      <c r="Q10" s="384">
        <f>C10-D10</f>
        <v>214</v>
      </c>
      <c r="R10" s="384">
        <f t="shared" si="5"/>
        <v>-3</v>
      </c>
      <c r="S10" s="384">
        <f t="shared" si="5"/>
        <v>32</v>
      </c>
      <c r="T10" s="411">
        <f t="shared" si="5"/>
        <v>68</v>
      </c>
    </row>
    <row r="11" spans="2:20">
      <c r="B11" s="373" t="s">
        <v>470</v>
      </c>
      <c r="C11" s="386">
        <f>C8+C9+C10</f>
        <v>499</v>
      </c>
      <c r="D11" s="386">
        <f>D8+D9+D10</f>
        <v>596</v>
      </c>
      <c r="E11" s="386">
        <f t="shared" ref="E11:G11" si="6">E8+E9+E10</f>
        <v>437</v>
      </c>
      <c r="F11" s="386">
        <f t="shared" si="6"/>
        <v>555</v>
      </c>
      <c r="G11" s="393">
        <f t="shared" si="6"/>
        <v>555</v>
      </c>
      <c r="I11" s="373" t="s">
        <v>303</v>
      </c>
      <c r="J11" s="375">
        <f>J7+J9+J10</f>
        <v>215</v>
      </c>
      <c r="K11" s="375">
        <f t="shared" ref="K11:N11" si="7">K7+K9+K10</f>
        <v>443</v>
      </c>
      <c r="L11" s="375">
        <f t="shared" si="7"/>
        <v>710</v>
      </c>
      <c r="M11" s="375">
        <f t="shared" si="7"/>
        <v>588</v>
      </c>
      <c r="N11" s="392">
        <f t="shared" si="7"/>
        <v>687</v>
      </c>
      <c r="P11" s="373" t="s">
        <v>494</v>
      </c>
      <c r="Q11" s="386">
        <f>Q8+Q9+Q10</f>
        <v>-97</v>
      </c>
      <c r="R11" s="386">
        <f t="shared" ref="R11:T11" si="8">R8+R9+R10</f>
        <v>159</v>
      </c>
      <c r="S11" s="386">
        <f t="shared" si="8"/>
        <v>-118</v>
      </c>
      <c r="T11" s="393">
        <f t="shared" si="8"/>
        <v>0</v>
      </c>
    </row>
    <row r="12" spans="2:20">
      <c r="B12" s="371"/>
      <c r="C12" s="374"/>
      <c r="D12" s="374"/>
      <c r="E12" s="374"/>
      <c r="F12" s="374"/>
      <c r="G12" s="379"/>
      <c r="I12" s="371"/>
      <c r="J12" s="374"/>
      <c r="K12" s="374"/>
      <c r="L12" s="374"/>
      <c r="M12" s="374"/>
      <c r="N12" s="379"/>
      <c r="P12" s="371"/>
      <c r="Q12" s="374"/>
      <c r="R12" s="374"/>
      <c r="S12" s="374"/>
      <c r="T12" s="379"/>
    </row>
    <row r="13" spans="2:20">
      <c r="B13" s="371" t="s">
        <v>471</v>
      </c>
      <c r="C13" s="374">
        <f>636</f>
        <v>636</v>
      </c>
      <c r="D13" s="374">
        <v>695</v>
      </c>
      <c r="E13" s="374">
        <v>563</v>
      </c>
      <c r="F13" s="374">
        <v>510</v>
      </c>
      <c r="G13" s="379">
        <v>665</v>
      </c>
      <c r="I13" s="372" t="s">
        <v>360</v>
      </c>
      <c r="J13" s="376">
        <v>-137</v>
      </c>
      <c r="K13" s="376">
        <v>-109</v>
      </c>
      <c r="L13" s="376">
        <v>-134</v>
      </c>
      <c r="M13" s="376">
        <v>-98</v>
      </c>
      <c r="N13" s="381">
        <v>-106</v>
      </c>
      <c r="P13" s="371" t="s">
        <v>351</v>
      </c>
      <c r="Q13" s="374">
        <f>C13-D13</f>
        <v>-59</v>
      </c>
      <c r="R13" s="374">
        <f t="shared" ref="R13:T14" si="9">D13-E13</f>
        <v>132</v>
      </c>
      <c r="S13" s="374">
        <f t="shared" si="9"/>
        <v>53</v>
      </c>
      <c r="T13" s="379">
        <f t="shared" si="9"/>
        <v>-155</v>
      </c>
    </row>
    <row r="14" spans="2:20">
      <c r="B14" s="372" t="s">
        <v>342</v>
      </c>
      <c r="C14" s="376">
        <v>-683</v>
      </c>
      <c r="D14" s="376">
        <v>-893</v>
      </c>
      <c r="E14" s="376">
        <v>-673</v>
      </c>
      <c r="F14" s="376">
        <v>-763</v>
      </c>
      <c r="G14" s="381">
        <v>-999</v>
      </c>
      <c r="I14" s="373" t="s">
        <v>304</v>
      </c>
      <c r="J14" s="375">
        <f>J11+J13</f>
        <v>78</v>
      </c>
      <c r="K14" s="375">
        <f t="shared" ref="K14:N14" si="10">K11+K13</f>
        <v>334</v>
      </c>
      <c r="L14" s="375">
        <f t="shared" si="10"/>
        <v>576</v>
      </c>
      <c r="M14" s="375">
        <f t="shared" si="10"/>
        <v>490</v>
      </c>
      <c r="N14" s="392">
        <f t="shared" si="10"/>
        <v>581</v>
      </c>
      <c r="P14" s="372" t="s">
        <v>495</v>
      </c>
      <c r="Q14" s="376">
        <f>C14-D14</f>
        <v>210</v>
      </c>
      <c r="R14" s="376">
        <f t="shared" si="9"/>
        <v>-220</v>
      </c>
      <c r="S14" s="376">
        <f t="shared" si="9"/>
        <v>90</v>
      </c>
      <c r="T14" s="381">
        <f t="shared" si="9"/>
        <v>236</v>
      </c>
    </row>
    <row r="15" spans="2:20">
      <c r="B15" s="373" t="s">
        <v>472</v>
      </c>
      <c r="C15" s="386">
        <f>C11+C13+C14</f>
        <v>452</v>
      </c>
      <c r="D15" s="386">
        <f>D11+D13+D14</f>
        <v>398</v>
      </c>
      <c r="E15" s="386">
        <f t="shared" ref="E15:G15" si="11">E11+E13+E14</f>
        <v>327</v>
      </c>
      <c r="F15" s="386">
        <f t="shared" si="11"/>
        <v>302</v>
      </c>
      <c r="G15" s="393">
        <f t="shared" si="11"/>
        <v>221</v>
      </c>
      <c r="I15" s="371"/>
      <c r="J15" s="374"/>
      <c r="K15" s="374"/>
      <c r="L15" s="374"/>
      <c r="M15" s="374"/>
      <c r="N15" s="379"/>
      <c r="P15" s="373" t="s">
        <v>496</v>
      </c>
      <c r="Q15" s="386">
        <f>Q11+Q13+Q14</f>
        <v>54</v>
      </c>
      <c r="R15" s="386">
        <f t="shared" ref="R15:T15" si="12">R11+R13+R14</f>
        <v>71</v>
      </c>
      <c r="S15" s="386">
        <f t="shared" si="12"/>
        <v>25</v>
      </c>
      <c r="T15" s="393">
        <f t="shared" si="12"/>
        <v>81</v>
      </c>
    </row>
    <row r="16" spans="2:20">
      <c r="B16" s="371"/>
      <c r="C16" s="374"/>
      <c r="D16" s="374"/>
      <c r="E16" s="374"/>
      <c r="F16" s="374"/>
      <c r="G16" s="379"/>
      <c r="I16" s="371" t="s">
        <v>453</v>
      </c>
      <c r="J16" s="374">
        <v>-133</v>
      </c>
      <c r="K16" s="374">
        <v>-122</v>
      </c>
      <c r="L16" s="374">
        <v>-192</v>
      </c>
      <c r="M16" s="374">
        <v>-157</v>
      </c>
      <c r="N16" s="379">
        <v>-189</v>
      </c>
      <c r="P16" s="371"/>
      <c r="Q16" s="374"/>
      <c r="R16" s="374"/>
      <c r="S16" s="374"/>
      <c r="T16" s="379"/>
    </row>
    <row r="17" spans="2:20">
      <c r="B17" s="371" t="s">
        <v>473</v>
      </c>
      <c r="C17" s="374">
        <v>308</v>
      </c>
      <c r="D17" s="374">
        <v>341</v>
      </c>
      <c r="E17" s="374">
        <v>301</v>
      </c>
      <c r="F17" s="374">
        <v>264</v>
      </c>
      <c r="G17" s="379">
        <v>277</v>
      </c>
      <c r="I17" s="371" t="s">
        <v>488</v>
      </c>
      <c r="J17" s="374">
        <v>0</v>
      </c>
      <c r="K17" s="374">
        <v>19</v>
      </c>
      <c r="L17" s="374">
        <v>-86</v>
      </c>
      <c r="M17" s="374">
        <v>21</v>
      </c>
      <c r="N17" s="379">
        <v>1</v>
      </c>
      <c r="P17" s="371" t="s">
        <v>497</v>
      </c>
      <c r="Q17" s="374">
        <f>C3+C4-D3-D4 + K9</f>
        <v>-1066</v>
      </c>
      <c r="R17" s="374">
        <f t="shared" ref="R17:T17" si="13">D3+D4-E3-E4 + L9</f>
        <v>-80</v>
      </c>
      <c r="S17" s="374">
        <f t="shared" si="13"/>
        <v>-1076</v>
      </c>
      <c r="T17" s="379">
        <f t="shared" si="13"/>
        <v>-837</v>
      </c>
    </row>
    <row r="18" spans="2:20">
      <c r="B18" s="371" t="s">
        <v>474</v>
      </c>
      <c r="C18" s="374">
        <v>-332</v>
      </c>
      <c r="D18" s="374">
        <v>-365</v>
      </c>
      <c r="E18" s="374">
        <v>-319</v>
      </c>
      <c r="F18" s="374">
        <v>-314</v>
      </c>
      <c r="G18" s="379">
        <v>-307</v>
      </c>
      <c r="I18" s="372" t="s">
        <v>455</v>
      </c>
      <c r="J18" s="376">
        <v>130</v>
      </c>
      <c r="K18" s="376">
        <v>1</v>
      </c>
      <c r="L18" s="376">
        <v>-6</v>
      </c>
      <c r="M18" s="376">
        <v>-10</v>
      </c>
      <c r="N18" s="381">
        <v>-4</v>
      </c>
      <c r="P18" s="371" t="s">
        <v>498</v>
      </c>
      <c r="Q18" s="374">
        <f>-K9</f>
        <v>648</v>
      </c>
      <c r="R18" s="374">
        <f t="shared" ref="R18:T18" si="14">-L9</f>
        <v>444</v>
      </c>
      <c r="S18" s="374">
        <f t="shared" si="14"/>
        <v>623</v>
      </c>
      <c r="T18" s="379">
        <f t="shared" si="14"/>
        <v>511</v>
      </c>
    </row>
    <row r="19" spans="2:20">
      <c r="B19" s="372" t="s">
        <v>475</v>
      </c>
      <c r="C19" s="376">
        <v>-576</v>
      </c>
      <c r="D19" s="376">
        <v>-671</v>
      </c>
      <c r="E19" s="376">
        <v>-625</v>
      </c>
      <c r="F19" s="376">
        <v>-642</v>
      </c>
      <c r="G19" s="381">
        <v>-676</v>
      </c>
      <c r="I19" s="373" t="s">
        <v>489</v>
      </c>
      <c r="J19" s="375">
        <f>J14+J16+J17+J18</f>
        <v>75</v>
      </c>
      <c r="K19" s="375">
        <f t="shared" ref="K19:N19" si="15">K14+K16+K17+K18</f>
        <v>232</v>
      </c>
      <c r="L19" s="375">
        <f t="shared" si="15"/>
        <v>292</v>
      </c>
      <c r="M19" s="375">
        <f t="shared" si="15"/>
        <v>344</v>
      </c>
      <c r="N19" s="392">
        <f t="shared" si="15"/>
        <v>389</v>
      </c>
      <c r="P19" s="371" t="s">
        <v>355</v>
      </c>
      <c r="Q19" s="374">
        <f>C19-D19</f>
        <v>95</v>
      </c>
      <c r="R19" s="374">
        <f t="shared" ref="R19:T19" si="16">D19-E19</f>
        <v>-46</v>
      </c>
      <c r="S19" s="374">
        <f t="shared" si="16"/>
        <v>17</v>
      </c>
      <c r="T19" s="379">
        <f t="shared" si="16"/>
        <v>34</v>
      </c>
    </row>
    <row r="20" spans="2:20" ht="15" thickBot="1">
      <c r="B20" s="373" t="s">
        <v>476</v>
      </c>
      <c r="C20" s="386">
        <f>C6+C15+C17+C18+C19</f>
        <v>6404</v>
      </c>
      <c r="D20" s="386">
        <f>D6+D15+D17+D18+D19</f>
        <v>6672</v>
      </c>
      <c r="E20" s="386">
        <f t="shared" ref="E20:G20" si="17">E6+E15+E17+E18+E19</f>
        <v>6260</v>
      </c>
      <c r="F20" s="386">
        <f t="shared" si="17"/>
        <v>6577</v>
      </c>
      <c r="G20" s="393">
        <f t="shared" si="17"/>
        <v>6828</v>
      </c>
      <c r="I20" s="405"/>
      <c r="J20" s="406"/>
      <c r="K20" s="406"/>
      <c r="L20" s="406"/>
      <c r="M20" s="406"/>
      <c r="N20" s="407"/>
      <c r="P20" s="371" t="s">
        <v>499</v>
      </c>
      <c r="Q20" s="374">
        <f>C18-D18</f>
        <v>33</v>
      </c>
      <c r="R20" s="374">
        <f t="shared" ref="R20:T20" si="18">D18-E18</f>
        <v>-46</v>
      </c>
      <c r="S20" s="374">
        <f t="shared" si="18"/>
        <v>-5</v>
      </c>
      <c r="T20" s="379">
        <f t="shared" si="18"/>
        <v>-7</v>
      </c>
    </row>
    <row r="21" spans="2:20">
      <c r="B21" s="371"/>
      <c r="C21" s="374"/>
      <c r="D21" s="374"/>
      <c r="E21" s="374"/>
      <c r="F21" s="374"/>
      <c r="G21" s="379"/>
      <c r="I21" s="249"/>
      <c r="J21" s="249"/>
      <c r="K21" s="249"/>
      <c r="L21" s="249"/>
      <c r="M21" s="249"/>
      <c r="N21" s="249"/>
      <c r="P21" s="371" t="s">
        <v>500</v>
      </c>
      <c r="Q21" s="374">
        <f>C17-D17</f>
        <v>-33</v>
      </c>
      <c r="R21" s="374">
        <f t="shared" ref="R21:T21" si="19">D17-E17</f>
        <v>40</v>
      </c>
      <c r="S21" s="374">
        <f t="shared" si="19"/>
        <v>37</v>
      </c>
      <c r="T21" s="379">
        <f t="shared" si="19"/>
        <v>-13</v>
      </c>
    </row>
    <row r="22" spans="2:20">
      <c r="B22" s="377" t="s">
        <v>339</v>
      </c>
      <c r="C22" s="387">
        <v>-3259</v>
      </c>
      <c r="D22" s="387">
        <v>-3279</v>
      </c>
      <c r="E22" s="387">
        <v>-3013</v>
      </c>
      <c r="F22" s="387">
        <v>-3523</v>
      </c>
      <c r="G22" s="396">
        <v>-3651</v>
      </c>
      <c r="I22" s="249"/>
      <c r="J22" s="249"/>
      <c r="K22" s="249"/>
      <c r="L22" s="249"/>
      <c r="M22" s="249"/>
      <c r="N22" s="249"/>
      <c r="P22" s="372" t="s">
        <v>357</v>
      </c>
      <c r="Q22" s="376">
        <f>K17+K18</f>
        <v>20</v>
      </c>
      <c r="R22" s="376">
        <f>L17+L18</f>
        <v>-92</v>
      </c>
      <c r="S22" s="376">
        <f t="shared" ref="S22:T22" si="20">M17+M18</f>
        <v>11</v>
      </c>
      <c r="T22" s="381">
        <f t="shared" si="20"/>
        <v>-3</v>
      </c>
    </row>
    <row r="23" spans="2:20">
      <c r="B23" s="373"/>
      <c r="C23" s="374"/>
      <c r="D23" s="374"/>
      <c r="E23" s="374"/>
      <c r="F23" s="374"/>
      <c r="G23" s="379"/>
      <c r="I23" s="249"/>
      <c r="J23" s="249"/>
      <c r="K23" s="249"/>
      <c r="L23" s="249"/>
      <c r="M23" s="249"/>
      <c r="N23" s="249"/>
      <c r="P23" s="373" t="s">
        <v>358</v>
      </c>
      <c r="Q23" s="409">
        <f>Q6+Q15+SUM(Q17:Q22)</f>
        <v>32.18562874251495</v>
      </c>
      <c r="R23" s="409">
        <f t="shared" ref="R23:T23" si="21">R6+R15+SUM(R17:R22)</f>
        <v>764.33333333333326</v>
      </c>
      <c r="S23" s="409">
        <f t="shared" si="21"/>
        <v>31.600000000000023</v>
      </c>
      <c r="T23" s="410">
        <f t="shared" si="21"/>
        <v>229.51807228915663</v>
      </c>
    </row>
    <row r="24" spans="2:20">
      <c r="B24" s="371" t="s">
        <v>477</v>
      </c>
      <c r="C24" s="374">
        <v>-3781</v>
      </c>
      <c r="D24" s="374">
        <v>-3795</v>
      </c>
      <c r="E24" s="374">
        <v>-3938</v>
      </c>
      <c r="F24" s="374">
        <v>-3678</v>
      </c>
      <c r="G24" s="379">
        <v>-3611</v>
      </c>
      <c r="I24" s="249"/>
      <c r="J24" s="249"/>
      <c r="K24" s="249"/>
      <c r="L24" s="249"/>
      <c r="M24" s="249"/>
      <c r="N24" s="249"/>
      <c r="P24" s="412" t="s">
        <v>359</v>
      </c>
      <c r="Q24" s="413">
        <f>Q23/Q3</f>
        <v>7.2653789486489734E-2</v>
      </c>
      <c r="R24" s="413">
        <f t="shared" ref="R24:T24" si="22">R23/R3</f>
        <v>1.0765258215962441</v>
      </c>
      <c r="S24" s="413">
        <f t="shared" si="22"/>
        <v>5.3741496598639492E-2</v>
      </c>
      <c r="T24" s="414">
        <f t="shared" si="22"/>
        <v>0.33408744146893249</v>
      </c>
    </row>
    <row r="25" spans="2:20">
      <c r="B25" s="372" t="s">
        <v>478</v>
      </c>
      <c r="C25" s="376">
        <v>636</v>
      </c>
      <c r="D25" s="376">
        <v>402</v>
      </c>
      <c r="E25" s="376">
        <v>691</v>
      </c>
      <c r="F25" s="376">
        <v>624</v>
      </c>
      <c r="G25" s="381">
        <v>434</v>
      </c>
      <c r="I25" s="249"/>
      <c r="J25" s="249"/>
      <c r="K25" s="249"/>
      <c r="L25" s="249"/>
      <c r="M25" s="249"/>
      <c r="N25" s="249"/>
      <c r="P25" s="371"/>
      <c r="Q25" s="374"/>
      <c r="R25" s="374"/>
      <c r="S25" s="374"/>
      <c r="T25" s="379"/>
    </row>
    <row r="26" spans="2:20">
      <c r="B26" s="378" t="s">
        <v>479</v>
      </c>
      <c r="C26" s="388">
        <f>C24+C25</f>
        <v>-3145</v>
      </c>
      <c r="D26" s="388">
        <f>D24+D25</f>
        <v>-3393</v>
      </c>
      <c r="E26" s="388">
        <f t="shared" ref="E26:G26" si="23">E24+E25</f>
        <v>-3247</v>
      </c>
      <c r="F26" s="388">
        <f t="shared" si="23"/>
        <v>-3054</v>
      </c>
      <c r="G26" s="394">
        <f t="shared" si="23"/>
        <v>-3177</v>
      </c>
      <c r="I26" s="249"/>
      <c r="J26" s="249"/>
      <c r="K26" s="249"/>
      <c r="L26" s="249"/>
      <c r="M26" s="249"/>
      <c r="N26" s="249"/>
      <c r="P26" s="371" t="s">
        <v>501</v>
      </c>
      <c r="Q26" s="374">
        <f>K13+C5-D5</f>
        <v>-108</v>
      </c>
      <c r="R26" s="374">
        <f t="shared" ref="R26:T26" si="24">L13+D5-E5</f>
        <v>-105</v>
      </c>
      <c r="S26" s="374">
        <f t="shared" si="24"/>
        <v>-36</v>
      </c>
      <c r="T26" s="379">
        <f t="shared" si="24"/>
        <v>-126</v>
      </c>
    </row>
    <row r="27" spans="2:20">
      <c r="B27" s="373" t="s">
        <v>480</v>
      </c>
      <c r="C27" s="375">
        <f>C22+C26</f>
        <v>-6404</v>
      </c>
      <c r="D27" s="375">
        <f>D22+D26</f>
        <v>-6672</v>
      </c>
      <c r="E27" s="375">
        <f t="shared" ref="E27:G27" si="25">E22+E26</f>
        <v>-6260</v>
      </c>
      <c r="F27" s="375">
        <f t="shared" si="25"/>
        <v>-6577</v>
      </c>
      <c r="G27" s="392">
        <f t="shared" si="25"/>
        <v>-6828</v>
      </c>
      <c r="I27" s="249"/>
      <c r="J27" s="249"/>
      <c r="K27" s="249"/>
      <c r="L27" s="249"/>
      <c r="M27" s="249"/>
      <c r="N27" s="249"/>
      <c r="P27" s="371" t="s">
        <v>502</v>
      </c>
      <c r="Q27" s="374">
        <f>C24-D24</f>
        <v>14</v>
      </c>
      <c r="R27" s="374">
        <f t="shared" ref="R27:T27" si="26">D24-E24</f>
        <v>143</v>
      </c>
      <c r="S27" s="374">
        <f t="shared" si="26"/>
        <v>-260</v>
      </c>
      <c r="T27" s="379">
        <f t="shared" si="26"/>
        <v>-67</v>
      </c>
    </row>
    <row r="28" spans="2:20" ht="15" thickBot="1">
      <c r="B28" s="390" t="s">
        <v>481</v>
      </c>
      <c r="C28" s="391">
        <f>C20+C27</f>
        <v>0</v>
      </c>
      <c r="D28" s="391">
        <f t="shared" ref="D28:G28" si="27">D20+D27</f>
        <v>0</v>
      </c>
      <c r="E28" s="391">
        <f t="shared" si="27"/>
        <v>0</v>
      </c>
      <c r="F28" s="391">
        <f t="shared" si="27"/>
        <v>0</v>
      </c>
      <c r="G28" s="395">
        <f t="shared" si="27"/>
        <v>0</v>
      </c>
      <c r="I28" s="249"/>
      <c r="J28" s="249"/>
      <c r="K28" s="249"/>
      <c r="L28" s="249"/>
      <c r="M28" s="249"/>
      <c r="N28" s="249"/>
      <c r="P28" s="372" t="s">
        <v>503</v>
      </c>
      <c r="Q28" s="382">
        <f>-Q5</f>
        <v>39.814371257485028</v>
      </c>
      <c r="R28" s="382">
        <f t="shared" ref="R28:T28" si="28">-R5</f>
        <v>44.666666666666664</v>
      </c>
      <c r="S28" s="382">
        <f t="shared" si="28"/>
        <v>31.400000000000002</v>
      </c>
      <c r="T28" s="408">
        <f t="shared" si="28"/>
        <v>34.481927710843372</v>
      </c>
    </row>
    <row r="29" spans="2:20">
      <c r="I29" s="249"/>
      <c r="J29" s="249"/>
      <c r="K29" s="249"/>
      <c r="L29" s="249"/>
      <c r="M29" s="249"/>
      <c r="N29" s="249"/>
      <c r="P29" s="373" t="s">
        <v>504</v>
      </c>
      <c r="Q29" s="385">
        <f>Q23+Q26+Q27+Q28</f>
        <v>-22.000000000000021</v>
      </c>
      <c r="R29" s="385">
        <f t="shared" ref="R29:T29" si="29">R23+R26+R27+R28</f>
        <v>846.99999999999989</v>
      </c>
      <c r="S29" s="385">
        <f t="shared" si="29"/>
        <v>-232.99999999999997</v>
      </c>
      <c r="T29" s="415">
        <f t="shared" si="29"/>
        <v>71</v>
      </c>
    </row>
    <row r="30" spans="2:20">
      <c r="I30" s="249"/>
      <c r="J30" s="249"/>
      <c r="K30" s="249"/>
      <c r="L30" s="249"/>
      <c r="M30" s="249"/>
      <c r="N30" s="249"/>
      <c r="P30" s="412" t="s">
        <v>359</v>
      </c>
      <c r="Q30" s="413">
        <f>Q29/Q3</f>
        <v>-4.9661399548532777E-2</v>
      </c>
      <c r="R30" s="413">
        <f t="shared" ref="R30:T30" si="30">R29/R3</f>
        <v>1.192957746478873</v>
      </c>
      <c r="S30" s="413">
        <f t="shared" si="30"/>
        <v>-0.39625850340136048</v>
      </c>
      <c r="T30" s="414">
        <f t="shared" si="30"/>
        <v>0.10334788937409024</v>
      </c>
    </row>
    <row r="31" spans="2:20">
      <c r="P31" s="371"/>
      <c r="Q31" s="374"/>
      <c r="R31" s="374"/>
      <c r="S31" s="374"/>
      <c r="T31" s="379"/>
    </row>
    <row r="32" spans="2:20">
      <c r="P32" s="372" t="s">
        <v>364</v>
      </c>
      <c r="Q32" s="376">
        <f>C22-D22-K19</f>
        <v>-212</v>
      </c>
      <c r="R32" s="376">
        <f>D22-E22-L19</f>
        <v>-558</v>
      </c>
      <c r="S32" s="376">
        <f t="shared" ref="S32:T32" si="31">E22-F22-M19</f>
        <v>166</v>
      </c>
      <c r="T32" s="381">
        <f t="shared" si="31"/>
        <v>-261</v>
      </c>
    </row>
    <row r="33" spans="2:22">
      <c r="P33" s="373" t="s">
        <v>505</v>
      </c>
      <c r="Q33" s="386">
        <f>Q29+Q32</f>
        <v>-234.00000000000003</v>
      </c>
      <c r="R33" s="386">
        <f t="shared" ref="R33:T33" si="32">R29+R32</f>
        <v>288.99999999999989</v>
      </c>
      <c r="S33" s="386">
        <f t="shared" si="32"/>
        <v>-66.999999999999972</v>
      </c>
      <c r="T33" s="393">
        <f t="shared" si="32"/>
        <v>-190</v>
      </c>
    </row>
    <row r="34" spans="2:22">
      <c r="P34" s="371"/>
      <c r="Q34" s="374"/>
      <c r="R34" s="374"/>
      <c r="S34" s="374"/>
      <c r="T34" s="379"/>
    </row>
    <row r="35" spans="2:22" ht="15" thickBot="1">
      <c r="P35" s="416" t="s">
        <v>506</v>
      </c>
      <c r="Q35" s="417">
        <f>D25-C25</f>
        <v>-234</v>
      </c>
      <c r="R35" s="417">
        <f t="shared" ref="R35:T35" si="33">E25-D25</f>
        <v>289</v>
      </c>
      <c r="S35" s="417">
        <f t="shared" si="33"/>
        <v>-67</v>
      </c>
      <c r="T35" s="418">
        <f t="shared" si="33"/>
        <v>-190</v>
      </c>
    </row>
    <row r="36" spans="2:22">
      <c r="P36" s="262"/>
      <c r="Q36" s="55"/>
      <c r="R36" s="55"/>
      <c r="S36" s="55"/>
      <c r="T36" s="291"/>
      <c r="U36" s="249"/>
      <c r="V36" s="249"/>
    </row>
    <row r="37" spans="2:22" ht="15" thickBot="1">
      <c r="P37" s="389" t="s">
        <v>511</v>
      </c>
      <c r="Q37" s="428">
        <f>Q33-Q35</f>
        <v>0</v>
      </c>
      <c r="R37" s="428">
        <f t="shared" ref="R37:T37" si="34">R33-R35</f>
        <v>0</v>
      </c>
      <c r="S37" s="428">
        <f t="shared" si="34"/>
        <v>0</v>
      </c>
      <c r="T37" s="428">
        <f t="shared" si="34"/>
        <v>0</v>
      </c>
      <c r="U37" s="249"/>
      <c r="V37" s="249"/>
    </row>
    <row r="38" spans="2:22">
      <c r="P38" s="249"/>
      <c r="Q38" s="249"/>
      <c r="R38" s="249"/>
      <c r="S38" s="249"/>
      <c r="T38" s="249"/>
      <c r="U38" s="249"/>
      <c r="V38" s="249"/>
    </row>
    <row r="39" spans="2:22" ht="15" thickBot="1">
      <c r="U39" s="249"/>
      <c r="V39" s="249"/>
    </row>
    <row r="40" spans="2:22" ht="15" thickBot="1">
      <c r="B40" s="397" t="s">
        <v>507</v>
      </c>
      <c r="C40" s="398">
        <v>42461</v>
      </c>
      <c r="D40" s="398">
        <v>42826</v>
      </c>
      <c r="E40" s="398">
        <v>43191</v>
      </c>
      <c r="F40" s="398">
        <v>43556</v>
      </c>
      <c r="G40" s="398">
        <v>43922</v>
      </c>
      <c r="I40" s="397" t="s">
        <v>508</v>
      </c>
      <c r="J40" s="398" t="s">
        <v>509</v>
      </c>
      <c r="K40" s="398" t="s">
        <v>447</v>
      </c>
      <c r="L40" s="398" t="s">
        <v>448</v>
      </c>
      <c r="M40" s="398" t="s">
        <v>449</v>
      </c>
      <c r="N40" s="398" t="s">
        <v>450</v>
      </c>
      <c r="P40" s="422" t="s">
        <v>510</v>
      </c>
      <c r="Q40" s="398" t="s">
        <v>447</v>
      </c>
      <c r="R40" s="398" t="s">
        <v>448</v>
      </c>
      <c r="S40" s="398" t="s">
        <v>449</v>
      </c>
      <c r="T40" s="398" t="s">
        <v>450</v>
      </c>
      <c r="U40" s="419"/>
      <c r="V40" s="249"/>
    </row>
    <row r="41" spans="2:22">
      <c r="B41" s="371" t="s">
        <v>464</v>
      </c>
      <c r="C41" s="374">
        <v>5022</v>
      </c>
      <c r="D41" s="374">
        <v>5026</v>
      </c>
      <c r="E41" s="374">
        <v>4592</v>
      </c>
      <c r="F41" s="374">
        <v>4703</v>
      </c>
      <c r="G41" s="379">
        <v>4917</v>
      </c>
      <c r="I41" s="402" t="s">
        <v>482</v>
      </c>
      <c r="J41" s="403">
        <v>4829</v>
      </c>
      <c r="K41" s="403">
        <v>5050</v>
      </c>
      <c r="L41" s="403">
        <v>5986</v>
      </c>
      <c r="M41" s="403">
        <v>6801</v>
      </c>
      <c r="N41" s="404">
        <v>6921</v>
      </c>
      <c r="P41" s="402" t="s">
        <v>303</v>
      </c>
      <c r="Q41" s="403">
        <f>K49</f>
        <v>447</v>
      </c>
      <c r="R41" s="403">
        <f t="shared" ref="R41:T41" si="35">L49</f>
        <v>714</v>
      </c>
      <c r="S41" s="403">
        <f t="shared" si="35"/>
        <v>507</v>
      </c>
      <c r="T41" s="404">
        <f t="shared" si="35"/>
        <v>686</v>
      </c>
      <c r="U41" s="249"/>
      <c r="V41" s="249"/>
    </row>
    <row r="42" spans="2:22">
      <c r="B42" s="371" t="s">
        <v>465</v>
      </c>
      <c r="C42" s="374">
        <v>1360</v>
      </c>
      <c r="D42" s="374">
        <v>1756</v>
      </c>
      <c r="E42" s="374">
        <v>1902</v>
      </c>
      <c r="F42" s="374">
        <v>2344</v>
      </c>
      <c r="G42" s="379">
        <v>2429</v>
      </c>
      <c r="I42" s="371"/>
      <c r="J42" s="374"/>
      <c r="K42" s="374"/>
      <c r="L42" s="374"/>
      <c r="M42" s="374"/>
      <c r="N42" s="379"/>
      <c r="P42" s="371" t="s">
        <v>490</v>
      </c>
      <c r="Q42" s="374">
        <f>K54</f>
        <v>-127</v>
      </c>
      <c r="R42" s="374">
        <f t="shared" ref="R42:T42" si="36">L54</f>
        <v>-197</v>
      </c>
      <c r="S42" s="374">
        <f t="shared" si="36"/>
        <v>-133</v>
      </c>
      <c r="T42" s="379">
        <f t="shared" si="36"/>
        <v>-188</v>
      </c>
      <c r="U42" s="249"/>
      <c r="V42" s="249"/>
    </row>
    <row r="43" spans="2:22">
      <c r="B43" s="372" t="s">
        <v>466</v>
      </c>
      <c r="C43" s="376">
        <v>146</v>
      </c>
      <c r="D43" s="376">
        <v>140</v>
      </c>
      <c r="E43" s="376">
        <v>105</v>
      </c>
      <c r="F43" s="376">
        <v>44</v>
      </c>
      <c r="G43" s="381">
        <v>95</v>
      </c>
      <c r="I43" s="371" t="s">
        <v>483</v>
      </c>
      <c r="J43" s="374">
        <v>-3176</v>
      </c>
      <c r="K43" s="374">
        <v>-3272</v>
      </c>
      <c r="L43" s="374">
        <v>-4132</v>
      </c>
      <c r="M43" s="374">
        <v>-4964</v>
      </c>
      <c r="N43" s="379">
        <v>-4981</v>
      </c>
      <c r="P43" s="372" t="s">
        <v>491</v>
      </c>
      <c r="Q43" s="382">
        <f>-K51*(K54/K52)</f>
        <v>-42.967065868263475</v>
      </c>
      <c r="R43" s="382">
        <f t="shared" ref="R43:T43" si="37">-L51*(L54/L52)</f>
        <v>-47.197916666666664</v>
      </c>
      <c r="S43" s="382">
        <f t="shared" si="37"/>
        <v>-29.876811594202898</v>
      </c>
      <c r="T43" s="408">
        <f t="shared" si="37"/>
        <v>-32.081911262798634</v>
      </c>
      <c r="U43" s="249"/>
      <c r="V43" s="249"/>
    </row>
    <row r="44" spans="2:22">
      <c r="B44" s="373" t="s">
        <v>467</v>
      </c>
      <c r="C44" s="375">
        <f>C41+C42+C43</f>
        <v>6528</v>
      </c>
      <c r="D44" s="375">
        <f t="shared" ref="D44:G44" si="38">D41+D42+D43</f>
        <v>6922</v>
      </c>
      <c r="E44" s="375">
        <f t="shared" si="38"/>
        <v>6599</v>
      </c>
      <c r="F44" s="375">
        <f t="shared" si="38"/>
        <v>7091</v>
      </c>
      <c r="G44" s="392">
        <f t="shared" si="38"/>
        <v>7441</v>
      </c>
      <c r="I44" s="372" t="s">
        <v>484</v>
      </c>
      <c r="J44" s="376">
        <v>-634</v>
      </c>
      <c r="K44" s="376">
        <v>-601</v>
      </c>
      <c r="L44" s="376">
        <v>-640</v>
      </c>
      <c r="M44" s="376">
        <v>-677</v>
      </c>
      <c r="N44" s="381">
        <v>-703</v>
      </c>
      <c r="P44" s="373" t="s">
        <v>349</v>
      </c>
      <c r="Q44" s="409">
        <f>Q41+Q42+Q43</f>
        <v>277.03293413173651</v>
      </c>
      <c r="R44" s="409">
        <f t="shared" ref="R44:T44" si="39">R41+R42+R43</f>
        <v>469.80208333333331</v>
      </c>
      <c r="S44" s="409">
        <f t="shared" si="39"/>
        <v>344.12318840579712</v>
      </c>
      <c r="T44" s="410">
        <f t="shared" si="39"/>
        <v>465.91808873720134</v>
      </c>
    </row>
    <row r="45" spans="2:22">
      <c r="B45" s="371"/>
      <c r="C45" s="374"/>
      <c r="D45" s="374"/>
      <c r="E45" s="374"/>
      <c r="F45" s="374"/>
      <c r="G45" s="379"/>
      <c r="I45" s="373" t="s">
        <v>485</v>
      </c>
      <c r="J45" s="375">
        <f>J41+J43+J44</f>
        <v>1019</v>
      </c>
      <c r="K45" s="375">
        <f t="shared" ref="K45:N45" si="40">K41+K43+K44</f>
        <v>1177</v>
      </c>
      <c r="L45" s="375">
        <f t="shared" si="40"/>
        <v>1214</v>
      </c>
      <c r="M45" s="375">
        <f t="shared" si="40"/>
        <v>1160</v>
      </c>
      <c r="N45" s="392">
        <f t="shared" si="40"/>
        <v>1237</v>
      </c>
      <c r="P45" s="371"/>
      <c r="Q45" s="374"/>
      <c r="R45" s="374"/>
      <c r="S45" s="374"/>
      <c r="T45" s="379"/>
    </row>
    <row r="46" spans="2:22">
      <c r="B46" s="371" t="s">
        <v>468</v>
      </c>
      <c r="C46" s="374">
        <v>98</v>
      </c>
      <c r="D46" s="374">
        <v>118</v>
      </c>
      <c r="E46" s="374">
        <v>80</v>
      </c>
      <c r="F46" s="374">
        <v>119</v>
      </c>
      <c r="G46" s="379">
        <v>104</v>
      </c>
      <c r="I46" s="371"/>
      <c r="J46" s="374"/>
      <c r="K46" s="374"/>
      <c r="L46" s="374"/>
      <c r="M46" s="374"/>
      <c r="N46" s="379"/>
      <c r="P46" s="371" t="s">
        <v>371</v>
      </c>
      <c r="Q46" s="374">
        <f>C46-D46</f>
        <v>-20</v>
      </c>
      <c r="R46" s="374">
        <f t="shared" ref="R46:T48" si="41">D46-E46</f>
        <v>38</v>
      </c>
      <c r="S46" s="374">
        <f t="shared" si="41"/>
        <v>-39</v>
      </c>
      <c r="T46" s="379">
        <f t="shared" si="41"/>
        <v>15</v>
      </c>
    </row>
    <row r="47" spans="2:22">
      <c r="B47" s="371" t="s">
        <v>319</v>
      </c>
      <c r="C47" s="374">
        <v>1547</v>
      </c>
      <c r="D47" s="374">
        <v>1878</v>
      </c>
      <c r="E47" s="374">
        <v>1826</v>
      </c>
      <c r="F47" s="374">
        <v>2077</v>
      </c>
      <c r="G47" s="379">
        <v>2056</v>
      </c>
      <c r="I47" s="371" t="s">
        <v>486</v>
      </c>
      <c r="J47" s="374">
        <f>-(844-79)</f>
        <v>-765</v>
      </c>
      <c r="K47" s="374">
        <f>-(730-71)</f>
        <v>-659</v>
      </c>
      <c r="L47" s="374">
        <f>-(500-45)</f>
        <v>-455</v>
      </c>
      <c r="M47" s="374">
        <f>-(653-20)</f>
        <v>-633</v>
      </c>
      <c r="N47" s="379">
        <v>-515</v>
      </c>
      <c r="P47" s="371" t="s">
        <v>492</v>
      </c>
      <c r="Q47" s="374">
        <f>C47-D47</f>
        <v>-331</v>
      </c>
      <c r="R47" s="374">
        <f t="shared" si="41"/>
        <v>52</v>
      </c>
      <c r="S47" s="374">
        <f t="shared" si="41"/>
        <v>-251</v>
      </c>
      <c r="T47" s="379">
        <f t="shared" si="41"/>
        <v>21</v>
      </c>
    </row>
    <row r="48" spans="2:22">
      <c r="B48" s="372" t="s">
        <v>469</v>
      </c>
      <c r="C48" s="376">
        <v>-1012</v>
      </c>
      <c r="D48" s="376">
        <v>-1151</v>
      </c>
      <c r="E48" s="376">
        <v>-1150</v>
      </c>
      <c r="F48" s="376">
        <v>-1321</v>
      </c>
      <c r="G48" s="381">
        <v>-1323</v>
      </c>
      <c r="I48" s="372" t="s">
        <v>487</v>
      </c>
      <c r="J48" s="376">
        <v>-79</v>
      </c>
      <c r="K48" s="376">
        <v>-71</v>
      </c>
      <c r="L48" s="376">
        <v>-45</v>
      </c>
      <c r="M48" s="376">
        <v>-20</v>
      </c>
      <c r="N48" s="381">
        <f>-(551-515)</f>
        <v>-36</v>
      </c>
      <c r="P48" s="372" t="s">
        <v>493</v>
      </c>
      <c r="Q48" s="376">
        <f>C48-D48</f>
        <v>139</v>
      </c>
      <c r="R48" s="376">
        <f t="shared" si="41"/>
        <v>-1</v>
      </c>
      <c r="S48" s="376">
        <f t="shared" si="41"/>
        <v>171</v>
      </c>
      <c r="T48" s="381">
        <f t="shared" si="41"/>
        <v>2</v>
      </c>
    </row>
    <row r="49" spans="2:20">
      <c r="B49" s="373" t="s">
        <v>470</v>
      </c>
      <c r="C49" s="375">
        <f>C46+C48+C47</f>
        <v>633</v>
      </c>
      <c r="D49" s="375">
        <f t="shared" ref="D49:G49" si="42">D46+D48+D47</f>
        <v>845</v>
      </c>
      <c r="E49" s="375">
        <f t="shared" si="42"/>
        <v>756</v>
      </c>
      <c r="F49" s="375">
        <f t="shared" si="42"/>
        <v>875</v>
      </c>
      <c r="G49" s="392">
        <f t="shared" si="42"/>
        <v>837</v>
      </c>
      <c r="I49" s="373" t="s">
        <v>303</v>
      </c>
      <c r="J49" s="375">
        <f>J45+J47+J48</f>
        <v>175</v>
      </c>
      <c r="K49" s="375">
        <f t="shared" ref="K49:N49" si="43">K45+K47+K48</f>
        <v>447</v>
      </c>
      <c r="L49" s="375">
        <f t="shared" si="43"/>
        <v>714</v>
      </c>
      <c r="M49" s="375">
        <f t="shared" si="43"/>
        <v>507</v>
      </c>
      <c r="N49" s="392">
        <f t="shared" si="43"/>
        <v>686</v>
      </c>
      <c r="P49" s="373" t="s">
        <v>494</v>
      </c>
      <c r="Q49" s="375">
        <f>Q46+Q47+Q48</f>
        <v>-212</v>
      </c>
      <c r="R49" s="375">
        <f t="shared" ref="R49:T49" si="44">R46+R47+R48</f>
        <v>89</v>
      </c>
      <c r="S49" s="375">
        <f t="shared" si="44"/>
        <v>-119</v>
      </c>
      <c r="T49" s="392">
        <f t="shared" si="44"/>
        <v>38</v>
      </c>
    </row>
    <row r="50" spans="2:20">
      <c r="B50" s="371"/>
      <c r="C50" s="374"/>
      <c r="D50" s="374"/>
      <c r="E50" s="374"/>
      <c r="F50" s="374"/>
      <c r="G50" s="379"/>
      <c r="I50" s="371"/>
      <c r="J50" s="374"/>
      <c r="K50" s="374"/>
      <c r="L50" s="374"/>
      <c r="M50" s="374"/>
      <c r="N50" s="379"/>
      <c r="P50" s="371"/>
      <c r="Q50" s="374"/>
      <c r="R50" s="374"/>
      <c r="S50" s="374"/>
      <c r="T50" s="379"/>
    </row>
    <row r="51" spans="2:20">
      <c r="B51" s="371" t="s">
        <v>471</v>
      </c>
      <c r="C51" s="374">
        <v>645</v>
      </c>
      <c r="D51" s="374">
        <v>542</v>
      </c>
      <c r="E51" s="374">
        <v>509</v>
      </c>
      <c r="F51" s="374">
        <v>583</v>
      </c>
      <c r="G51" s="379">
        <v>1038</v>
      </c>
      <c r="I51" s="372" t="s">
        <v>360</v>
      </c>
      <c r="J51" s="376">
        <v>-141</v>
      </c>
      <c r="K51" s="376">
        <v>-113</v>
      </c>
      <c r="L51" s="376">
        <v>-138</v>
      </c>
      <c r="M51" s="376">
        <v>-93</v>
      </c>
      <c r="N51" s="381">
        <v>-100</v>
      </c>
      <c r="P51" s="371" t="s">
        <v>351</v>
      </c>
      <c r="Q51" s="374">
        <f>C51-D51</f>
        <v>103</v>
      </c>
      <c r="R51" s="374">
        <f t="shared" ref="R51:T52" si="45">D51-E51</f>
        <v>33</v>
      </c>
      <c r="S51" s="374">
        <f t="shared" si="45"/>
        <v>-74</v>
      </c>
      <c r="T51" s="379">
        <f t="shared" si="45"/>
        <v>-455</v>
      </c>
    </row>
    <row r="52" spans="2:20">
      <c r="B52" s="372" t="s">
        <v>342</v>
      </c>
      <c r="C52" s="376">
        <v>-887</v>
      </c>
      <c r="D52" s="376">
        <v>-895</v>
      </c>
      <c r="E52" s="376">
        <v>-827</v>
      </c>
      <c r="F52" s="376">
        <v>-1124</v>
      </c>
      <c r="G52" s="381">
        <v>-1559</v>
      </c>
      <c r="I52" s="373" t="s">
        <v>304</v>
      </c>
      <c r="J52" s="375">
        <f>J49+J51</f>
        <v>34</v>
      </c>
      <c r="K52" s="375">
        <f t="shared" ref="K52:N52" si="46">K49+K51</f>
        <v>334</v>
      </c>
      <c r="L52" s="375">
        <f t="shared" si="46"/>
        <v>576</v>
      </c>
      <c r="M52" s="375">
        <f t="shared" si="46"/>
        <v>414</v>
      </c>
      <c r="N52" s="392">
        <f t="shared" si="46"/>
        <v>586</v>
      </c>
      <c r="P52" s="372" t="s">
        <v>495</v>
      </c>
      <c r="Q52" s="376">
        <f>C52-D52</f>
        <v>8</v>
      </c>
      <c r="R52" s="376">
        <f t="shared" si="45"/>
        <v>-68</v>
      </c>
      <c r="S52" s="376">
        <f t="shared" si="45"/>
        <v>297</v>
      </c>
      <c r="T52" s="381">
        <f t="shared" si="45"/>
        <v>435</v>
      </c>
    </row>
    <row r="53" spans="2:20">
      <c r="B53" s="373" t="s">
        <v>472</v>
      </c>
      <c r="C53" s="375">
        <f>C49+C51+C52</f>
        <v>391</v>
      </c>
      <c r="D53" s="375">
        <f t="shared" ref="D53:G53" si="47">D49+D51+D52</f>
        <v>492</v>
      </c>
      <c r="E53" s="375">
        <f t="shared" si="47"/>
        <v>438</v>
      </c>
      <c r="F53" s="375">
        <f t="shared" si="47"/>
        <v>334</v>
      </c>
      <c r="G53" s="392">
        <f t="shared" si="47"/>
        <v>316</v>
      </c>
      <c r="I53" s="371"/>
      <c r="J53" s="374"/>
      <c r="K53" s="374"/>
      <c r="L53" s="374"/>
      <c r="M53" s="374"/>
      <c r="N53" s="379"/>
      <c r="P53" s="373" t="s">
        <v>496</v>
      </c>
      <c r="Q53" s="375">
        <f>Q49+Q51+Q52</f>
        <v>-101</v>
      </c>
      <c r="R53" s="375">
        <f t="shared" ref="R53:T53" si="48">R49+R51+R52</f>
        <v>54</v>
      </c>
      <c r="S53" s="375">
        <f t="shared" si="48"/>
        <v>104</v>
      </c>
      <c r="T53" s="392">
        <f t="shared" si="48"/>
        <v>18</v>
      </c>
    </row>
    <row r="54" spans="2:20">
      <c r="B54" s="371"/>
      <c r="C54" s="374"/>
      <c r="D54" s="374"/>
      <c r="E54" s="374"/>
      <c r="F54" s="374"/>
      <c r="G54" s="379"/>
      <c r="I54" s="371" t="s">
        <v>453</v>
      </c>
      <c r="J54" s="374">
        <v>-138</v>
      </c>
      <c r="K54" s="374">
        <v>-127</v>
      </c>
      <c r="L54" s="374">
        <v>-197</v>
      </c>
      <c r="M54" s="374">
        <v>-133</v>
      </c>
      <c r="N54" s="379">
        <v>-188</v>
      </c>
      <c r="P54" s="371"/>
      <c r="Q54" s="374"/>
      <c r="R54" s="374"/>
      <c r="S54" s="374"/>
      <c r="T54" s="379"/>
    </row>
    <row r="55" spans="2:20">
      <c r="B55" s="371" t="s">
        <v>473</v>
      </c>
      <c r="C55" s="374">
        <v>305</v>
      </c>
      <c r="D55" s="374">
        <v>357</v>
      </c>
      <c r="E55" s="374">
        <v>295</v>
      </c>
      <c r="F55" s="374">
        <v>274</v>
      </c>
      <c r="G55" s="379">
        <v>286</v>
      </c>
      <c r="I55" s="371" t="s">
        <v>488</v>
      </c>
      <c r="J55" s="374">
        <v>-2</v>
      </c>
      <c r="K55" s="374">
        <v>17</v>
      </c>
      <c r="L55" s="374">
        <v>-87</v>
      </c>
      <c r="M55" s="374">
        <v>19</v>
      </c>
      <c r="N55" s="379">
        <v>1</v>
      </c>
      <c r="P55" s="371" t="s">
        <v>497</v>
      </c>
      <c r="Q55" s="374">
        <f>C41+C42-D41-D42+K47</f>
        <v>-1059</v>
      </c>
      <c r="R55" s="374">
        <f t="shared" ref="R55:T55" si="49">D41+D42-E41-E42+L47</f>
        <v>-167</v>
      </c>
      <c r="S55" s="374">
        <f t="shared" si="49"/>
        <v>-1186</v>
      </c>
      <c r="T55" s="379">
        <f t="shared" si="49"/>
        <v>-814</v>
      </c>
    </row>
    <row r="56" spans="2:20">
      <c r="B56" s="371" t="s">
        <v>474</v>
      </c>
      <c r="C56" s="374">
        <v>-327</v>
      </c>
      <c r="D56" s="374">
        <v>-359</v>
      </c>
      <c r="E56" s="374">
        <v>-315</v>
      </c>
      <c r="F56" s="374">
        <v>-311</v>
      </c>
      <c r="G56" s="379">
        <v>-300</v>
      </c>
      <c r="I56" s="372" t="s">
        <v>455</v>
      </c>
      <c r="J56" s="376">
        <v>130</v>
      </c>
      <c r="K56" s="376">
        <v>1</v>
      </c>
      <c r="L56" s="376">
        <v>-6</v>
      </c>
      <c r="M56" s="376">
        <v>-16</v>
      </c>
      <c r="N56" s="381">
        <v>-2</v>
      </c>
      <c r="P56" s="371" t="s">
        <v>498</v>
      </c>
      <c r="Q56" s="374">
        <f>-K47</f>
        <v>659</v>
      </c>
      <c r="R56" s="374">
        <f t="shared" ref="R56:T56" si="50">-L47</f>
        <v>455</v>
      </c>
      <c r="S56" s="374">
        <f t="shared" si="50"/>
        <v>633</v>
      </c>
      <c r="T56" s="379">
        <f t="shared" si="50"/>
        <v>515</v>
      </c>
    </row>
    <row r="57" spans="2:20" ht="15" thickBot="1">
      <c r="B57" s="372" t="s">
        <v>475</v>
      </c>
      <c r="C57" s="376">
        <v>-604</v>
      </c>
      <c r="D57" s="376">
        <v>-666</v>
      </c>
      <c r="E57" s="376">
        <v>-626</v>
      </c>
      <c r="F57" s="376">
        <v>-637</v>
      </c>
      <c r="G57" s="381">
        <v>-668</v>
      </c>
      <c r="I57" s="416" t="s">
        <v>489</v>
      </c>
      <c r="J57" s="417">
        <f>J52+J54+J55+J56</f>
        <v>24</v>
      </c>
      <c r="K57" s="417">
        <f t="shared" ref="K57:N57" si="51">K52+K54+K55+K56</f>
        <v>225</v>
      </c>
      <c r="L57" s="417">
        <f t="shared" si="51"/>
        <v>286</v>
      </c>
      <c r="M57" s="417">
        <f t="shared" si="51"/>
        <v>284</v>
      </c>
      <c r="N57" s="418">
        <f t="shared" si="51"/>
        <v>397</v>
      </c>
      <c r="P57" s="371" t="s">
        <v>355</v>
      </c>
      <c r="Q57" s="374">
        <f>C57-D57</f>
        <v>62</v>
      </c>
      <c r="R57" s="374">
        <f t="shared" ref="R57:T57" si="52">D57-E57</f>
        <v>-40</v>
      </c>
      <c r="S57" s="374">
        <f t="shared" si="52"/>
        <v>11</v>
      </c>
      <c r="T57" s="379">
        <f t="shared" si="52"/>
        <v>31</v>
      </c>
    </row>
    <row r="58" spans="2:20">
      <c r="B58" s="373" t="s">
        <v>476</v>
      </c>
      <c r="C58" s="375">
        <f>C44+C53+C55+C56+C57</f>
        <v>6293</v>
      </c>
      <c r="D58" s="375">
        <f t="shared" ref="D58:G58" si="53">D44+D53+D55+D56+D57</f>
        <v>6746</v>
      </c>
      <c r="E58" s="375">
        <f t="shared" si="53"/>
        <v>6391</v>
      </c>
      <c r="F58" s="375">
        <f t="shared" si="53"/>
        <v>6751</v>
      </c>
      <c r="G58" s="392">
        <f t="shared" si="53"/>
        <v>7075</v>
      </c>
      <c r="P58" s="371" t="s">
        <v>499</v>
      </c>
      <c r="Q58" s="374">
        <f>C56-D56</f>
        <v>32</v>
      </c>
      <c r="R58" s="374">
        <f t="shared" ref="R58:T58" si="54">D56-E56</f>
        <v>-44</v>
      </c>
      <c r="S58" s="374">
        <f t="shared" si="54"/>
        <v>-4</v>
      </c>
      <c r="T58" s="379">
        <f t="shared" si="54"/>
        <v>-11</v>
      </c>
    </row>
    <row r="59" spans="2:20">
      <c r="B59" s="371"/>
      <c r="C59" s="374"/>
      <c r="D59" s="374"/>
      <c r="E59" s="374"/>
      <c r="F59" s="374"/>
      <c r="G59" s="379"/>
      <c r="P59" s="371" t="s">
        <v>500</v>
      </c>
      <c r="Q59" s="374">
        <f>C55-D55</f>
        <v>-52</v>
      </c>
      <c r="R59" s="374">
        <f t="shared" ref="R59:T59" si="55">D55-E55</f>
        <v>62</v>
      </c>
      <c r="S59" s="374">
        <f t="shared" si="55"/>
        <v>21</v>
      </c>
      <c r="T59" s="379">
        <f t="shared" si="55"/>
        <v>-12</v>
      </c>
    </row>
    <row r="60" spans="2:20">
      <c r="B60" s="373" t="s">
        <v>339</v>
      </c>
      <c r="C60" s="375">
        <v>-3132</v>
      </c>
      <c r="D60" s="375">
        <v>-3462</v>
      </c>
      <c r="E60" s="375">
        <v>-3191</v>
      </c>
      <c r="F60" s="375">
        <v>-3614</v>
      </c>
      <c r="G60" s="392">
        <v>-3746</v>
      </c>
      <c r="P60" s="372" t="s">
        <v>357</v>
      </c>
      <c r="Q60" s="376">
        <f>K55+K56</f>
        <v>18</v>
      </c>
      <c r="R60" s="376">
        <f t="shared" ref="R60:T60" si="56">L55+L56</f>
        <v>-93</v>
      </c>
      <c r="S60" s="376">
        <f t="shared" si="56"/>
        <v>3</v>
      </c>
      <c r="T60" s="381">
        <f t="shared" si="56"/>
        <v>-1</v>
      </c>
    </row>
    <row r="61" spans="2:20">
      <c r="B61" s="371"/>
      <c r="C61" s="374"/>
      <c r="D61" s="374"/>
      <c r="E61" s="374"/>
      <c r="F61" s="374"/>
      <c r="G61" s="379"/>
      <c r="P61" s="373" t="s">
        <v>358</v>
      </c>
      <c r="Q61" s="409">
        <f>Q44+Q53+SUM(Q55:Q60)</f>
        <v>-163.96706586826349</v>
      </c>
      <c r="R61" s="409">
        <f t="shared" ref="R61:T61" si="57">R44+R53+SUM(R55:R60)</f>
        <v>696.80208333333326</v>
      </c>
      <c r="S61" s="409">
        <f t="shared" si="57"/>
        <v>-73.876811594202877</v>
      </c>
      <c r="T61" s="410">
        <f t="shared" si="57"/>
        <v>191.91808873720134</v>
      </c>
    </row>
    <row r="62" spans="2:20">
      <c r="B62" s="371" t="s">
        <v>477</v>
      </c>
      <c r="C62" s="374">
        <v>-3720</v>
      </c>
      <c r="D62" s="374">
        <v>-3973</v>
      </c>
      <c r="E62" s="374">
        <v>-3926</v>
      </c>
      <c r="F62" s="374">
        <v>-3741</v>
      </c>
      <c r="G62" s="379">
        <v>-3636</v>
      </c>
      <c r="P62" s="412" t="s">
        <v>359</v>
      </c>
      <c r="Q62" s="413">
        <f>Q61/Q41</f>
        <v>-0.36681670216613754</v>
      </c>
      <c r="R62" s="413">
        <f t="shared" ref="R62:T62" si="58">R61/R41</f>
        <v>0.97591328197945837</v>
      </c>
      <c r="S62" s="413">
        <f t="shared" si="58"/>
        <v>-0.14571363233570586</v>
      </c>
      <c r="T62" s="414">
        <f t="shared" si="58"/>
        <v>0.27976397775102235</v>
      </c>
    </row>
    <row r="63" spans="2:20">
      <c r="B63" s="372" t="s">
        <v>478</v>
      </c>
      <c r="C63" s="376">
        <v>559</v>
      </c>
      <c r="D63" s="376">
        <v>689</v>
      </c>
      <c r="E63" s="376">
        <v>726</v>
      </c>
      <c r="F63" s="376">
        <v>604</v>
      </c>
      <c r="G63" s="381">
        <v>307</v>
      </c>
      <c r="P63" s="371"/>
      <c r="Q63" s="374"/>
      <c r="R63" s="374"/>
      <c r="S63" s="374"/>
      <c r="T63" s="379"/>
    </row>
    <row r="64" spans="2:20">
      <c r="B64" s="378" t="s">
        <v>479</v>
      </c>
      <c r="C64" s="388">
        <f>C62+C63</f>
        <v>-3161</v>
      </c>
      <c r="D64" s="388">
        <f t="shared" ref="D64:G64" si="59">D62+D63</f>
        <v>-3284</v>
      </c>
      <c r="E64" s="388">
        <f t="shared" si="59"/>
        <v>-3200</v>
      </c>
      <c r="F64" s="388">
        <f t="shared" si="59"/>
        <v>-3137</v>
      </c>
      <c r="G64" s="394">
        <f t="shared" si="59"/>
        <v>-3329</v>
      </c>
      <c r="P64" s="371" t="s">
        <v>501</v>
      </c>
      <c r="Q64" s="374">
        <f>C43-D43+K51</f>
        <v>-107</v>
      </c>
      <c r="R64" s="374">
        <f t="shared" ref="R64:T64" si="60">D43-E43+L51</f>
        <v>-103</v>
      </c>
      <c r="S64" s="374">
        <f t="shared" si="60"/>
        <v>-32</v>
      </c>
      <c r="T64" s="379">
        <f t="shared" si="60"/>
        <v>-151</v>
      </c>
    </row>
    <row r="65" spans="2:20">
      <c r="B65" s="373" t="s">
        <v>480</v>
      </c>
      <c r="C65" s="375">
        <f>C60+C64</f>
        <v>-6293</v>
      </c>
      <c r="D65" s="375">
        <f t="shared" ref="D65:G65" si="61">D60+D64</f>
        <v>-6746</v>
      </c>
      <c r="E65" s="375">
        <f t="shared" si="61"/>
        <v>-6391</v>
      </c>
      <c r="F65" s="375">
        <f t="shared" si="61"/>
        <v>-6751</v>
      </c>
      <c r="G65" s="392">
        <f t="shared" si="61"/>
        <v>-7075</v>
      </c>
      <c r="P65" s="371" t="s">
        <v>502</v>
      </c>
      <c r="Q65" s="374">
        <f>C62-D62</f>
        <v>253</v>
      </c>
      <c r="R65" s="374">
        <f t="shared" ref="R65:T65" si="62">D62-E62</f>
        <v>-47</v>
      </c>
      <c r="S65" s="374">
        <f t="shared" si="62"/>
        <v>-185</v>
      </c>
      <c r="T65" s="379">
        <f t="shared" si="62"/>
        <v>-105</v>
      </c>
    </row>
    <row r="66" spans="2:20" ht="15" thickBot="1">
      <c r="B66" s="399" t="s">
        <v>481</v>
      </c>
      <c r="C66" s="400">
        <f>C58+C65</f>
        <v>0</v>
      </c>
      <c r="D66" s="400">
        <f t="shared" ref="D66:G66" si="63">D58+D65</f>
        <v>0</v>
      </c>
      <c r="E66" s="400">
        <f t="shared" si="63"/>
        <v>0</v>
      </c>
      <c r="F66" s="400">
        <f t="shared" si="63"/>
        <v>0</v>
      </c>
      <c r="G66" s="401">
        <f t="shared" si="63"/>
        <v>0</v>
      </c>
      <c r="P66" s="372" t="s">
        <v>503</v>
      </c>
      <c r="Q66" s="382">
        <f>-Q43</f>
        <v>42.967065868263475</v>
      </c>
      <c r="R66" s="382">
        <f t="shared" ref="R66:T66" si="64">-R43</f>
        <v>47.197916666666664</v>
      </c>
      <c r="S66" s="382">
        <f t="shared" si="64"/>
        <v>29.876811594202898</v>
      </c>
      <c r="T66" s="408">
        <f t="shared" si="64"/>
        <v>32.081911262798634</v>
      </c>
    </row>
    <row r="67" spans="2:20">
      <c r="P67" s="373" t="s">
        <v>504</v>
      </c>
      <c r="Q67" s="409">
        <f>Q61+Q64+Q65+Q66</f>
        <v>24.999999999999986</v>
      </c>
      <c r="R67" s="409">
        <f t="shared" ref="R67:T67" si="65">R61+R64+R65+R66</f>
        <v>593.99999999999989</v>
      </c>
      <c r="S67" s="409">
        <f t="shared" si="65"/>
        <v>-261</v>
      </c>
      <c r="T67" s="410">
        <f t="shared" si="65"/>
        <v>-32.000000000000021</v>
      </c>
    </row>
    <row r="68" spans="2:20">
      <c r="P68" s="412" t="s">
        <v>359</v>
      </c>
      <c r="Q68" s="413">
        <f>Q67/Q41</f>
        <v>5.592841163310959E-2</v>
      </c>
      <c r="R68" s="413">
        <f t="shared" ref="R68:T68" si="66">R67/R41</f>
        <v>0.83193277310924352</v>
      </c>
      <c r="S68" s="413">
        <f t="shared" si="66"/>
        <v>-0.51479289940828399</v>
      </c>
      <c r="T68" s="414">
        <f t="shared" si="66"/>
        <v>-4.6647230320699742E-2</v>
      </c>
    </row>
    <row r="69" spans="2:20">
      <c r="P69" s="371"/>
      <c r="Q69" s="374"/>
      <c r="R69" s="374"/>
      <c r="S69" s="374"/>
      <c r="T69" s="379"/>
    </row>
    <row r="70" spans="2:20">
      <c r="P70" s="372" t="s">
        <v>364</v>
      </c>
      <c r="Q70" s="376">
        <f>C60-D60-K57</f>
        <v>105</v>
      </c>
      <c r="R70" s="376">
        <f t="shared" ref="R70:T70" si="67">D60-E60-L57</f>
        <v>-557</v>
      </c>
      <c r="S70" s="376">
        <f t="shared" si="67"/>
        <v>139</v>
      </c>
      <c r="T70" s="381">
        <f t="shared" si="67"/>
        <v>-265</v>
      </c>
    </row>
    <row r="71" spans="2:20">
      <c r="P71" s="373" t="s">
        <v>505</v>
      </c>
      <c r="Q71" s="409">
        <f>Q67+Q70</f>
        <v>130</v>
      </c>
      <c r="R71" s="409">
        <f t="shared" ref="R71:T71" si="68">R67+R70</f>
        <v>36.999999999999886</v>
      </c>
      <c r="S71" s="409">
        <f t="shared" si="68"/>
        <v>-122</v>
      </c>
      <c r="T71" s="410">
        <f t="shared" si="68"/>
        <v>-297</v>
      </c>
    </row>
    <row r="72" spans="2:20">
      <c r="P72" s="371"/>
      <c r="Q72" s="374"/>
      <c r="R72" s="374"/>
      <c r="S72" s="374"/>
      <c r="T72" s="379"/>
    </row>
    <row r="73" spans="2:20">
      <c r="P73" s="373" t="s">
        <v>506</v>
      </c>
      <c r="Q73" s="375">
        <f>D63-C63</f>
        <v>130</v>
      </c>
      <c r="R73" s="375">
        <f t="shared" ref="R73:T73" si="69">E63-D63</f>
        <v>37</v>
      </c>
      <c r="S73" s="375">
        <f t="shared" si="69"/>
        <v>-122</v>
      </c>
      <c r="T73" s="392">
        <f t="shared" si="69"/>
        <v>-297</v>
      </c>
    </row>
    <row r="74" spans="2:20">
      <c r="P74" s="262"/>
      <c r="Q74" s="55"/>
      <c r="R74" s="55"/>
      <c r="S74" s="55"/>
      <c r="T74" s="291"/>
    </row>
    <row r="75" spans="2:20" ht="15" thickBot="1">
      <c r="P75" s="425" t="s">
        <v>511</v>
      </c>
      <c r="Q75" s="426">
        <f>Q71-Q73</f>
        <v>0</v>
      </c>
      <c r="R75" s="426">
        <f t="shared" ref="R75:T75" si="70">R71-R73</f>
        <v>-1.1368683772161603E-13</v>
      </c>
      <c r="S75" s="426">
        <f t="shared" si="70"/>
        <v>0</v>
      </c>
      <c r="T75" s="427">
        <f t="shared" si="70"/>
        <v>0</v>
      </c>
    </row>
  </sheetData>
  <pageMargins left="0.7" right="0.7" top="0.75" bottom="0.75" header="0.3" footer="0.3"/>
  <pageSetup paperSize="9" orientation="portrait" r:id="rId1"/>
  <ignoredErrors>
    <ignoredError sqref="C6:G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52B0-1068-447B-804B-7811645FA298}">
  <sheetPr codeName="Foglio11"/>
  <dimension ref="A1:P138"/>
  <sheetViews>
    <sheetView workbookViewId="0">
      <selection activeCell="N45" sqref="N45"/>
    </sheetView>
  </sheetViews>
  <sheetFormatPr defaultRowHeight="14.4"/>
  <cols>
    <col min="1" max="1" width="21.88671875" customWidth="1"/>
    <col min="2" max="11" width="10.109375" bestFit="1" customWidth="1"/>
  </cols>
  <sheetData>
    <row r="1" spans="1:16" ht="15" thickBot="1">
      <c r="A1" s="1" t="s">
        <v>586</v>
      </c>
      <c r="B1" s="1"/>
      <c r="C1" s="1"/>
      <c r="D1" s="1"/>
      <c r="E1" s="1"/>
      <c r="F1" s="509"/>
      <c r="G1" s="1" t="s">
        <v>525</v>
      </c>
      <c r="H1" s="1"/>
      <c r="I1" s="1"/>
      <c r="J1" s="1"/>
      <c r="K1" s="509"/>
      <c r="L1" s="1" t="s">
        <v>589</v>
      </c>
      <c r="M1" s="1"/>
      <c r="N1" s="1"/>
      <c r="O1" s="1"/>
      <c r="P1" s="1"/>
    </row>
    <row r="2" spans="1:16">
      <c r="A2" s="612"/>
      <c r="B2" s="613">
        <v>2015</v>
      </c>
      <c r="C2" s="614">
        <v>2016</v>
      </c>
      <c r="D2" s="614">
        <v>2017</v>
      </c>
      <c r="E2" s="614">
        <v>2018</v>
      </c>
      <c r="F2" s="615">
        <v>2019</v>
      </c>
      <c r="G2" s="613">
        <v>2020</v>
      </c>
      <c r="H2" s="614">
        <v>2021</v>
      </c>
      <c r="I2" s="614">
        <v>2022</v>
      </c>
      <c r="J2" s="613">
        <v>2023</v>
      </c>
      <c r="K2" s="615">
        <v>2024</v>
      </c>
      <c r="L2" s="616"/>
      <c r="M2" s="1"/>
      <c r="N2" s="1"/>
      <c r="O2" s="1"/>
      <c r="P2" s="1"/>
    </row>
    <row r="3" spans="1:16" s="542" customFormat="1">
      <c r="A3" s="509"/>
      <c r="B3" s="544"/>
      <c r="C3" s="544"/>
      <c r="D3" s="544"/>
      <c r="E3" s="544"/>
      <c r="F3" s="509"/>
      <c r="G3" s="544"/>
      <c r="H3" s="544"/>
      <c r="I3" s="544"/>
      <c r="J3" s="544"/>
      <c r="K3" s="509"/>
      <c r="L3" s="544"/>
      <c r="M3" s="543"/>
      <c r="N3" s="543"/>
      <c r="O3" s="543"/>
      <c r="P3" s="543"/>
    </row>
    <row r="4" spans="1:16" s="542" customFormat="1">
      <c r="A4" s="568" t="s">
        <v>652</v>
      </c>
      <c r="B4" s="619">
        <f>'Forecasts Simo '!B37</f>
        <v>4732</v>
      </c>
      <c r="C4" s="619">
        <f>'Forecasts Simo '!C37</f>
        <v>4581</v>
      </c>
      <c r="D4" s="619">
        <f>'Forecasts Simo '!D37</f>
        <v>5590</v>
      </c>
      <c r="E4" s="619">
        <f>'Forecasts Simo '!E37</f>
        <v>6271</v>
      </c>
      <c r="F4" s="620">
        <f>'Forecasts Simo '!F37</f>
        <v>7122</v>
      </c>
      <c r="G4" s="619">
        <f>'Forecasts Simo '!G37</f>
        <v>7229.9878811512444</v>
      </c>
      <c r="H4" s="619">
        <f>'Forecasts Simo '!H37</f>
        <v>7339.613136983131</v>
      </c>
      <c r="I4" s="619">
        <f>'Forecasts Simo '!I37</f>
        <v>7450.9005943171169</v>
      </c>
      <c r="J4" s="619">
        <f>'Forecasts Simo '!J37</f>
        <v>7563.8754564132787</v>
      </c>
      <c r="K4" s="620">
        <f>'Forecasts Simo '!K37</f>
        <v>7675.7218275645055</v>
      </c>
      <c r="L4" s="544"/>
      <c r="M4" s="543"/>
      <c r="N4" s="543"/>
      <c r="O4" s="543"/>
      <c r="P4" s="543"/>
    </row>
    <row r="5" spans="1:16">
      <c r="A5" s="509" t="s">
        <v>653</v>
      </c>
      <c r="B5" s="564">
        <f>'Forecasts Simo '!B38</f>
        <v>189</v>
      </c>
      <c r="C5" s="564">
        <f>'Forecasts Simo '!C38</f>
        <v>279</v>
      </c>
      <c r="D5" s="564">
        <f>'Forecasts Simo '!D38</f>
        <v>206</v>
      </c>
      <c r="E5" s="564">
        <f>'Forecasts Simo '!E38</f>
        <v>223</v>
      </c>
      <c r="F5" s="565">
        <f>'Forecasts Simo '!F38</f>
        <v>202</v>
      </c>
      <c r="G5" s="564">
        <f>'Forecasts Simo '!G38</f>
        <v>231.0824726511394</v>
      </c>
      <c r="H5" s="564">
        <f>'Forecasts Simo '!H38</f>
        <v>234.58627868775648</v>
      </c>
      <c r="I5" s="564">
        <f>'Forecasts Simo '!I38</f>
        <v>238.14321145701319</v>
      </c>
      <c r="J5" s="564">
        <f>'Forecasts Simo '!J38</f>
        <v>241.7540764971418</v>
      </c>
      <c r="K5" s="565">
        <f>'Forecasts Simo '!K38</f>
        <v>245.32887308429278</v>
      </c>
      <c r="L5" s="1"/>
      <c r="M5" s="1"/>
      <c r="N5" s="1"/>
      <c r="O5" s="1"/>
      <c r="P5" s="1"/>
    </row>
    <row r="6" spans="1:16">
      <c r="A6" s="569" t="s">
        <v>482</v>
      </c>
      <c r="B6" s="624">
        <f>SUM(B4:B5)</f>
        <v>4921</v>
      </c>
      <c r="C6" s="624">
        <f t="shared" ref="C6:F6" si="0">SUM(C4:C5)</f>
        <v>4860</v>
      </c>
      <c r="D6" s="624">
        <f t="shared" si="0"/>
        <v>5796</v>
      </c>
      <c r="E6" s="624">
        <f t="shared" si="0"/>
        <v>6494</v>
      </c>
      <c r="F6" s="647">
        <f t="shared" si="0"/>
        <v>7324</v>
      </c>
      <c r="G6" s="624">
        <f t="shared" ref="G6" si="1">SUM(G4:G5)</f>
        <v>7461.0703538023836</v>
      </c>
      <c r="H6" s="624">
        <f t="shared" ref="H6" si="2">SUM(H4:H5)</f>
        <v>7574.1994156708879</v>
      </c>
      <c r="I6" s="624">
        <f t="shared" ref="I6" si="3">SUM(I4:I5)</f>
        <v>7689.0438057741303</v>
      </c>
      <c r="J6" s="624">
        <f t="shared" ref="J6" si="4">SUM(J4:J5)</f>
        <v>7805.6295329104205</v>
      </c>
      <c r="K6" s="647">
        <f t="shared" ref="K6" si="5">SUM(K4:K5)</f>
        <v>7921.0507006487978</v>
      </c>
      <c r="L6" s="105"/>
      <c r="M6" s="1"/>
      <c r="N6" s="1"/>
      <c r="O6" s="1"/>
      <c r="P6" s="1"/>
    </row>
    <row r="7" spans="1:16">
      <c r="A7" s="509"/>
      <c r="B7" s="564"/>
      <c r="C7" s="564"/>
      <c r="D7" s="564"/>
      <c r="E7" s="564"/>
      <c r="F7" s="565"/>
      <c r="G7" s="564"/>
      <c r="H7" s="564"/>
      <c r="I7" s="564"/>
      <c r="J7" s="564"/>
      <c r="K7" s="565"/>
      <c r="L7" s="1"/>
      <c r="M7" s="1"/>
      <c r="N7" s="1"/>
      <c r="O7" s="1"/>
      <c r="P7" s="1"/>
    </row>
    <row r="8" spans="1:16" s="542" customFormat="1">
      <c r="A8" s="509" t="s">
        <v>41</v>
      </c>
      <c r="B8" s="564">
        <f>'Forecasts Simo '!B42</f>
        <v>-2286</v>
      </c>
      <c r="C8" s="564">
        <f>'Forecasts Simo '!C42</f>
        <v>-2101</v>
      </c>
      <c r="D8" s="564">
        <f>'Forecasts Simo '!D42</f>
        <v>-2831</v>
      </c>
      <c r="E8" s="564">
        <f>'Forecasts Simo '!E42</f>
        <v>-3346</v>
      </c>
      <c r="F8" s="565">
        <f>'Forecasts Simo '!F42</f>
        <v>-4004</v>
      </c>
      <c r="G8" s="564">
        <f>'Forecasts Simo '!G42</f>
        <v>-3861.3170115701314</v>
      </c>
      <c r="H8" s="564">
        <f>'Forecasts Simo '!H42</f>
        <v>-3919.8645322851989</v>
      </c>
      <c r="I8" s="564">
        <f>'Forecasts Simo '!I42</f>
        <v>-3979.2997843550379</v>
      </c>
      <c r="J8" s="564">
        <f>'Forecasts Simo '!J42</f>
        <v>-4039.6362280756375</v>
      </c>
      <c r="K8" s="565">
        <f>'Forecasts Simo '!K42</f>
        <v>-4099.3699790456121</v>
      </c>
      <c r="L8" s="543"/>
      <c r="M8" s="543"/>
      <c r="N8" s="543"/>
      <c r="O8" s="543"/>
      <c r="P8" s="543"/>
    </row>
    <row r="9" spans="1:16" s="542" customFormat="1">
      <c r="A9" s="509" t="s">
        <v>654</v>
      </c>
      <c r="B9" s="564">
        <f>'Forecasts Simo '!B43</f>
        <v>-706</v>
      </c>
      <c r="C9" s="564">
        <f>'Forecasts Simo '!C43</f>
        <v>-758</v>
      </c>
      <c r="D9" s="564">
        <f>'Forecasts Simo '!D43</f>
        <v>-850</v>
      </c>
      <c r="E9" s="564">
        <f>'Forecasts Simo '!E43</f>
        <v>-986</v>
      </c>
      <c r="F9" s="565">
        <f>'Forecasts Simo '!F43</f>
        <v>-1152</v>
      </c>
      <c r="G9" s="564">
        <f>'Forecasts Simo '!G43</f>
        <v>-1135.2075417956739</v>
      </c>
      <c r="H9" s="564">
        <f>'Forecasts Simo '!H43</f>
        <v>-1152.4202147955934</v>
      </c>
      <c r="I9" s="564">
        <f>'Forecasts Simo '!I43</f>
        <v>-1169.8938762939981</v>
      </c>
      <c r="J9" s="564">
        <f>'Forecasts Simo '!J43</f>
        <v>-1187.6324835493767</v>
      </c>
      <c r="K9" s="565">
        <f>'Forecasts Simo '!K43</f>
        <v>-1205.1939022046365</v>
      </c>
      <c r="L9" s="543"/>
      <c r="M9" s="543"/>
      <c r="N9" s="543"/>
      <c r="O9" s="543"/>
      <c r="P9" s="543"/>
    </row>
    <row r="10" spans="1:16" s="542" customFormat="1">
      <c r="A10" s="509" t="s">
        <v>655</v>
      </c>
      <c r="B10" s="564">
        <f>'Forecasts Simo '!B44</f>
        <v>-252</v>
      </c>
      <c r="C10" s="564">
        <f>'Forecasts Simo '!C44</f>
        <v>-243</v>
      </c>
      <c r="D10" s="564">
        <f>'Forecasts Simo '!D44</f>
        <v>-281</v>
      </c>
      <c r="E10" s="564">
        <f>'Forecasts Simo '!E44</f>
        <v>-266</v>
      </c>
      <c r="F10" s="565">
        <f>'Forecasts Simo '!F44</f>
        <v>-234</v>
      </c>
      <c r="G10" s="564">
        <f>'Forecasts Simo '!G44</f>
        <v>-394.3485356689381</v>
      </c>
      <c r="H10" s="564">
        <f>'Forecasts Simo '!H44</f>
        <v>-346.13352111880317</v>
      </c>
      <c r="I10" s="564">
        <f>'Forecasts Simo '!I44</f>
        <v>-294.11338730152363</v>
      </c>
      <c r="J10" s="564">
        <f>'Forecasts Simo '!J44</f>
        <v>-238.05606978490357</v>
      </c>
      <c r="K10" s="565">
        <f>'Forecasts Simo '!K44</f>
        <v>-177.04862284693229</v>
      </c>
      <c r="L10" s="543"/>
      <c r="M10" s="543"/>
      <c r="N10" s="543"/>
      <c r="O10" s="543"/>
      <c r="P10" s="543"/>
    </row>
    <row r="11" spans="1:16">
      <c r="A11" s="509" t="s">
        <v>309</v>
      </c>
      <c r="B11" s="564">
        <f>'Forecasts Simo '!B45</f>
        <v>-629</v>
      </c>
      <c r="C11" s="564">
        <f>'Forecasts Simo '!C45</f>
        <v>-596</v>
      </c>
      <c r="D11" s="564">
        <f>'Forecasts Simo '!D45</f>
        <v>-635</v>
      </c>
      <c r="E11" s="564">
        <f>'Forecasts Simo '!E45</f>
        <v>-665</v>
      </c>
      <c r="F11" s="565">
        <f>'Forecasts Simo '!F45</f>
        <v>-700</v>
      </c>
      <c r="G11" s="564">
        <f>'Forecasts Simo '!G45</f>
        <v>-766.20133450364017</v>
      </c>
      <c r="H11" s="564">
        <f>'Forecasts Simo '!H45</f>
        <v>-777.81892207009673</v>
      </c>
      <c r="I11" s="564">
        <f>'Forecasts Simo '!I45</f>
        <v>-789.61266221523772</v>
      </c>
      <c r="J11" s="564">
        <f>'Forecasts Simo '!J45</f>
        <v>-801.5852258662934</v>
      </c>
      <c r="K11" s="565">
        <f>'Forecasts Simo '!K45</f>
        <v>-813.43819716364135</v>
      </c>
      <c r="L11" s="544"/>
      <c r="M11" s="1"/>
      <c r="N11" s="1"/>
      <c r="O11" s="1"/>
      <c r="P11" s="1"/>
    </row>
    <row r="12" spans="1:16" s="542" customFormat="1">
      <c r="A12" s="103"/>
      <c r="B12" s="105"/>
      <c r="C12" s="105"/>
      <c r="D12" s="105"/>
      <c r="E12" s="105"/>
      <c r="F12" s="103"/>
      <c r="G12" s="572"/>
      <c r="H12" s="572"/>
      <c r="I12" s="572"/>
      <c r="J12" s="572"/>
      <c r="K12" s="573"/>
      <c r="L12" s="105"/>
      <c r="M12" s="544"/>
      <c r="N12" s="543"/>
      <c r="O12" s="543"/>
      <c r="P12" s="543"/>
    </row>
    <row r="13" spans="1:16">
      <c r="A13" s="568" t="s">
        <v>485</v>
      </c>
      <c r="B13" s="104">
        <f>B6+SUM(B8:B11)</f>
        <v>1048</v>
      </c>
      <c r="C13" s="104">
        <f>C6+SUM(C8:C11)</f>
        <v>1162</v>
      </c>
      <c r="D13" s="104">
        <f>D6+SUM(D8:D11)</f>
        <v>1199</v>
      </c>
      <c r="E13" s="104">
        <f>E6+SUM(E8:E11)</f>
        <v>1231</v>
      </c>
      <c r="F13" s="568">
        <f>F6+SUM(F8:F11)</f>
        <v>1234</v>
      </c>
      <c r="G13" s="590">
        <f t="shared" ref="G13:K13" si="6">G6+SUM(G8:G11)</f>
        <v>1303.995930264</v>
      </c>
      <c r="H13" s="590">
        <f t="shared" si="6"/>
        <v>1377.9622254011956</v>
      </c>
      <c r="I13" s="590">
        <f t="shared" si="6"/>
        <v>1456.1240956083329</v>
      </c>
      <c r="J13" s="590">
        <f t="shared" si="6"/>
        <v>1538.7195256342093</v>
      </c>
      <c r="K13" s="608">
        <f t="shared" si="6"/>
        <v>1625.9999993879755</v>
      </c>
      <c r="L13" s="544"/>
      <c r="M13" s="1"/>
      <c r="N13" s="1"/>
      <c r="O13" s="1"/>
      <c r="P13" s="1"/>
    </row>
    <row r="14" spans="1:16">
      <c r="A14" s="509" t="s">
        <v>587</v>
      </c>
      <c r="B14" s="511">
        <f>B13/B6</f>
        <v>0.21296484454379191</v>
      </c>
      <c r="C14" s="511">
        <f>C13/C6</f>
        <v>0.23909465020576132</v>
      </c>
      <c r="D14" s="511">
        <f>D13/D6</f>
        <v>0.20686680469289165</v>
      </c>
      <c r="E14" s="511">
        <f>E13/E6</f>
        <v>0.18955959347089621</v>
      </c>
      <c r="F14" s="534">
        <f>F13/F6</f>
        <v>0.16848716548334244</v>
      </c>
      <c r="G14" s="511">
        <f>G13/G4</f>
        <v>0.18035935214546478</v>
      </c>
      <c r="H14" s="511">
        <f t="shared" ref="H14:K14" si="7">H13/H4</f>
        <v>0.18774316843184355</v>
      </c>
      <c r="I14" s="511">
        <f t="shared" si="7"/>
        <v>0.19542927424356388</v>
      </c>
      <c r="J14" s="511">
        <f t="shared" si="7"/>
        <v>0.20343004515358007</v>
      </c>
      <c r="K14" s="534">
        <f t="shared" si="7"/>
        <v>0.21183675436866409</v>
      </c>
      <c r="L14" s="1"/>
      <c r="M14" s="1"/>
      <c r="N14" s="1"/>
      <c r="O14" s="1"/>
      <c r="P14" s="1"/>
    </row>
    <row r="15" spans="1:16">
      <c r="A15" s="509"/>
      <c r="B15" s="544"/>
      <c r="C15" s="544"/>
      <c r="D15" s="544"/>
      <c r="E15" s="544"/>
      <c r="F15" s="509"/>
      <c r="G15" s="564"/>
      <c r="H15" s="564"/>
      <c r="I15" s="564"/>
      <c r="J15" s="564"/>
      <c r="K15" s="565"/>
      <c r="L15" s="1"/>
      <c r="M15" s="1"/>
      <c r="N15" s="1"/>
      <c r="O15" s="1"/>
      <c r="P15" s="1"/>
    </row>
    <row r="16" spans="1:16">
      <c r="A16" s="509" t="s">
        <v>486</v>
      </c>
      <c r="B16" s="544">
        <f>'Forecasts Simo '!B69+'Forecasts Simo '!B80</f>
        <v>-754</v>
      </c>
      <c r="C16" s="544">
        <f>'Forecasts Simo '!C69+'Forecasts Simo '!C80</f>
        <v>-648</v>
      </c>
      <c r="D16" s="544">
        <f>'Forecasts Simo '!D69+'Forecasts Simo '!D80</f>
        <v>-444</v>
      </c>
      <c r="E16" s="544">
        <f>'Forecasts Simo '!E69+'Forecasts Simo '!E80</f>
        <v>-623</v>
      </c>
      <c r="F16" s="509">
        <f>'Forecasts Simo '!F69+'Forecasts Simo '!F80</f>
        <v>-511</v>
      </c>
      <c r="G16" s="564">
        <f>'Forecasts Simo '!G69+'Forecasts Simo '!G80</f>
        <v>-607.30367267200131</v>
      </c>
      <c r="H16" s="564">
        <f>'Forecasts Simo '!H69+'Forecasts Simo '!H80</f>
        <v>-625.32466501126805</v>
      </c>
      <c r="I16" s="564">
        <f>'Forecasts Simo '!I69+'Forecasts Simo '!I80</f>
        <v>-643.06109913135867</v>
      </c>
      <c r="J16" s="564">
        <f>'Forecasts Simo '!J69+'Forecasts Simo '!J80</f>
        <v>-660.54787130240038</v>
      </c>
      <c r="K16" s="565">
        <f>'Forecasts Simo '!K69+'Forecasts Simo '!K80</f>
        <v>-677.81733591679711</v>
      </c>
      <c r="L16" s="105"/>
      <c r="M16" s="1"/>
      <c r="N16" s="1"/>
      <c r="O16" s="1"/>
      <c r="P16" s="1"/>
    </row>
    <row r="17" spans="1:16" s="542" customFormat="1">
      <c r="A17" s="509" t="s">
        <v>487</v>
      </c>
      <c r="B17" s="564">
        <f>'Forecasts Simo '!B85</f>
        <v>-79</v>
      </c>
      <c r="C17" s="564">
        <f>'Forecasts Simo '!C85</f>
        <v>-71</v>
      </c>
      <c r="D17" s="564">
        <f>'Forecasts Simo '!D85</f>
        <v>-45</v>
      </c>
      <c r="E17" s="564">
        <f>'Forecasts Simo '!E85</f>
        <v>-20</v>
      </c>
      <c r="F17" s="565">
        <f>'Forecasts Simo '!F85</f>
        <v>-36</v>
      </c>
      <c r="G17" s="611">
        <f>'Forecasts Simo '!G85</f>
        <v>-50.2</v>
      </c>
      <c r="H17" s="611">
        <f>'Forecasts Simo '!H85</f>
        <v>-50.2</v>
      </c>
      <c r="I17" s="611">
        <f>'Forecasts Simo '!I85</f>
        <v>-50.2</v>
      </c>
      <c r="J17" s="611">
        <f>'Forecasts Simo '!J85</f>
        <v>-50.2</v>
      </c>
      <c r="K17" s="623">
        <f>'Forecasts Simo '!K85</f>
        <v>-50.2</v>
      </c>
      <c r="L17" s="544"/>
      <c r="M17" s="543"/>
      <c r="N17" s="543"/>
      <c r="O17" s="543"/>
      <c r="P17" s="543"/>
    </row>
    <row r="18" spans="1:16">
      <c r="A18" s="663" t="s">
        <v>588</v>
      </c>
      <c r="B18" s="618">
        <f>B13+B16+B17</f>
        <v>215</v>
      </c>
      <c r="C18" s="618">
        <f t="shared" ref="C18:F18" si="8">C13+C16+C17</f>
        <v>443</v>
      </c>
      <c r="D18" s="618">
        <f t="shared" si="8"/>
        <v>710</v>
      </c>
      <c r="E18" s="618">
        <f t="shared" si="8"/>
        <v>588</v>
      </c>
      <c r="F18" s="665">
        <f t="shared" si="8"/>
        <v>687</v>
      </c>
      <c r="G18" s="618">
        <f>G13+G16+G17</f>
        <v>646.49225759199862</v>
      </c>
      <c r="H18" s="618">
        <f t="shared" ref="H18:K18" si="9">H13+H16+H17</f>
        <v>702.43756038992751</v>
      </c>
      <c r="I18" s="618">
        <f t="shared" si="9"/>
        <v>762.86299647697422</v>
      </c>
      <c r="J18" s="618">
        <f t="shared" si="9"/>
        <v>827.97165433180885</v>
      </c>
      <c r="K18" s="665">
        <f t="shared" si="9"/>
        <v>897.9826634711784</v>
      </c>
      <c r="L18" s="1"/>
      <c r="M18" s="1"/>
      <c r="N18" s="1"/>
      <c r="O18" s="1"/>
      <c r="P18" s="1"/>
    </row>
    <row r="19" spans="1:16">
      <c r="A19" s="509" t="s">
        <v>587</v>
      </c>
      <c r="B19" s="511">
        <f t="shared" ref="B19:K19" si="10">B18/B6</f>
        <v>4.3690306848201584E-2</v>
      </c>
      <c r="C19" s="511">
        <f t="shared" si="10"/>
        <v>9.1152263374485593E-2</v>
      </c>
      <c r="D19" s="511">
        <f t="shared" si="10"/>
        <v>0.12249827467218771</v>
      </c>
      <c r="E19" s="511">
        <f t="shared" si="10"/>
        <v>9.0545118570988611E-2</v>
      </c>
      <c r="F19" s="534">
        <f t="shared" si="10"/>
        <v>9.3801201529219003E-2</v>
      </c>
      <c r="G19" s="481">
        <f t="shared" si="10"/>
        <v>8.6648728256868257E-2</v>
      </c>
      <c r="H19" s="481">
        <f t="shared" si="10"/>
        <v>9.2740832639895424E-2</v>
      </c>
      <c r="I19" s="481">
        <f t="shared" si="10"/>
        <v>9.9214286684658759E-2</v>
      </c>
      <c r="J19" s="481">
        <f t="shared" si="10"/>
        <v>0.10607365502562993</v>
      </c>
      <c r="K19" s="576">
        <f t="shared" si="10"/>
        <v>0.11336660973494671</v>
      </c>
      <c r="L19" s="1"/>
      <c r="M19" s="1"/>
      <c r="N19" s="1"/>
      <c r="O19" s="1"/>
      <c r="P19" s="1"/>
    </row>
    <row r="20" spans="1:16">
      <c r="A20" s="509"/>
      <c r="B20" s="544"/>
      <c r="C20" s="544"/>
      <c r="D20" s="544"/>
      <c r="E20" s="544"/>
      <c r="F20" s="509"/>
      <c r="G20" s="564"/>
      <c r="H20" s="564"/>
      <c r="I20" s="564"/>
      <c r="J20" s="564"/>
      <c r="K20" s="565"/>
      <c r="L20" s="1"/>
      <c r="M20" s="1"/>
      <c r="N20" s="1"/>
      <c r="O20" s="1"/>
      <c r="P20" s="1"/>
    </row>
    <row r="21" spans="1:16">
      <c r="A21" s="103" t="s">
        <v>606</v>
      </c>
      <c r="B21" s="105">
        <v>-137</v>
      </c>
      <c r="C21" s="105">
        <v>-109</v>
      </c>
      <c r="D21" s="105">
        <v>-134</v>
      </c>
      <c r="E21" s="105">
        <v>-98</v>
      </c>
      <c r="F21" s="103">
        <v>-106</v>
      </c>
      <c r="G21" s="572">
        <f>'Forecasts Simo '!$G$145</f>
        <v>-101.93086741299238</v>
      </c>
      <c r="H21" s="572">
        <f>'Forecasts Simo '!$H$145</f>
        <v>-114.20862270879553</v>
      </c>
      <c r="I21" s="572">
        <f>'Forecasts Simo '!$I$141</f>
        <v>-109.72322231947831</v>
      </c>
      <c r="J21" s="572">
        <f>'Forecasts Simo '!$J$141</f>
        <v>-97.283036645083016</v>
      </c>
      <c r="K21" s="573">
        <f>'Forecasts Simo '!$K$141</f>
        <v>-92.541909028653066</v>
      </c>
      <c r="L21" s="105"/>
      <c r="M21" s="1"/>
      <c r="N21" s="1"/>
      <c r="O21" s="1"/>
      <c r="P21" s="1"/>
    </row>
    <row r="22" spans="1:16">
      <c r="A22" s="568" t="s">
        <v>613</v>
      </c>
      <c r="B22" s="619">
        <f>B18+B21</f>
        <v>78</v>
      </c>
      <c r="C22" s="619">
        <f>C18+C21</f>
        <v>334</v>
      </c>
      <c r="D22" s="619">
        <f t="shared" ref="D22:K22" si="11">D18+D21</f>
        <v>576</v>
      </c>
      <c r="E22" s="619">
        <f t="shared" si="11"/>
        <v>490</v>
      </c>
      <c r="F22" s="620">
        <f t="shared" si="11"/>
        <v>581</v>
      </c>
      <c r="G22" s="619">
        <f t="shared" si="11"/>
        <v>544.56139017900625</v>
      </c>
      <c r="H22" s="619">
        <f t="shared" si="11"/>
        <v>588.22893768113204</v>
      </c>
      <c r="I22" s="619">
        <f t="shared" si="11"/>
        <v>653.13977415749594</v>
      </c>
      <c r="J22" s="619">
        <f t="shared" si="11"/>
        <v>730.68861768672582</v>
      </c>
      <c r="K22" s="620">
        <f t="shared" si="11"/>
        <v>805.4407544425253</v>
      </c>
      <c r="L22" s="55"/>
      <c r="M22" s="1"/>
      <c r="N22" s="1"/>
      <c r="O22" s="1"/>
      <c r="P22" s="1"/>
    </row>
    <row r="23" spans="1:16">
      <c r="A23" s="509"/>
      <c r="B23" s="544"/>
      <c r="C23" s="544"/>
      <c r="D23" s="544"/>
      <c r="E23" s="544"/>
      <c r="F23" s="509"/>
      <c r="G23" s="564"/>
      <c r="H23" s="564"/>
      <c r="I23" s="564"/>
      <c r="J23" s="564"/>
      <c r="K23" s="565"/>
      <c r="L23" s="55"/>
      <c r="M23" s="1"/>
      <c r="N23" s="1"/>
      <c r="O23" s="1"/>
      <c r="P23" s="1"/>
    </row>
    <row r="24" spans="1:16">
      <c r="A24" s="103" t="s">
        <v>624</v>
      </c>
      <c r="B24" s="105">
        <v>-133</v>
      </c>
      <c r="C24" s="105">
        <v>-122</v>
      </c>
      <c r="D24" s="105">
        <v>-192</v>
      </c>
      <c r="E24" s="105">
        <v>-157</v>
      </c>
      <c r="F24" s="103">
        <v>-189</v>
      </c>
      <c r="G24" s="572">
        <f>'Forecasts Simo '!G156</f>
        <v>-155.90793168904943</v>
      </c>
      <c r="H24" s="572">
        <f>'Forecasts Simo '!H156</f>
        <v>-168.57000989867888</v>
      </c>
      <c r="I24" s="572">
        <f>'Forecasts Simo '!I156</f>
        <v>-186.50520266040101</v>
      </c>
      <c r="J24" s="572">
        <f>'Forecasts Simo '!J156</f>
        <v>-207.65616276375474</v>
      </c>
      <c r="K24" s="573">
        <f>'Forecasts Simo '!K156</f>
        <v>-228.32710494158204</v>
      </c>
      <c r="L24" s="563"/>
      <c r="M24" s="540"/>
      <c r="N24" s="540"/>
      <c r="O24" s="540"/>
      <c r="P24" s="1"/>
    </row>
    <row r="25" spans="1:16" s="542" customFormat="1">
      <c r="A25" s="509" t="s">
        <v>625</v>
      </c>
      <c r="B25" s="564">
        <f>B22+B24</f>
        <v>-55</v>
      </c>
      <c r="C25" s="564">
        <f>C22+C24</f>
        <v>212</v>
      </c>
      <c r="D25" s="564">
        <f>D22+D24</f>
        <v>384</v>
      </c>
      <c r="E25" s="564">
        <f>E22+E24</f>
        <v>333</v>
      </c>
      <c r="F25" s="565">
        <f t="shared" ref="F25:K25" si="12">F22+F24</f>
        <v>392</v>
      </c>
      <c r="G25" s="564">
        <f t="shared" si="12"/>
        <v>388.65345848995685</v>
      </c>
      <c r="H25" s="564">
        <f t="shared" si="12"/>
        <v>419.65892778245313</v>
      </c>
      <c r="I25" s="564">
        <f t="shared" si="12"/>
        <v>466.63457149709495</v>
      </c>
      <c r="J25" s="564">
        <f t="shared" si="12"/>
        <v>523.03245492297106</v>
      </c>
      <c r="K25" s="565">
        <f t="shared" si="12"/>
        <v>577.11364950094321</v>
      </c>
      <c r="L25" s="541"/>
      <c r="M25" s="540"/>
      <c r="N25" s="540"/>
      <c r="O25" s="540"/>
      <c r="P25" s="543"/>
    </row>
    <row r="26" spans="1:16">
      <c r="A26" s="103" t="s">
        <v>455</v>
      </c>
      <c r="B26" s="105">
        <v>130</v>
      </c>
      <c r="C26" s="105">
        <v>1</v>
      </c>
      <c r="D26" s="105">
        <v>-6</v>
      </c>
      <c r="E26" s="105">
        <v>-10</v>
      </c>
      <c r="F26" s="103">
        <v>-4</v>
      </c>
      <c r="G26" s="572">
        <f>G25*(-0.010228404)</f>
        <v>-3.9753045894325085</v>
      </c>
      <c r="H26" s="572">
        <f t="shared" ref="H26:K26" si="13">H25*(-0.010228404)</f>
        <v>-4.2924410555657548</v>
      </c>
      <c r="I26" s="572">
        <f t="shared" si="13"/>
        <v>-4.7729269176391718</v>
      </c>
      <c r="J26" s="572">
        <f t="shared" si="13"/>
        <v>-5.3497872540639371</v>
      </c>
      <c r="K26" s="573">
        <f t="shared" si="13"/>
        <v>-5.9029515610100454</v>
      </c>
      <c r="L26" s="105"/>
      <c r="M26" s="1"/>
      <c r="N26" s="1"/>
      <c r="O26" s="1"/>
      <c r="P26" s="1"/>
    </row>
    <row r="27" spans="1:16">
      <c r="A27" s="568" t="s">
        <v>623</v>
      </c>
      <c r="B27" s="104">
        <v>75</v>
      </c>
      <c r="C27" s="104">
        <v>232</v>
      </c>
      <c r="D27" s="104">
        <v>293</v>
      </c>
      <c r="E27" s="104">
        <v>344</v>
      </c>
      <c r="F27" s="568">
        <v>389</v>
      </c>
      <c r="G27" s="619">
        <f>G22+G24+G26</f>
        <v>384.67815390052436</v>
      </c>
      <c r="H27" s="619">
        <f t="shared" ref="H27:K27" si="14">H22+H24+H26</f>
        <v>415.36648672688739</v>
      </c>
      <c r="I27" s="619">
        <f t="shared" si="14"/>
        <v>461.8616445794558</v>
      </c>
      <c r="J27" s="619">
        <f t="shared" si="14"/>
        <v>517.68266766890713</v>
      </c>
      <c r="K27" s="620">
        <f t="shared" si="14"/>
        <v>571.2106979399332</v>
      </c>
      <c r="L27" s="55"/>
      <c r="M27" s="1"/>
      <c r="N27" s="1"/>
      <c r="O27" s="1"/>
      <c r="P27" s="1"/>
    </row>
    <row r="28" spans="1:16">
      <c r="A28" s="509" t="s">
        <v>587</v>
      </c>
      <c r="B28" s="544">
        <f t="shared" ref="B28:K28" si="15">B27/B6</f>
        <v>1.5240804714488925E-2</v>
      </c>
      <c r="C28" s="544">
        <f t="shared" si="15"/>
        <v>4.7736625514403296E-2</v>
      </c>
      <c r="D28" s="544">
        <f t="shared" si="15"/>
        <v>5.0552104899930984E-2</v>
      </c>
      <c r="E28" s="544">
        <f t="shared" si="15"/>
        <v>5.2971974129966119E-2</v>
      </c>
      <c r="F28" s="509">
        <f t="shared" si="15"/>
        <v>5.3113052976515564E-2</v>
      </c>
      <c r="G28" s="481">
        <f t="shared" si="15"/>
        <v>5.1558038680667433E-2</v>
      </c>
      <c r="H28" s="481">
        <f t="shared" si="15"/>
        <v>5.4839655510983944E-2</v>
      </c>
      <c r="I28" s="481">
        <f t="shared" si="15"/>
        <v>6.0067500751214115E-2</v>
      </c>
      <c r="J28" s="481">
        <f t="shared" si="15"/>
        <v>6.6321706082287393E-2</v>
      </c>
      <c r="K28" s="576">
        <f t="shared" si="15"/>
        <v>7.2112996056589621E-2</v>
      </c>
      <c r="L28" s="55"/>
      <c r="M28" s="1"/>
      <c r="N28" s="1"/>
      <c r="O28" s="1"/>
      <c r="P28" s="1"/>
    </row>
    <row r="29" spans="1:16">
      <c r="A29" s="103"/>
      <c r="B29" s="105"/>
      <c r="C29" s="105"/>
      <c r="D29" s="105"/>
      <c r="E29" s="105"/>
      <c r="F29" s="103"/>
      <c r="G29" s="105"/>
      <c r="H29" s="105"/>
      <c r="I29" s="105"/>
      <c r="J29" s="105"/>
      <c r="K29" s="103"/>
      <c r="L29" s="105"/>
      <c r="M29" s="1"/>
      <c r="N29" s="1"/>
      <c r="O29" s="1"/>
      <c r="P29" s="1"/>
    </row>
    <row r="30" spans="1:16">
      <c r="A30" s="544"/>
      <c r="B30" s="544"/>
      <c r="C30" s="544"/>
      <c r="D30" s="544"/>
      <c r="E30" s="544"/>
      <c r="F30" s="544"/>
      <c r="G30" s="544"/>
      <c r="H30" s="544"/>
      <c r="I30" s="544"/>
      <c r="J30" s="544"/>
      <c r="K30" s="544"/>
      <c r="L30" s="544"/>
      <c r="M30" s="1"/>
      <c r="N30" s="1"/>
      <c r="O30" s="1"/>
      <c r="P30" s="1"/>
    </row>
    <row r="31" spans="1:16">
      <c r="A31" s="544"/>
      <c r="B31" s="544"/>
      <c r="C31" s="544"/>
      <c r="D31" s="544"/>
      <c r="E31" s="544"/>
      <c r="F31" s="544"/>
      <c r="G31" s="544"/>
      <c r="H31" s="544"/>
      <c r="I31" s="544"/>
      <c r="J31" s="544"/>
      <c r="K31" s="544"/>
      <c r="L31" s="544"/>
      <c r="M31" s="1"/>
      <c r="N31" s="1"/>
      <c r="O31" s="1"/>
      <c r="P31" s="1"/>
    </row>
    <row r="32" spans="1:16">
      <c r="A32" s="544"/>
      <c r="B32" s="544"/>
      <c r="C32" s="544"/>
      <c r="D32" s="544"/>
      <c r="E32" s="544"/>
      <c r="F32" s="544"/>
      <c r="G32" s="544"/>
      <c r="H32" s="544"/>
      <c r="I32" s="544"/>
      <c r="J32" s="544"/>
      <c r="K32" s="544"/>
      <c r="L32" s="544"/>
      <c r="M32" s="1"/>
      <c r="N32" s="1"/>
      <c r="O32" s="1"/>
      <c r="P32" s="1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509"/>
      <c r="L34" s="1"/>
      <c r="M34" s="1"/>
      <c r="N34" s="1"/>
      <c r="O34" s="1"/>
      <c r="P34" s="1"/>
    </row>
    <row r="35" spans="1:16">
      <c r="A35" s="509" t="s">
        <v>626</v>
      </c>
      <c r="B35" s="1"/>
      <c r="C35" s="1"/>
      <c r="D35" s="1"/>
      <c r="E35" s="1"/>
      <c r="F35" s="509"/>
      <c r="G35" s="1" t="s">
        <v>525</v>
      </c>
      <c r="H35" s="1"/>
      <c r="I35" s="1"/>
      <c r="J35" s="1"/>
      <c r="K35" s="509"/>
      <c r="L35" s="1"/>
      <c r="M35" s="1"/>
      <c r="N35" s="1"/>
      <c r="O35" s="1"/>
      <c r="P35" s="1"/>
    </row>
    <row r="36" spans="1:16">
      <c r="A36" s="566"/>
      <c r="B36" s="567">
        <v>2015</v>
      </c>
      <c r="C36" s="566">
        <v>2016</v>
      </c>
      <c r="D36" s="566">
        <v>2017</v>
      </c>
      <c r="E36" s="566">
        <v>2018</v>
      </c>
      <c r="F36" s="566">
        <v>2019</v>
      </c>
      <c r="G36" s="567">
        <v>2020</v>
      </c>
      <c r="H36" s="566">
        <v>2021</v>
      </c>
      <c r="I36" s="566">
        <v>2022</v>
      </c>
      <c r="J36" s="566">
        <v>2023</v>
      </c>
      <c r="K36" s="566">
        <v>2024</v>
      </c>
      <c r="L36" s="567"/>
      <c r="M36" s="1"/>
      <c r="N36" s="1"/>
      <c r="O36" s="1"/>
      <c r="P36" s="1"/>
    </row>
    <row r="37" spans="1:16">
      <c r="A37" s="509" t="s">
        <v>464</v>
      </c>
      <c r="B37" s="1">
        <f>'Forecasts Simo '!B58</f>
        <v>5067</v>
      </c>
      <c r="C37" s="543">
        <f>'Forecasts Simo '!C58</f>
        <v>5129</v>
      </c>
      <c r="D37" s="543">
        <f>'Forecasts Simo '!D58</f>
        <v>4606</v>
      </c>
      <c r="E37" s="543">
        <f>'Forecasts Simo '!E58</f>
        <v>4620</v>
      </c>
      <c r="F37" s="522">
        <f>'Forecasts Simo '!F58</f>
        <v>4869</v>
      </c>
      <c r="G37" s="540">
        <f>'Forecasts Simo '!G58</f>
        <v>4964.9255830968814</v>
      </c>
      <c r="H37" s="540">
        <f>'Forecasts Simo '!H58</f>
        <v>5060.1014455884615</v>
      </c>
      <c r="I37" s="540">
        <f>'Forecasts Simo '!I58</f>
        <v>5154.7360712934978</v>
      </c>
      <c r="J37" s="540">
        <f>'Forecasts Simo '!J58</f>
        <v>5249.0191767306296</v>
      </c>
      <c r="K37" s="686">
        <f>'Forecasts Simo '!K58</f>
        <v>5342.8950490737898</v>
      </c>
      <c r="L37" s="1"/>
      <c r="M37" s="1"/>
      <c r="N37" s="1"/>
      <c r="O37" s="1"/>
      <c r="P37" s="1"/>
    </row>
    <row r="38" spans="1:16">
      <c r="A38" s="509" t="s">
        <v>465</v>
      </c>
      <c r="B38" s="543">
        <f>'Forecasts Simo '!B59</f>
        <v>1348</v>
      </c>
      <c r="C38" s="543">
        <f>'Forecasts Simo '!C59</f>
        <v>1704</v>
      </c>
      <c r="D38" s="543">
        <f>'Forecasts Simo '!D59</f>
        <v>1863</v>
      </c>
      <c r="E38" s="543">
        <f>'Forecasts Simo '!E59</f>
        <v>2302</v>
      </c>
      <c r="F38" s="509">
        <f>'Forecasts Simo '!F59</f>
        <v>2379</v>
      </c>
      <c r="G38" s="540">
        <f>'Forecasts Simo '!G59</f>
        <v>2544.298384106336</v>
      </c>
      <c r="H38" s="540">
        <f>'Forecasts Simo '!H59</f>
        <v>2705.4946146409388</v>
      </c>
      <c r="I38" s="540">
        <f>'Forecasts Simo '!I59</f>
        <v>2862.864443786727</v>
      </c>
      <c r="J38" s="540">
        <f>'Forecasts Simo '!J59</f>
        <v>3016.670522386582</v>
      </c>
      <c r="K38" s="596">
        <f>'Forecasts Simo '!K59</f>
        <v>3167.050306892384</v>
      </c>
      <c r="L38" s="1"/>
      <c r="M38" s="1"/>
      <c r="N38" s="1"/>
      <c r="O38" s="1"/>
      <c r="P38" s="1"/>
    </row>
    <row r="39" spans="1:16">
      <c r="A39" s="103" t="s">
        <v>466</v>
      </c>
      <c r="B39" s="105">
        <f>'Reorganised Statements'!D7</f>
        <v>137</v>
      </c>
      <c r="C39" s="105">
        <f>'Reorganised Statements'!E7</f>
        <v>136</v>
      </c>
      <c r="D39" s="105">
        <f>'Reorganised Statements'!F7</f>
        <v>107</v>
      </c>
      <c r="E39" s="105">
        <f>'Reorganised Statements'!G7</f>
        <v>45</v>
      </c>
      <c r="F39" s="103">
        <f>'Reorganised Statements'!H7</f>
        <v>65</v>
      </c>
      <c r="G39" s="105">
        <f>AVERAGE(B39:F39)</f>
        <v>98</v>
      </c>
      <c r="H39" s="105">
        <f>G39</f>
        <v>98</v>
      </c>
      <c r="I39" s="105">
        <f t="shared" ref="I39:K39" si="16">H39</f>
        <v>98</v>
      </c>
      <c r="J39" s="105">
        <f t="shared" si="16"/>
        <v>98</v>
      </c>
      <c r="K39" s="103">
        <f t="shared" si="16"/>
        <v>98</v>
      </c>
      <c r="L39" s="1"/>
      <c r="M39" s="1"/>
      <c r="N39" s="1"/>
      <c r="O39" s="1"/>
      <c r="P39" s="1"/>
    </row>
    <row r="40" spans="1:16">
      <c r="A40" s="568" t="s">
        <v>467</v>
      </c>
      <c r="B40" s="2">
        <v>6552</v>
      </c>
      <c r="C40" s="2">
        <v>6969</v>
      </c>
      <c r="D40" s="2">
        <v>6576</v>
      </c>
      <c r="E40" s="2">
        <v>6967</v>
      </c>
      <c r="F40" s="568">
        <v>7313</v>
      </c>
      <c r="G40" s="2">
        <f>G37+G38+G39</f>
        <v>7607.2239672032174</v>
      </c>
      <c r="H40" s="2">
        <f t="shared" ref="H40:K40" si="17">H37+H38+H39</f>
        <v>7863.5960602293999</v>
      </c>
      <c r="I40" s="2">
        <f t="shared" si="17"/>
        <v>8115.6005150802248</v>
      </c>
      <c r="J40" s="2">
        <f t="shared" si="17"/>
        <v>8363.6896991172107</v>
      </c>
      <c r="K40" s="663">
        <f t="shared" si="17"/>
        <v>8607.9453559661742</v>
      </c>
      <c r="L40" s="1"/>
      <c r="M40" s="1"/>
      <c r="N40" s="1"/>
      <c r="O40" s="1"/>
      <c r="P40" s="1"/>
    </row>
    <row r="41" spans="1:16">
      <c r="A41" s="509"/>
      <c r="B41" s="1"/>
      <c r="C41" s="1"/>
      <c r="D41" s="1"/>
      <c r="E41" s="1"/>
      <c r="F41" s="509"/>
      <c r="G41" s="1"/>
      <c r="H41" s="1"/>
      <c r="I41" s="1"/>
      <c r="J41" s="1"/>
      <c r="K41" s="509"/>
      <c r="L41" s="1"/>
      <c r="M41" s="1"/>
      <c r="N41" s="1"/>
      <c r="O41" s="1"/>
      <c r="P41" s="1"/>
    </row>
    <row r="42" spans="1:16">
      <c r="A42" s="509" t="s">
        <v>468</v>
      </c>
      <c r="B42" s="1">
        <f>'Forecasts Simo '!B90</f>
        <v>184</v>
      </c>
      <c r="C42" s="543">
        <f>'Forecasts Simo '!C90</f>
        <v>159</v>
      </c>
      <c r="D42" s="543">
        <f>'Forecasts Simo '!D90</f>
        <v>147</v>
      </c>
      <c r="E42" s="543">
        <f>'Forecasts Simo '!E90</f>
        <v>187</v>
      </c>
      <c r="F42" s="509">
        <f>'Forecasts Simo '!F90</f>
        <v>184</v>
      </c>
      <c r="G42" s="660">
        <f>'Forecasts Simo '!G90</f>
        <v>190.42111289934894</v>
      </c>
      <c r="H42" s="660">
        <f>'Forecasts Simo '!H90</f>
        <v>193.30838789351665</v>
      </c>
      <c r="I42" s="660">
        <f>'Forecasts Simo '!I90</f>
        <v>196.23944142024843</v>
      </c>
      <c r="J42" s="660">
        <f>'Forecasts Simo '!J90</f>
        <v>199.21493727496295</v>
      </c>
      <c r="K42" s="565">
        <f>'Forecasts Simo '!K90</f>
        <v>202.16071129540006</v>
      </c>
      <c r="L42" s="1"/>
      <c r="M42" s="1"/>
      <c r="N42" s="1"/>
      <c r="O42" s="1"/>
      <c r="P42" s="1"/>
    </row>
    <row r="43" spans="1:16">
      <c r="A43" s="509" t="s">
        <v>627</v>
      </c>
      <c r="B43" s="543">
        <f>'Forecasts Simo '!B91</f>
        <v>1485</v>
      </c>
      <c r="C43" s="543">
        <f>'Forecasts Simo '!C91</f>
        <v>1821</v>
      </c>
      <c r="D43" s="543">
        <f>'Forecasts Simo '!D91</f>
        <v>1671</v>
      </c>
      <c r="E43" s="543">
        <f>'Forecasts Simo '!E91</f>
        <v>1781</v>
      </c>
      <c r="F43" s="509">
        <f>'Forecasts Simo '!F91</f>
        <v>1852</v>
      </c>
      <c r="G43" s="660">
        <f>'Forecasts Simo '!G91</f>
        <v>1921.3940396484129</v>
      </c>
      <c r="H43" s="660">
        <f>'Forecasts Simo '!H91</f>
        <v>1950.527326814695</v>
      </c>
      <c r="I43" s="660">
        <f>'Forecasts Simo '!I91</f>
        <v>1980.1023497226311</v>
      </c>
      <c r="J43" s="660">
        <f>'Forecasts Simo '!J91</f>
        <v>2010.1258062248985</v>
      </c>
      <c r="K43" s="565">
        <f>'Forecasts Simo '!K91</f>
        <v>2039.8493623938548</v>
      </c>
      <c r="L43" s="1"/>
      <c r="M43" s="1"/>
      <c r="N43" s="1"/>
      <c r="O43" s="1"/>
      <c r="P43" s="1"/>
    </row>
    <row r="44" spans="1:16">
      <c r="A44" s="103" t="s">
        <v>469</v>
      </c>
      <c r="B44" s="517">
        <f>'Forecasts Simo '!B92</f>
        <v>-1170</v>
      </c>
      <c r="C44" s="105">
        <f>'Forecasts Simo '!C92</f>
        <v>-1384</v>
      </c>
      <c r="D44" s="105">
        <f>'Forecasts Simo '!D92</f>
        <v>-1381</v>
      </c>
      <c r="E44" s="105">
        <f>'Forecasts Simo '!E92</f>
        <v>-1413</v>
      </c>
      <c r="F44" s="103">
        <f>'Forecasts Simo '!F92</f>
        <v>-1481</v>
      </c>
      <c r="G44" s="572">
        <f>'Forecasts Simo '!G92</f>
        <v>-1529.4201698824452</v>
      </c>
      <c r="H44" s="572">
        <f>'Forecasts Simo '!H92</f>
        <v>-1552.6101226394769</v>
      </c>
      <c r="I44" s="572">
        <f>'Forecasts Simo '!I92</f>
        <v>-1576.1516948660721</v>
      </c>
      <c r="J44" s="572">
        <f>'Forecasts Simo '!J92</f>
        <v>-1600.0502180198957</v>
      </c>
      <c r="K44" s="573">
        <f>'Forecasts Simo '!K92</f>
        <v>-1623.7100219889735</v>
      </c>
      <c r="L44" s="105"/>
      <c r="M44" s="1"/>
      <c r="N44" s="1"/>
      <c r="O44" s="1"/>
      <c r="P44" s="1"/>
    </row>
    <row r="45" spans="1:16">
      <c r="A45" s="509" t="s">
        <v>470</v>
      </c>
      <c r="B45" s="1">
        <f>B42+B43+B44</f>
        <v>499</v>
      </c>
      <c r="C45" s="543">
        <f t="shared" ref="C45:F45" si="18">C42+C43+C44</f>
        <v>596</v>
      </c>
      <c r="D45" s="543">
        <f t="shared" si="18"/>
        <v>437</v>
      </c>
      <c r="E45" s="543">
        <f t="shared" si="18"/>
        <v>555</v>
      </c>
      <c r="F45" s="509">
        <f t="shared" si="18"/>
        <v>555</v>
      </c>
      <c r="G45" s="660">
        <f>SUM(G42:G44)</f>
        <v>582.39498266531677</v>
      </c>
      <c r="H45" s="660">
        <f t="shared" ref="H45:K45" si="19">SUM(H42:H44)</f>
        <v>591.22559206873461</v>
      </c>
      <c r="I45" s="660">
        <f t="shared" si="19"/>
        <v>600.19009627680748</v>
      </c>
      <c r="J45" s="660">
        <f t="shared" si="19"/>
        <v>609.29052547996594</v>
      </c>
      <c r="K45" s="565">
        <f t="shared" si="19"/>
        <v>618.30005170028153</v>
      </c>
      <c r="L45" s="1"/>
      <c r="M45" s="1"/>
      <c r="N45" s="1"/>
      <c r="O45" s="1"/>
      <c r="P45" s="1"/>
    </row>
    <row r="46" spans="1:16">
      <c r="A46" s="509"/>
      <c r="B46" s="1"/>
      <c r="C46" s="1"/>
      <c r="D46" s="1"/>
      <c r="E46" s="1"/>
      <c r="F46" s="509"/>
      <c r="G46" s="1"/>
      <c r="H46" s="1"/>
      <c r="I46" s="1"/>
      <c r="J46" s="1"/>
      <c r="K46" s="509"/>
      <c r="L46" s="1"/>
      <c r="M46" s="1"/>
      <c r="N46" s="1"/>
      <c r="O46" s="1"/>
      <c r="P46" s="1"/>
    </row>
    <row r="47" spans="1:16">
      <c r="A47" s="509" t="s">
        <v>697</v>
      </c>
      <c r="B47" s="1">
        <f>'Forecasts Simo '!B93</f>
        <v>-47</v>
      </c>
      <c r="C47" s="543">
        <f>'Forecasts Simo '!C93</f>
        <v>-198</v>
      </c>
      <c r="D47" s="543">
        <f>'Forecasts Simo '!D93</f>
        <v>-110</v>
      </c>
      <c r="E47" s="543">
        <f>'Forecasts Simo '!E93</f>
        <v>-253</v>
      </c>
      <c r="F47" s="509">
        <f>'Forecasts Simo '!F93</f>
        <v>-334</v>
      </c>
      <c r="G47" s="517">
        <f>'Forecasts Simo '!G93</f>
        <v>-315.37706633831738</v>
      </c>
      <c r="H47" s="105">
        <f>'Forecasts Simo '!H93</f>
        <v>-320.15899573421319</v>
      </c>
      <c r="I47" s="105">
        <f>'Forecasts Simo '!I93</f>
        <v>-325.01343150799136</v>
      </c>
      <c r="J47" s="105">
        <f>'Forecasts Simo '!J93</f>
        <v>-329.94147304326845</v>
      </c>
      <c r="K47" s="103">
        <f>'Forecasts Simo '!K93</f>
        <v>-334.82028902388998</v>
      </c>
      <c r="L47" s="1"/>
      <c r="M47" s="1"/>
      <c r="N47" s="1"/>
      <c r="O47" s="1"/>
      <c r="P47" s="1"/>
    </row>
    <row r="48" spans="1:16">
      <c r="A48" s="663" t="s">
        <v>472</v>
      </c>
      <c r="B48" s="617">
        <f>B45+B47</f>
        <v>452</v>
      </c>
      <c r="C48" s="617">
        <f t="shared" ref="C48:F48" si="20">C45+C47</f>
        <v>398</v>
      </c>
      <c r="D48" s="617">
        <f t="shared" si="20"/>
        <v>327</v>
      </c>
      <c r="E48" s="617">
        <f t="shared" si="20"/>
        <v>302</v>
      </c>
      <c r="F48" s="663">
        <f t="shared" si="20"/>
        <v>221</v>
      </c>
      <c r="G48" s="590">
        <f>G45+G47</f>
        <v>267.0179163269994</v>
      </c>
      <c r="H48" s="590">
        <f t="shared" ref="H48:K48" si="21">H45+H47</f>
        <v>271.06659633452142</v>
      </c>
      <c r="I48" s="590">
        <f t="shared" si="21"/>
        <v>275.17666476881612</v>
      </c>
      <c r="J48" s="590">
        <f t="shared" si="21"/>
        <v>279.34905243669749</v>
      </c>
      <c r="K48" s="608">
        <f t="shared" si="21"/>
        <v>283.47976267639154</v>
      </c>
      <c r="L48" s="107"/>
      <c r="M48" s="544"/>
      <c r="N48" s="1"/>
      <c r="O48" s="1"/>
      <c r="P48" s="1"/>
    </row>
    <row r="49" spans="1:16">
      <c r="A49" s="509"/>
      <c r="B49" s="1"/>
      <c r="C49" s="1"/>
      <c r="D49" s="1"/>
      <c r="E49" s="1"/>
      <c r="F49" s="509"/>
      <c r="G49" s="1"/>
      <c r="H49" s="1"/>
      <c r="I49" s="1"/>
      <c r="J49" s="1"/>
      <c r="K49" s="509"/>
      <c r="L49" s="1"/>
      <c r="M49" s="1"/>
      <c r="N49" s="1"/>
      <c r="O49" s="1"/>
      <c r="P49" s="1"/>
    </row>
    <row r="50" spans="1:16">
      <c r="A50" s="509" t="s">
        <v>473</v>
      </c>
      <c r="B50" s="1">
        <f>'Forecasts Simo '!B112</f>
        <v>308</v>
      </c>
      <c r="C50" s="543">
        <f>'Forecasts Simo '!C112</f>
        <v>341</v>
      </c>
      <c r="D50" s="543">
        <f>'Forecasts Simo '!D112</f>
        <v>301</v>
      </c>
      <c r="E50" s="543">
        <f>'Forecasts Simo '!E112</f>
        <v>264</v>
      </c>
      <c r="F50" s="509">
        <f>'Forecasts Simo '!F112</f>
        <v>277</v>
      </c>
      <c r="G50" s="1">
        <f>'Forecasts Simo '!G112</f>
        <v>277</v>
      </c>
      <c r="H50" s="543">
        <f>'Forecasts Simo '!H112</f>
        <v>277</v>
      </c>
      <c r="I50" s="543">
        <f>'Forecasts Simo '!I112</f>
        <v>277</v>
      </c>
      <c r="J50" s="543">
        <f>'Forecasts Simo '!J112</f>
        <v>277</v>
      </c>
      <c r="K50" s="509">
        <f>'Forecasts Simo '!K112</f>
        <v>277</v>
      </c>
      <c r="L50" s="1"/>
      <c r="M50" s="1"/>
      <c r="N50" s="1"/>
      <c r="O50" s="1"/>
      <c r="P50" s="1"/>
    </row>
    <row r="51" spans="1:16">
      <c r="A51" s="509" t="s">
        <v>474</v>
      </c>
      <c r="B51" s="543">
        <f>'Forecasts Simo '!B113</f>
        <v>-332</v>
      </c>
      <c r="C51" s="543">
        <f>'Forecasts Simo '!C113</f>
        <v>-365</v>
      </c>
      <c r="D51" s="543">
        <f>'Forecasts Simo '!D113</f>
        <v>-319</v>
      </c>
      <c r="E51" s="543">
        <f>'Forecasts Simo '!E113</f>
        <v>-314</v>
      </c>
      <c r="F51" s="509">
        <f>'Forecasts Simo '!F113</f>
        <v>-307</v>
      </c>
      <c r="G51" s="543">
        <f>'Forecasts Simo '!G113</f>
        <v>-307</v>
      </c>
      <c r="H51" s="543">
        <f>'Forecasts Simo '!H113</f>
        <v>-307</v>
      </c>
      <c r="I51" s="543">
        <f>'Forecasts Simo '!I113</f>
        <v>-307</v>
      </c>
      <c r="J51" s="543">
        <f>'Forecasts Simo '!J113</f>
        <v>-307</v>
      </c>
      <c r="K51" s="509">
        <f>'Forecasts Simo '!K113</f>
        <v>-307</v>
      </c>
      <c r="L51" s="1"/>
      <c r="M51" s="1"/>
      <c r="N51" s="1"/>
      <c r="O51" s="1"/>
      <c r="P51" s="1"/>
    </row>
    <row r="52" spans="1:16">
      <c r="A52" s="103" t="s">
        <v>475</v>
      </c>
      <c r="B52" s="517">
        <f>'Forecasts Simo '!B114</f>
        <v>-576</v>
      </c>
      <c r="C52" s="105">
        <f>'Forecasts Simo '!C114</f>
        <v>-671</v>
      </c>
      <c r="D52" s="105">
        <f>'Forecasts Simo '!D114</f>
        <v>-625</v>
      </c>
      <c r="E52" s="105">
        <f>'Forecasts Simo '!E114</f>
        <v>-642</v>
      </c>
      <c r="F52" s="103">
        <f>'Forecasts Simo '!F114</f>
        <v>-676</v>
      </c>
      <c r="G52" s="105">
        <f>'Forecasts Simo '!G114</f>
        <v>-676</v>
      </c>
      <c r="H52" s="105">
        <f>'Forecasts Simo '!H114</f>
        <v>-676</v>
      </c>
      <c r="I52" s="105">
        <f>'Forecasts Simo '!I114</f>
        <v>-676</v>
      </c>
      <c r="J52" s="105">
        <f>'Forecasts Simo '!J114</f>
        <v>-676</v>
      </c>
      <c r="K52" s="103">
        <f>'Forecasts Simo '!K114</f>
        <v>-676</v>
      </c>
      <c r="L52" s="105"/>
      <c r="M52" s="1"/>
      <c r="N52" s="1"/>
      <c r="O52" s="1"/>
      <c r="P52" s="1"/>
    </row>
    <row r="53" spans="1:16">
      <c r="A53" s="568" t="s">
        <v>476</v>
      </c>
      <c r="B53" s="2">
        <f>B40+B48+B50+B51+B52</f>
        <v>6404</v>
      </c>
      <c r="C53" s="2">
        <f t="shared" ref="C53:F53" si="22">C40+C48+C50+C51+C52</f>
        <v>6672</v>
      </c>
      <c r="D53" s="2">
        <f t="shared" si="22"/>
        <v>6260</v>
      </c>
      <c r="E53" s="2">
        <f t="shared" si="22"/>
        <v>6577</v>
      </c>
      <c r="F53" s="568">
        <f t="shared" si="22"/>
        <v>6828</v>
      </c>
      <c r="G53" s="664">
        <f>G40+G48+G50+G51+G52</f>
        <v>7168.2418835302169</v>
      </c>
      <c r="H53" s="664">
        <f>H40+H48+H50+H51+H52</f>
        <v>7428.6626565639217</v>
      </c>
      <c r="I53" s="664">
        <f>I40+I48+I50+I51+I52</f>
        <v>7684.7771798490412</v>
      </c>
      <c r="J53" s="664">
        <f>J40+J48+J50+J51+J52</f>
        <v>7937.0387515539078</v>
      </c>
      <c r="K53" s="608">
        <f>K40+K48+K50+K51+K52</f>
        <v>8185.4251186425663</v>
      </c>
      <c r="L53" s="2"/>
      <c r="M53" s="1"/>
      <c r="N53" s="1"/>
      <c r="O53" s="1"/>
      <c r="P53" s="1"/>
    </row>
    <row r="54" spans="1:16">
      <c r="A54" s="509"/>
      <c r="B54" s="1"/>
      <c r="C54" s="1"/>
      <c r="D54" s="1"/>
      <c r="E54" s="1"/>
      <c r="F54" s="509"/>
      <c r="G54" s="1"/>
      <c r="H54" s="1"/>
      <c r="I54" s="1"/>
      <c r="J54" s="1"/>
      <c r="K54" s="509"/>
      <c r="L54" s="1"/>
      <c r="M54" s="1"/>
      <c r="N54" s="1"/>
      <c r="O54" s="1"/>
      <c r="P54" s="1"/>
    </row>
    <row r="55" spans="1:16">
      <c r="A55" s="569" t="s">
        <v>339</v>
      </c>
      <c r="B55" s="521">
        <v>-3259</v>
      </c>
      <c r="C55" s="521">
        <v>-3279</v>
      </c>
      <c r="D55" s="521">
        <v>-3013</v>
      </c>
      <c r="E55" s="521">
        <v>-3523</v>
      </c>
      <c r="F55" s="569">
        <v>-3651</v>
      </c>
      <c r="G55" s="570">
        <f>-'Forecasts Simo '!G175</f>
        <v>-3786.9434454205243</v>
      </c>
      <c r="H55" s="570">
        <f>-'Forecasts Simo '!H175</f>
        <v>-3941.1384882434118</v>
      </c>
      <c r="I55" s="570">
        <f>-'Forecasts Simo '!I175</f>
        <v>-4128.7701167236673</v>
      </c>
      <c r="J55" s="570">
        <f>-'Forecasts Simo '!J175</f>
        <v>-4358.511267488414</v>
      </c>
      <c r="K55" s="571">
        <f>-'Forecasts Simo '!K175</f>
        <v>-4627.383372678979</v>
      </c>
      <c r="L55" s="521"/>
      <c r="M55" s="1"/>
      <c r="N55" s="1"/>
      <c r="O55" s="1"/>
      <c r="P55" s="1"/>
    </row>
    <row r="56" spans="1:16">
      <c r="A56" s="509"/>
      <c r="B56" s="1"/>
      <c r="C56" s="1"/>
      <c r="D56" s="1"/>
      <c r="E56" s="1"/>
      <c r="F56" s="509"/>
      <c r="G56" s="1"/>
      <c r="H56" s="1"/>
      <c r="I56" s="1"/>
      <c r="J56" s="1"/>
      <c r="K56" s="509"/>
      <c r="L56" s="1"/>
      <c r="M56" s="1"/>
      <c r="N56" s="1"/>
      <c r="O56" s="1"/>
      <c r="P56" s="1"/>
    </row>
    <row r="57" spans="1:16">
      <c r="A57" s="509" t="s">
        <v>477</v>
      </c>
      <c r="B57" s="1">
        <v>-3781</v>
      </c>
      <c r="C57" s="1">
        <v>-3795</v>
      </c>
      <c r="D57" s="1">
        <v>-3938</v>
      </c>
      <c r="E57" s="1">
        <v>-3678</v>
      </c>
      <c r="F57" s="509">
        <v>-3611</v>
      </c>
      <c r="G57" s="660">
        <f>'Forecasts Simo '!G127</f>
        <v>-3851.4393811435498</v>
      </c>
      <c r="H57" s="660">
        <f>'Forecasts Simo '!H127</f>
        <v>-3978.5442191171983</v>
      </c>
      <c r="I57" s="660">
        <f>'Forecasts Simo '!I127</f>
        <v>-4109.8437589250243</v>
      </c>
      <c r="J57" s="660">
        <f>'Forecasts Simo '!J127</f>
        <v>-4245.4764337199913</v>
      </c>
      <c r="K57" s="565">
        <f>'Forecasts Simo '!K127</f>
        <v>-4388.8739353367855</v>
      </c>
      <c r="L57" s="1"/>
      <c r="M57" s="1"/>
      <c r="N57" s="1"/>
      <c r="O57" s="1"/>
      <c r="P57" s="1"/>
    </row>
    <row r="58" spans="1:16">
      <c r="A58" s="103" t="s">
        <v>478</v>
      </c>
      <c r="B58" s="105">
        <v>636</v>
      </c>
      <c r="C58" s="105">
        <v>402</v>
      </c>
      <c r="D58" s="105">
        <v>691</v>
      </c>
      <c r="E58" s="105">
        <v>624</v>
      </c>
      <c r="F58" s="103">
        <v>434</v>
      </c>
      <c r="G58" s="572">
        <f>G59-G57</f>
        <v>569.5923278005007</v>
      </c>
      <c r="H58" s="572">
        <f t="shared" ref="H58:K58" si="23">H59-H57</f>
        <v>588.38995989892419</v>
      </c>
      <c r="I58" s="572">
        <f t="shared" si="23"/>
        <v>607.80794967293696</v>
      </c>
      <c r="J58" s="572">
        <f t="shared" si="23"/>
        <v>627.86677010784024</v>
      </c>
      <c r="K58" s="573">
        <f t="shared" si="23"/>
        <v>649.07393674444256</v>
      </c>
      <c r="L58" s="105"/>
      <c r="M58" s="1"/>
      <c r="N58" s="1"/>
      <c r="O58" s="1"/>
      <c r="P58" s="1"/>
    </row>
    <row r="59" spans="1:16">
      <c r="A59" s="568" t="s">
        <v>628</v>
      </c>
      <c r="B59" s="2">
        <f>B57+B58</f>
        <v>-3145</v>
      </c>
      <c r="C59" s="2">
        <f>C57+C58</f>
        <v>-3393</v>
      </c>
      <c r="D59" s="2">
        <f>D57+D58</f>
        <v>-3247</v>
      </c>
      <c r="E59" s="2">
        <f>E57+E58</f>
        <v>-3054</v>
      </c>
      <c r="F59" s="568">
        <f>F57+F58</f>
        <v>-3177</v>
      </c>
      <c r="G59" s="2">
        <f>'Forecasts Simo '!G129</f>
        <v>-3281.8470533430491</v>
      </c>
      <c r="H59" s="2">
        <f>'Forecasts Simo '!H129</f>
        <v>-3390.1542592182741</v>
      </c>
      <c r="I59" s="2">
        <f>'Forecasts Simo '!I129</f>
        <v>-3502.0358092520873</v>
      </c>
      <c r="J59" s="2">
        <f>'Forecasts Simo '!J129</f>
        <v>-3617.6096636121511</v>
      </c>
      <c r="K59" s="568">
        <f>'Forecasts Simo '!K129</f>
        <v>-3739.7999985923429</v>
      </c>
      <c r="L59" s="2"/>
      <c r="M59" s="1"/>
      <c r="N59" s="1"/>
      <c r="O59" s="1"/>
      <c r="P59" s="1"/>
    </row>
    <row r="60" spans="1:16">
      <c r="A60" s="509"/>
      <c r="B60" s="1"/>
      <c r="C60" s="1"/>
      <c r="D60" s="1"/>
      <c r="E60" s="1"/>
      <c r="F60" s="509"/>
      <c r="G60" s="1"/>
      <c r="H60" s="1"/>
      <c r="I60" s="1"/>
      <c r="J60" s="1"/>
      <c r="K60" s="509"/>
      <c r="L60" s="1"/>
      <c r="M60" s="1"/>
      <c r="N60" s="1"/>
      <c r="O60" s="1"/>
      <c r="P60" s="1"/>
    </row>
    <row r="61" spans="1:16">
      <c r="A61" s="569" t="s">
        <v>678</v>
      </c>
      <c r="B61" s="521">
        <f>B55+B59</f>
        <v>-6404</v>
      </c>
      <c r="C61" s="521">
        <f t="shared" ref="C61:F61" si="24">C55+C59</f>
        <v>-6672</v>
      </c>
      <c r="D61" s="521">
        <f t="shared" si="24"/>
        <v>-6260</v>
      </c>
      <c r="E61" s="521">
        <f t="shared" si="24"/>
        <v>-6577</v>
      </c>
      <c r="F61" s="569">
        <f t="shared" si="24"/>
        <v>-6828</v>
      </c>
      <c r="G61" s="570">
        <f>G55+G59</f>
        <v>-7068.7904987635739</v>
      </c>
      <c r="H61" s="570">
        <f t="shared" ref="H61:K61" si="25">H55+H59</f>
        <v>-7331.2927474616863</v>
      </c>
      <c r="I61" s="570">
        <f t="shared" si="25"/>
        <v>-7630.8059259757547</v>
      </c>
      <c r="J61" s="570">
        <f t="shared" si="25"/>
        <v>-7976.120931100565</v>
      </c>
      <c r="K61" s="571">
        <f t="shared" si="25"/>
        <v>-8367.1833712713214</v>
      </c>
      <c r="L61" s="1"/>
      <c r="M61" s="668"/>
      <c r="N61" s="1"/>
      <c r="O61" s="1"/>
      <c r="P61" s="1"/>
    </row>
    <row r="62" spans="1:16">
      <c r="A62" s="509"/>
      <c r="B62" s="1"/>
      <c r="C62" s="1"/>
      <c r="D62" s="1"/>
      <c r="E62" s="1"/>
      <c r="F62" s="509"/>
      <c r="G62" s="1"/>
      <c r="H62" s="1"/>
      <c r="I62" s="1"/>
      <c r="J62" s="1"/>
      <c r="K62" s="509"/>
      <c r="L62" s="1"/>
      <c r="M62" s="1"/>
      <c r="N62" s="1"/>
      <c r="O62" s="1"/>
      <c r="P62" s="1"/>
    </row>
    <row r="63" spans="1:16">
      <c r="A63" s="509"/>
      <c r="B63" s="1"/>
      <c r="C63" s="1"/>
      <c r="D63" s="1"/>
      <c r="E63" s="1"/>
      <c r="F63" s="509"/>
      <c r="G63" s="1"/>
      <c r="H63" s="1"/>
      <c r="I63" s="1"/>
      <c r="J63" s="1"/>
      <c r="K63" s="509"/>
      <c r="L63" s="1"/>
      <c r="M63" s="1"/>
      <c r="N63" s="1"/>
      <c r="O63" s="1"/>
      <c r="P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509"/>
      <c r="L64" s="1"/>
      <c r="M64" s="1"/>
      <c r="N64" s="1"/>
      <c r="O64" s="1"/>
      <c r="P64" s="1"/>
    </row>
    <row r="65" spans="1:16">
      <c r="A65" s="50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509" t="s">
        <v>463</v>
      </c>
      <c r="B66" s="1"/>
      <c r="C66" s="1"/>
      <c r="D66" s="1"/>
      <c r="E66" s="1"/>
      <c r="F66" s="509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509"/>
      <c r="B67" s="1"/>
      <c r="C67" s="1"/>
      <c r="D67" s="1"/>
      <c r="E67" s="1"/>
      <c r="F67" s="509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509" t="s">
        <v>303</v>
      </c>
      <c r="B68" s="660"/>
      <c r="C68" s="660">
        <f>'Cash flows'!D5</f>
        <v>443</v>
      </c>
      <c r="D68" s="660">
        <f>'Cash flows'!E5</f>
        <v>710</v>
      </c>
      <c r="E68" s="660">
        <f>'Cash flows'!F5</f>
        <v>588</v>
      </c>
      <c r="F68" s="565">
        <f>'Cash flows'!G5</f>
        <v>687</v>
      </c>
      <c r="G68" s="660">
        <f>G18</f>
        <v>646.49225759199862</v>
      </c>
      <c r="H68" s="660">
        <f>H18</f>
        <v>702.43756038992751</v>
      </c>
      <c r="I68" s="660">
        <f>I18</f>
        <v>762.86299647697422</v>
      </c>
      <c r="J68" s="660">
        <f>J18</f>
        <v>827.97165433180885</v>
      </c>
      <c r="K68" s="660">
        <f>K18</f>
        <v>897.9826634711784</v>
      </c>
      <c r="L68" s="1"/>
      <c r="M68" s="1"/>
      <c r="N68" s="1"/>
      <c r="O68" s="1"/>
      <c r="P68" s="1"/>
    </row>
    <row r="69" spans="1:16">
      <c r="A69" s="509" t="s">
        <v>348</v>
      </c>
      <c r="B69" s="660"/>
      <c r="C69" s="660">
        <f>'Cash flows'!D6</f>
        <v>-122</v>
      </c>
      <c r="D69" s="660">
        <f>'Cash flows'!E6</f>
        <v>-192</v>
      </c>
      <c r="E69" s="660">
        <f>'Cash flows'!F6</f>
        <v>-157</v>
      </c>
      <c r="F69" s="565">
        <f>'Cash flows'!G6</f>
        <v>-189</v>
      </c>
      <c r="G69" s="660">
        <f>G24</f>
        <v>-155.90793168904943</v>
      </c>
      <c r="H69" s="660">
        <f>H24</f>
        <v>-168.57000989867888</v>
      </c>
      <c r="I69" s="660">
        <f>I24</f>
        <v>-186.50520266040101</v>
      </c>
      <c r="J69" s="660">
        <f>J24</f>
        <v>-207.65616276375474</v>
      </c>
      <c r="K69" s="660">
        <f>K24</f>
        <v>-228.32710494158204</v>
      </c>
      <c r="L69" s="1"/>
      <c r="M69" s="1"/>
      <c r="N69" s="1"/>
      <c r="O69" s="1"/>
      <c r="P69" s="1"/>
    </row>
    <row r="70" spans="1:16">
      <c r="A70" s="103" t="s">
        <v>377</v>
      </c>
      <c r="B70" s="572"/>
      <c r="C70" s="572">
        <f>'Cash flows'!D7</f>
        <v>-39.814371257485028</v>
      </c>
      <c r="D70" s="572">
        <f>'Cash flows'!E7</f>
        <v>-44.666666666666664</v>
      </c>
      <c r="E70" s="572">
        <f>'Cash flows'!F7</f>
        <v>-31.400000000000002</v>
      </c>
      <c r="F70" s="573">
        <f>'Cash flows'!G7</f>
        <v>-34.481927710843372</v>
      </c>
      <c r="G70" s="563">
        <f>G21*'Forecasts Simo '!G159</f>
        <v>-29.182808403670457</v>
      </c>
      <c r="H70" s="563">
        <f>H21*'Forecasts Simo '!H159</f>
        <v>-32.729006390658689</v>
      </c>
      <c r="I70" s="563">
        <f>I21*'Forecasts Simo '!I159</f>
        <v>-31.331657671045356</v>
      </c>
      <c r="J70" s="563">
        <f>J21*'Forecasts Simo '!J159</f>
        <v>-27.647101108101289</v>
      </c>
      <c r="K70" s="563">
        <f>K21*'Forecasts Simo '!K159</f>
        <v>-26.233867677709359</v>
      </c>
      <c r="L70" s="1"/>
      <c r="M70" s="1"/>
      <c r="N70" s="1"/>
      <c r="O70" s="1"/>
      <c r="P70" s="1"/>
    </row>
    <row r="71" spans="1:16">
      <c r="A71" s="509" t="s">
        <v>349</v>
      </c>
      <c r="B71" s="660"/>
      <c r="C71" s="660">
        <f>'Cash flows'!D8</f>
        <v>281.18562874251495</v>
      </c>
      <c r="D71" s="660">
        <f>'Cash flows'!E8</f>
        <v>473.33333333333331</v>
      </c>
      <c r="E71" s="660">
        <f>'Cash flows'!F8</f>
        <v>399.6</v>
      </c>
      <c r="F71" s="565">
        <f>'Cash flows'!G8</f>
        <v>463.51807228915663</v>
      </c>
      <c r="G71" s="660">
        <f>G68+G69+G70</f>
        <v>461.40151749927878</v>
      </c>
      <c r="H71" s="660">
        <f t="shared" ref="H71:K71" si="26">H68+H69+H70</f>
        <v>501.13854410058991</v>
      </c>
      <c r="I71" s="660">
        <f t="shared" si="26"/>
        <v>545.02613614552786</v>
      </c>
      <c r="J71" s="660">
        <f t="shared" si="26"/>
        <v>592.66839045995278</v>
      </c>
      <c r="K71" s="660">
        <f t="shared" si="26"/>
        <v>643.42169085188709</v>
      </c>
      <c r="L71" s="1"/>
      <c r="M71" s="1"/>
      <c r="N71" s="1"/>
      <c r="O71" s="1"/>
      <c r="P71" s="1"/>
    </row>
    <row r="72" spans="1:16">
      <c r="A72" s="509"/>
      <c r="B72" s="660"/>
      <c r="C72" s="660"/>
      <c r="D72" s="660"/>
      <c r="E72" s="660"/>
      <c r="F72" s="565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509" t="s">
        <v>371</v>
      </c>
      <c r="B73" s="660"/>
      <c r="C73" s="660">
        <f>'Cash flows'!D10</f>
        <v>25</v>
      </c>
      <c r="D73" s="660">
        <f>'Cash flows'!E10</f>
        <v>12</v>
      </c>
      <c r="E73" s="660">
        <f>'Cash flows'!F10</f>
        <v>-40</v>
      </c>
      <c r="F73" s="565">
        <f>'Cash flows'!G10</f>
        <v>3</v>
      </c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509" t="s">
        <v>350</v>
      </c>
      <c r="B74" s="660"/>
      <c r="C74" s="660">
        <f>'Cash flows'!D11</f>
        <v>-336</v>
      </c>
      <c r="D74" s="660">
        <f>'Cash flows'!E11</f>
        <v>150</v>
      </c>
      <c r="E74" s="660">
        <f>'Cash flows'!F11</f>
        <v>-110</v>
      </c>
      <c r="F74" s="565">
        <f>'Cash flows'!G11</f>
        <v>-71</v>
      </c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03" t="s">
        <v>370</v>
      </c>
      <c r="B75" s="572"/>
      <c r="C75" s="572">
        <f>'Cash flows'!D12</f>
        <v>214</v>
      </c>
      <c r="D75" s="572">
        <f>'Cash flows'!E12</f>
        <v>-3</v>
      </c>
      <c r="E75" s="572">
        <f>'Cash flows'!F12</f>
        <v>32</v>
      </c>
      <c r="F75" s="573">
        <f>'Cash flows'!G12</f>
        <v>68</v>
      </c>
      <c r="G75" s="105"/>
      <c r="H75" s="105"/>
      <c r="I75" s="105"/>
      <c r="J75" s="105"/>
      <c r="K75" s="105"/>
      <c r="L75" s="1"/>
      <c r="M75" s="1"/>
      <c r="N75" s="1"/>
      <c r="O75" s="1"/>
      <c r="P75" s="1"/>
    </row>
    <row r="76" spans="1:16">
      <c r="A76" s="509" t="s">
        <v>372</v>
      </c>
      <c r="B76" s="660"/>
      <c r="C76" s="660">
        <f>'Cash flows'!D13</f>
        <v>-97</v>
      </c>
      <c r="D76" s="660">
        <f>'Cash flows'!E13</f>
        <v>159</v>
      </c>
      <c r="E76" s="660">
        <f>'Cash flows'!F13</f>
        <v>-118</v>
      </c>
      <c r="F76" s="565">
        <f>'Cash flows'!G13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509"/>
      <c r="B77" s="660"/>
      <c r="C77" s="660"/>
      <c r="D77" s="660"/>
      <c r="E77" s="660"/>
      <c r="F77" s="565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509" t="s">
        <v>351</v>
      </c>
      <c r="B78" s="660"/>
      <c r="C78" s="660">
        <f>'Cash flows'!D15</f>
        <v>-59</v>
      </c>
      <c r="D78" s="660">
        <f>'Cash flows'!E15</f>
        <v>132</v>
      </c>
      <c r="E78" s="660">
        <f>'Cash flows'!F15</f>
        <v>53</v>
      </c>
      <c r="F78" s="565">
        <f>'Cash flows'!G15</f>
        <v>-155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03" t="s">
        <v>352</v>
      </c>
      <c r="B79" s="572"/>
      <c r="C79" s="572">
        <f>'Cash flows'!D16</f>
        <v>210</v>
      </c>
      <c r="D79" s="572">
        <f>'Cash flows'!E16</f>
        <v>-220</v>
      </c>
      <c r="E79" s="572">
        <f>'Cash flows'!F16</f>
        <v>90</v>
      </c>
      <c r="F79" s="573">
        <f>'Cash flows'!G16</f>
        <v>236</v>
      </c>
      <c r="G79" s="105"/>
      <c r="H79" s="105"/>
      <c r="I79" s="105"/>
      <c r="J79" s="105"/>
      <c r="K79" s="105"/>
      <c r="L79" s="1"/>
      <c r="M79" s="1"/>
      <c r="N79" s="1"/>
      <c r="O79" s="1"/>
      <c r="P79" s="1"/>
    </row>
    <row r="80" spans="1:16">
      <c r="A80" s="509" t="s">
        <v>373</v>
      </c>
      <c r="B80" s="660"/>
      <c r="C80" s="660">
        <f>'Cash flows'!D17</f>
        <v>54</v>
      </c>
      <c r="D80" s="660">
        <f>'Cash flows'!E17</f>
        <v>71</v>
      </c>
      <c r="E80" s="660">
        <f>'Cash flows'!F17</f>
        <v>25</v>
      </c>
      <c r="F80" s="565">
        <f>'Cash flows'!G17</f>
        <v>81</v>
      </c>
      <c r="G80" s="540">
        <f>F48-G48</f>
        <v>-46.017916326999398</v>
      </c>
      <c r="H80" s="540">
        <f t="shared" ref="H80:K80" si="27">G48-H48</f>
        <v>-4.0486800075220231</v>
      </c>
      <c r="I80" s="540">
        <f t="shared" si="27"/>
        <v>-4.1100684342947034</v>
      </c>
      <c r="J80" s="540">
        <f t="shared" si="27"/>
        <v>-4.1723876678813667</v>
      </c>
      <c r="K80" s="540">
        <f t="shared" si="27"/>
        <v>-4.1307102396940536</v>
      </c>
      <c r="L80" s="1"/>
      <c r="M80" s="1"/>
      <c r="N80" s="1"/>
      <c r="O80" s="1"/>
      <c r="P80" s="1"/>
    </row>
    <row r="81" spans="1:16">
      <c r="A81" s="509"/>
      <c r="B81" s="660"/>
      <c r="C81" s="660"/>
      <c r="D81" s="660"/>
      <c r="E81" s="660"/>
      <c r="F81" s="565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509" t="s">
        <v>353</v>
      </c>
      <c r="B82" s="660"/>
      <c r="C82" s="660">
        <f>'Cash flows'!D19</f>
        <v>-1066</v>
      </c>
      <c r="D82" s="660">
        <f>'Cash flows'!E19</f>
        <v>-80</v>
      </c>
      <c r="E82" s="660">
        <f>'Cash flows'!F19</f>
        <v>-1076</v>
      </c>
      <c r="F82" s="565">
        <f>'Cash flows'!G19</f>
        <v>-837</v>
      </c>
      <c r="G82" s="540">
        <f>F37-G37+F38-G38+G16</f>
        <v>-868.52763987521871</v>
      </c>
      <c r="H82" s="540">
        <f>G37-H37+G38-H38+H16</f>
        <v>-881.69675803745099</v>
      </c>
      <c r="I82" s="540">
        <f>H37-I37+H38-I38+I16</f>
        <v>-895.06555398218313</v>
      </c>
      <c r="J82" s="540">
        <f>I37-J37+I38-J38+J16</f>
        <v>-908.63705533938719</v>
      </c>
      <c r="K82" s="540">
        <f>J37-K37+J38-K38+K16</f>
        <v>-922.0729927657593</v>
      </c>
      <c r="L82" s="1"/>
      <c r="M82" s="1"/>
      <c r="N82" s="1"/>
      <c r="O82" s="1"/>
      <c r="P82" s="1"/>
    </row>
    <row r="83" spans="1:16">
      <c r="A83" s="509" t="s">
        <v>354</v>
      </c>
      <c r="B83" s="660"/>
      <c r="C83" s="660">
        <f>'Cash flows'!D20</f>
        <v>648</v>
      </c>
      <c r="D83" s="660">
        <f>'Cash flows'!E20</f>
        <v>444</v>
      </c>
      <c r="E83" s="660">
        <f>'Cash flows'!F20</f>
        <v>623</v>
      </c>
      <c r="F83" s="565">
        <f>'Cash flows'!G20</f>
        <v>511</v>
      </c>
      <c r="G83" s="660">
        <f>-G16</f>
        <v>607.30367267200131</v>
      </c>
      <c r="H83" s="660">
        <f>-H16</f>
        <v>625.32466501126805</v>
      </c>
      <c r="I83" s="660">
        <f>-I16</f>
        <v>643.06109913135867</v>
      </c>
      <c r="J83" s="660">
        <f>-J16</f>
        <v>660.54787130240038</v>
      </c>
      <c r="K83" s="660">
        <f>-K16</f>
        <v>677.81733591679711</v>
      </c>
      <c r="L83" s="1"/>
      <c r="M83" s="1"/>
      <c r="N83" s="1"/>
      <c r="O83" s="1"/>
      <c r="P83" s="1"/>
    </row>
    <row r="84" spans="1:16">
      <c r="A84" s="509" t="s">
        <v>355</v>
      </c>
      <c r="B84" s="660"/>
      <c r="C84" s="660">
        <f>'Cash flows'!D21</f>
        <v>95</v>
      </c>
      <c r="D84" s="660">
        <f>'Cash flows'!E21</f>
        <v>-46</v>
      </c>
      <c r="E84" s="660">
        <f>'Cash flows'!F21</f>
        <v>17</v>
      </c>
      <c r="F84" s="565">
        <f>'Cash flows'!G21</f>
        <v>34</v>
      </c>
      <c r="G84" s="1">
        <f>F50-G50</f>
        <v>0</v>
      </c>
      <c r="H84" s="543">
        <f t="shared" ref="H84:K84" si="28">G50-H50</f>
        <v>0</v>
      </c>
      <c r="I84" s="543">
        <f t="shared" si="28"/>
        <v>0</v>
      </c>
      <c r="J84" s="543">
        <f t="shared" si="28"/>
        <v>0</v>
      </c>
      <c r="K84" s="543">
        <f t="shared" si="28"/>
        <v>0</v>
      </c>
      <c r="L84" s="1"/>
      <c r="M84" s="1"/>
      <c r="N84" s="1"/>
      <c r="O84" s="1"/>
      <c r="P84" s="1"/>
    </row>
    <row r="85" spans="1:16">
      <c r="A85" s="509" t="s">
        <v>356</v>
      </c>
      <c r="B85" s="660"/>
      <c r="C85" s="660">
        <f>'Cash flows'!D22</f>
        <v>33</v>
      </c>
      <c r="D85" s="660">
        <f>'Cash flows'!E22</f>
        <v>-46</v>
      </c>
      <c r="E85" s="660">
        <f>'Cash flows'!F22</f>
        <v>-5</v>
      </c>
      <c r="F85" s="565">
        <f>'Cash flows'!G22</f>
        <v>-7</v>
      </c>
      <c r="G85" s="1">
        <f>F51-G51</f>
        <v>0</v>
      </c>
      <c r="H85" s="543">
        <f t="shared" ref="H85:K85" si="29">G51-H51</f>
        <v>0</v>
      </c>
      <c r="I85" s="543">
        <f t="shared" si="29"/>
        <v>0</v>
      </c>
      <c r="J85" s="543">
        <f t="shared" si="29"/>
        <v>0</v>
      </c>
      <c r="K85" s="543">
        <f t="shared" si="29"/>
        <v>0</v>
      </c>
      <c r="L85" s="1"/>
      <c r="M85" s="1"/>
      <c r="N85" s="1"/>
      <c r="O85" s="1"/>
      <c r="P85" s="1"/>
    </row>
    <row r="86" spans="1:16">
      <c r="A86" s="509" t="s">
        <v>369</v>
      </c>
      <c r="B86" s="660"/>
      <c r="C86" s="660">
        <f>'Cash flows'!D23</f>
        <v>-33</v>
      </c>
      <c r="D86" s="660">
        <f>'Cash flows'!E23</f>
        <v>40</v>
      </c>
      <c r="E86" s="660">
        <f>'Cash flows'!F23</f>
        <v>37</v>
      </c>
      <c r="F86" s="565">
        <f>'Cash flows'!G23</f>
        <v>-13</v>
      </c>
      <c r="G86" s="1">
        <f>F52-G52</f>
        <v>0</v>
      </c>
      <c r="H86" s="543">
        <f t="shared" ref="H86:K86" si="30">G52-H52</f>
        <v>0</v>
      </c>
      <c r="I86" s="543">
        <f t="shared" si="30"/>
        <v>0</v>
      </c>
      <c r="J86" s="543">
        <f t="shared" si="30"/>
        <v>0</v>
      </c>
      <c r="K86" s="543">
        <f t="shared" si="30"/>
        <v>0</v>
      </c>
      <c r="L86" s="1"/>
      <c r="M86" s="1"/>
      <c r="N86" s="1"/>
      <c r="O86" s="1"/>
      <c r="P86" s="1"/>
    </row>
    <row r="87" spans="1:16">
      <c r="A87" s="103" t="s">
        <v>357</v>
      </c>
      <c r="B87" s="572"/>
      <c r="C87" s="572">
        <f>'Cash flows'!D24</f>
        <v>20</v>
      </c>
      <c r="D87" s="572">
        <f>'Cash flows'!E24</f>
        <v>-91</v>
      </c>
      <c r="E87" s="572">
        <f>'Cash flows'!F24</f>
        <v>11</v>
      </c>
      <c r="F87" s="573">
        <f>'Cash flows'!G24</f>
        <v>-3</v>
      </c>
      <c r="G87" s="572">
        <f>G26</f>
        <v>-3.9753045894325085</v>
      </c>
      <c r="H87" s="572">
        <f>H26</f>
        <v>-4.2924410555657548</v>
      </c>
      <c r="I87" s="572">
        <f>I26</f>
        <v>-4.7729269176391718</v>
      </c>
      <c r="J87" s="572">
        <f>J26</f>
        <v>-5.3497872540639371</v>
      </c>
      <c r="K87" s="572">
        <f>K26</f>
        <v>-5.9029515610100454</v>
      </c>
      <c r="L87" s="1"/>
      <c r="M87" s="1"/>
      <c r="N87" s="1"/>
      <c r="O87" s="1"/>
      <c r="P87" s="1"/>
    </row>
    <row r="88" spans="1:16">
      <c r="A88" s="509" t="s">
        <v>358</v>
      </c>
      <c r="B88" s="660"/>
      <c r="C88" s="660">
        <f>'Cash flows'!D25</f>
        <v>32.18562874251495</v>
      </c>
      <c r="D88" s="660">
        <f>'Cash flows'!E25</f>
        <v>765.33333333333326</v>
      </c>
      <c r="E88" s="660">
        <f>'Cash flows'!F25</f>
        <v>31.600000000000023</v>
      </c>
      <c r="F88" s="565">
        <f>'Cash flows'!G25</f>
        <v>229.51807228915663</v>
      </c>
      <c r="G88" s="540">
        <f>G71+G80+G82+G83+G87</f>
        <v>150.18432937962947</v>
      </c>
      <c r="H88" s="540">
        <f t="shared" ref="H88:K88" si="31">H71+H80+H82+H83+H87</f>
        <v>236.4253300113192</v>
      </c>
      <c r="I88" s="540">
        <f t="shared" si="31"/>
        <v>284.13868594276954</v>
      </c>
      <c r="J88" s="540">
        <f t="shared" si="31"/>
        <v>335.05703150102067</v>
      </c>
      <c r="K88" s="540">
        <f t="shared" si="31"/>
        <v>389.13237220222078</v>
      </c>
      <c r="L88" s="1"/>
      <c r="M88" s="1"/>
      <c r="N88" s="1"/>
      <c r="O88" s="1"/>
      <c r="P88" s="1"/>
    </row>
    <row r="89" spans="1:16">
      <c r="A89" s="509" t="s">
        <v>359</v>
      </c>
      <c r="B89" s="660"/>
      <c r="C89" s="660"/>
      <c r="D89" s="660"/>
      <c r="E89" s="660"/>
      <c r="F89" s="565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509"/>
      <c r="B90" s="660"/>
      <c r="C90" s="660"/>
      <c r="D90" s="660"/>
      <c r="E90" s="660"/>
      <c r="F90" s="565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509" t="s">
        <v>360</v>
      </c>
      <c r="B91" s="660"/>
      <c r="C91" s="660">
        <f>'Cash flows'!D28</f>
        <v>-108</v>
      </c>
      <c r="D91" s="660">
        <f>'Cash flows'!E28</f>
        <v>-105</v>
      </c>
      <c r="E91" s="660">
        <f>'Cash flows'!F28</f>
        <v>-36</v>
      </c>
      <c r="F91" s="565">
        <f>'Cash flows'!G28</f>
        <v>-126</v>
      </c>
      <c r="G91" s="660">
        <f>F39-G39+G21</f>
        <v>-134.93086741299237</v>
      </c>
      <c r="H91" s="660">
        <f>G39-H39+H21</f>
        <v>-114.20862270879553</v>
      </c>
      <c r="I91" s="660">
        <f>H39-I39+I21</f>
        <v>-109.72322231947831</v>
      </c>
      <c r="J91" s="660">
        <f>I39-J39+J21</f>
        <v>-97.283036645083016</v>
      </c>
      <c r="K91" s="660">
        <f>J39-K39+K21</f>
        <v>-92.541909028653066</v>
      </c>
      <c r="L91" s="1"/>
      <c r="M91" s="1"/>
      <c r="N91" s="1"/>
      <c r="O91" s="1"/>
      <c r="P91" s="1"/>
    </row>
    <row r="92" spans="1:16">
      <c r="A92" s="509" t="s">
        <v>361</v>
      </c>
      <c r="B92" s="660"/>
      <c r="C92" s="660">
        <f>'Cash flows'!D29</f>
        <v>14</v>
      </c>
      <c r="D92" s="660">
        <f>'Cash flows'!E29</f>
        <v>143</v>
      </c>
      <c r="E92" s="660">
        <f>'Cash flows'!F29</f>
        <v>-260</v>
      </c>
      <c r="F92" s="565">
        <f>'Cash flows'!G29</f>
        <v>-67</v>
      </c>
      <c r="G92" s="660">
        <f>-'Forecasts Simo '!G133-'Forecasts Simo '!G134</f>
        <v>240.43938114354978</v>
      </c>
      <c r="H92" s="660">
        <f>-'Forecasts Simo '!H133-'Forecasts Simo '!H134</f>
        <v>127.1048379736485</v>
      </c>
      <c r="I92" s="660">
        <f>-'Forecasts Simo '!I133-'Forecasts Simo '!I134</f>
        <v>131.29953980782602</v>
      </c>
      <c r="J92" s="660">
        <f>-'Forecasts Simo '!J133-'Forecasts Simo '!J134</f>
        <v>135.63267479496699</v>
      </c>
      <c r="K92" s="660">
        <f>-'Forecasts Simo '!K133-'Forecasts Simo '!K134</f>
        <v>143.39750161679422</v>
      </c>
      <c r="L92" s="1"/>
      <c r="M92" s="1"/>
      <c r="N92" s="1"/>
      <c r="O92" s="1"/>
      <c r="P92" s="1"/>
    </row>
    <row r="93" spans="1:16">
      <c r="A93" s="103" t="s">
        <v>378</v>
      </c>
      <c r="B93" s="572"/>
      <c r="C93" s="572">
        <f>'Cash flows'!D30</f>
        <v>39.814371257485028</v>
      </c>
      <c r="D93" s="572">
        <f>'Cash flows'!E30</f>
        <v>44.666666666666664</v>
      </c>
      <c r="E93" s="572">
        <f>'Cash flows'!F30</f>
        <v>31.400000000000002</v>
      </c>
      <c r="F93" s="573">
        <f>'Cash flows'!G30</f>
        <v>34.481927710843372</v>
      </c>
      <c r="G93" s="666">
        <f>-G70</f>
        <v>29.182808403670457</v>
      </c>
      <c r="H93" s="645">
        <f t="shared" ref="H93:K93" si="32">-H70</f>
        <v>32.729006390658689</v>
      </c>
      <c r="I93" s="645">
        <f t="shared" si="32"/>
        <v>31.331657671045356</v>
      </c>
      <c r="J93" s="645">
        <f t="shared" si="32"/>
        <v>27.647101108101289</v>
      </c>
      <c r="K93" s="645">
        <f t="shared" si="32"/>
        <v>26.233867677709359</v>
      </c>
      <c r="L93" s="1"/>
      <c r="M93" s="1"/>
      <c r="N93" s="1"/>
      <c r="O93" s="1"/>
      <c r="P93" s="1"/>
    </row>
    <row r="94" spans="1:16">
      <c r="A94" s="509" t="s">
        <v>362</v>
      </c>
      <c r="B94" s="660"/>
      <c r="C94" s="660">
        <f>'Cash flows'!D31</f>
        <v>-22.000000000000021</v>
      </c>
      <c r="D94" s="660">
        <f>'Cash flows'!E31</f>
        <v>847.99999999999989</v>
      </c>
      <c r="E94" s="660">
        <f>'Cash flows'!F31</f>
        <v>-232.99999999999997</v>
      </c>
      <c r="F94" s="565">
        <f>'Cash flows'!G31</f>
        <v>71</v>
      </c>
      <c r="G94" s="540">
        <f>G88+G91+G92+G93</f>
        <v>284.87565151385735</v>
      </c>
      <c r="H94" s="540">
        <f t="shared" ref="H94:K94" si="33">H88+H91+H92+H93</f>
        <v>282.05055166683087</v>
      </c>
      <c r="I94" s="540">
        <f t="shared" si="33"/>
        <v>337.0466611021626</v>
      </c>
      <c r="J94" s="540">
        <f t="shared" si="33"/>
        <v>401.05377075900594</v>
      </c>
      <c r="K94" s="540">
        <f t="shared" si="33"/>
        <v>466.22183246807134</v>
      </c>
      <c r="L94" s="1"/>
      <c r="M94" s="1"/>
      <c r="N94" s="1"/>
      <c r="O94" s="1"/>
      <c r="P94" s="1"/>
    </row>
    <row r="95" spans="1:16">
      <c r="A95" s="509" t="s">
        <v>363</v>
      </c>
      <c r="B95" s="660"/>
      <c r="C95" s="660"/>
      <c r="D95" s="660"/>
      <c r="E95" s="660"/>
      <c r="F95" s="565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509"/>
      <c r="B96" s="660"/>
      <c r="C96" s="660"/>
      <c r="D96" s="660"/>
      <c r="E96" s="660"/>
      <c r="F96" s="565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03" t="s">
        <v>364</v>
      </c>
      <c r="B97" s="572"/>
      <c r="C97" s="572">
        <f>'Cash flows'!D34</f>
        <v>-212</v>
      </c>
      <c r="D97" s="572">
        <f>'Cash flows'!E34</f>
        <v>-559</v>
      </c>
      <c r="E97" s="572">
        <f>'Cash flows'!F34</f>
        <v>166</v>
      </c>
      <c r="F97" s="573">
        <f>'Cash flows'!G34</f>
        <v>-261</v>
      </c>
      <c r="G97" s="563"/>
      <c r="H97" s="563"/>
      <c r="I97" s="563"/>
      <c r="J97" s="563"/>
      <c r="K97" s="563"/>
      <c r="L97" s="1"/>
      <c r="M97" s="668"/>
      <c r="N97" s="1"/>
      <c r="O97" s="1"/>
      <c r="P97" s="1"/>
    </row>
    <row r="98" spans="1:16">
      <c r="A98" s="509" t="s">
        <v>365</v>
      </c>
      <c r="B98" s="660"/>
      <c r="C98" s="660">
        <f>'Cash flows'!D35</f>
        <v>-234.00000000000003</v>
      </c>
      <c r="D98" s="660">
        <f>'Cash flows'!E35</f>
        <v>288.99999999999989</v>
      </c>
      <c r="E98" s="660">
        <f>'Cash flows'!F35</f>
        <v>-66.999999999999972</v>
      </c>
      <c r="F98" s="565">
        <f>'Cash flows'!G35</f>
        <v>-190</v>
      </c>
      <c r="G98" s="540">
        <f>G94+G97</f>
        <v>284.87565151385735</v>
      </c>
      <c r="H98" s="540">
        <f t="shared" ref="H98:K98" si="34">H94+H97</f>
        <v>282.05055166683087</v>
      </c>
      <c r="I98" s="540">
        <f t="shared" si="34"/>
        <v>337.0466611021626</v>
      </c>
      <c r="J98" s="540">
        <f t="shared" si="34"/>
        <v>401.05377075900594</v>
      </c>
      <c r="K98" s="540">
        <f t="shared" si="34"/>
        <v>466.22183246807134</v>
      </c>
      <c r="L98" s="1"/>
      <c r="M98" s="667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sheetPr codeName="Foglio1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EN581"/>
  <sheetViews>
    <sheetView topLeftCell="B1" zoomScaleNormal="100" workbookViewId="0">
      <pane xSplit="3" ySplit="3" topLeftCell="E151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64"/>
      <c r="L1" s="164"/>
      <c r="M1" s="164"/>
      <c r="N1" s="164"/>
      <c r="O1" s="16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>
      <c r="B2" s="62"/>
      <c r="C2" s="63"/>
      <c r="D2" s="64"/>
      <c r="E2" s="677" t="s">
        <v>158</v>
      </c>
      <c r="F2" s="677"/>
      <c r="G2" s="677"/>
      <c r="H2" s="677"/>
      <c r="I2" s="677"/>
      <c r="J2" s="677"/>
      <c r="K2" s="166"/>
      <c r="L2" s="166"/>
      <c r="M2" s="166"/>
      <c r="N2" s="166"/>
      <c r="O2" s="16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>
      <c r="B3" s="66"/>
      <c r="C3" s="126"/>
      <c r="D3" s="65"/>
      <c r="E3" s="126" t="s">
        <v>1</v>
      </c>
      <c r="F3" s="128">
        <v>42369</v>
      </c>
      <c r="G3" s="128">
        <v>42735</v>
      </c>
      <c r="H3" s="128">
        <v>43100</v>
      </c>
      <c r="I3" s="128">
        <v>43465</v>
      </c>
      <c r="J3" s="128">
        <v>43830</v>
      </c>
      <c r="K3" s="55"/>
      <c r="L3" s="55"/>
      <c r="M3" s="55"/>
      <c r="N3" s="55"/>
      <c r="O3" s="55"/>
      <c r="P3" s="167" t="s">
        <v>310</v>
      </c>
      <c r="Q3" s="168" t="s">
        <v>311</v>
      </c>
      <c r="R3" s="168" t="s">
        <v>312</v>
      </c>
      <c r="S3" s="168" t="s">
        <v>313</v>
      </c>
      <c r="T3" s="167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1">
      <c r="C4" s="123" t="s">
        <v>2</v>
      </c>
      <c r="D4" s="5"/>
      <c r="E4" s="7"/>
      <c r="F4" s="199"/>
      <c r="G4" s="200"/>
      <c r="H4" s="200"/>
      <c r="I4" s="200"/>
      <c r="J4" s="200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>
      <c r="C5" s="6" t="s">
        <v>3</v>
      </c>
      <c r="D5" s="5" t="s">
        <v>4</v>
      </c>
      <c r="E5" s="5"/>
      <c r="F5" s="199"/>
      <c r="G5" s="200"/>
      <c r="H5" s="200"/>
      <c r="I5" s="200"/>
      <c r="J5" s="200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>
      <c r="C6" s="8" t="s">
        <v>5</v>
      </c>
      <c r="D6" s="5" t="s">
        <v>6</v>
      </c>
      <c r="E6" s="5"/>
      <c r="F6" s="199"/>
      <c r="G6" s="200"/>
      <c r="H6" s="200"/>
      <c r="I6" s="200"/>
      <c r="J6" s="200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>
      <c r="C7" s="5" t="s">
        <v>7</v>
      </c>
      <c r="D7" s="5"/>
      <c r="E7" s="5"/>
      <c r="F7" s="199">
        <v>266</v>
      </c>
      <c r="G7" s="200">
        <v>235</v>
      </c>
      <c r="H7" s="200">
        <v>113</v>
      </c>
      <c r="I7" s="200">
        <v>116</v>
      </c>
      <c r="J7" s="200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>
      <c r="C8" s="5" t="s">
        <v>8</v>
      </c>
      <c r="D8" s="5"/>
      <c r="E8" s="5"/>
      <c r="F8" s="199">
        <v>913</v>
      </c>
      <c r="G8" s="200">
        <v>821</v>
      </c>
      <c r="H8" s="200">
        <v>606</v>
      </c>
      <c r="I8" s="200">
        <v>590</v>
      </c>
      <c r="J8" s="200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>
      <c r="C9" s="5" t="s">
        <v>9</v>
      </c>
      <c r="D9" s="5"/>
      <c r="E9" s="5"/>
      <c r="F9" s="199">
        <v>3608</v>
      </c>
      <c r="G9" s="200">
        <v>3703</v>
      </c>
      <c r="H9" s="200">
        <v>3459</v>
      </c>
      <c r="I9" s="200">
        <v>3460</v>
      </c>
      <c r="J9" s="200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>
      <c r="C10" s="5" t="s">
        <v>10</v>
      </c>
      <c r="D10" s="5"/>
      <c r="E10" s="5"/>
      <c r="F10" s="199">
        <v>24</v>
      </c>
      <c r="G10" s="200">
        <v>33</v>
      </c>
      <c r="H10" s="200">
        <v>36</v>
      </c>
      <c r="I10" s="200">
        <v>38</v>
      </c>
      <c r="J10" s="200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>
      <c r="C11" s="5" t="s">
        <v>11</v>
      </c>
      <c r="D11" s="5"/>
      <c r="E11" s="5"/>
      <c r="F11" s="199">
        <v>56</v>
      </c>
      <c r="G11" s="200">
        <v>72</v>
      </c>
      <c r="H11" s="200">
        <v>98</v>
      </c>
      <c r="I11" s="200">
        <v>120</v>
      </c>
      <c r="J11" s="200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>
      <c r="C12" s="5" t="s">
        <v>12</v>
      </c>
      <c r="D12" s="5"/>
      <c r="E12" s="5"/>
      <c r="F12" s="199">
        <v>23</v>
      </c>
      <c r="G12" s="200">
        <v>73</v>
      </c>
      <c r="H12" s="200">
        <v>66</v>
      </c>
      <c r="I12" s="200">
        <v>66</v>
      </c>
      <c r="J12" s="200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>
      <c r="C13" s="5" t="s">
        <v>13</v>
      </c>
      <c r="D13" s="5"/>
      <c r="E13" s="5"/>
      <c r="F13" s="199">
        <v>103</v>
      </c>
      <c r="G13" s="200">
        <v>101</v>
      </c>
      <c r="H13" s="200">
        <v>95</v>
      </c>
      <c r="I13" s="200">
        <v>85</v>
      </c>
      <c r="J13" s="200">
        <v>131</v>
      </c>
      <c r="K13" s="50"/>
      <c r="L13" s="108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>
      <c r="C14" s="5" t="s">
        <v>14</v>
      </c>
      <c r="D14" s="5"/>
      <c r="E14" s="5"/>
      <c r="F14" s="199">
        <v>72</v>
      </c>
      <c r="G14" s="200">
        <v>82</v>
      </c>
      <c r="H14" s="200">
        <v>83</v>
      </c>
      <c r="I14" s="200">
        <v>91</v>
      </c>
      <c r="J14" s="200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>
      <c r="C15" s="5" t="s">
        <v>15</v>
      </c>
      <c r="D15" s="5"/>
      <c r="E15" s="5"/>
      <c r="F15" s="199">
        <v>2</v>
      </c>
      <c r="G15" s="200">
        <v>9</v>
      </c>
      <c r="H15" s="200">
        <v>50</v>
      </c>
      <c r="I15" s="200">
        <v>54</v>
      </c>
      <c r="J15" s="200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>
      <c r="C16" s="10" t="s">
        <v>16</v>
      </c>
      <c r="D16" s="11"/>
      <c r="E16" s="12"/>
      <c r="F16" s="201">
        <f t="shared" ref="F16:G16" si="3">SUM(F7:F15)</f>
        <v>5067</v>
      </c>
      <c r="G16" s="201">
        <f t="shared" si="3"/>
        <v>5129</v>
      </c>
      <c r="H16" s="202">
        <f>SUM(H7:H15)</f>
        <v>4606</v>
      </c>
      <c r="I16" s="202">
        <f>SUM(I7:I15)</f>
        <v>4620</v>
      </c>
      <c r="J16" s="202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>
      <c r="C17" s="14" t="s">
        <v>17</v>
      </c>
      <c r="D17" s="14"/>
      <c r="E17" s="14"/>
      <c r="F17" s="203"/>
      <c r="G17" s="204"/>
      <c r="H17" s="204"/>
      <c r="I17" s="204"/>
      <c r="J17" s="204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>
      <c r="C18" s="14" t="s">
        <v>18</v>
      </c>
      <c r="D18" s="14"/>
      <c r="E18" s="14"/>
      <c r="F18" s="203">
        <v>9838</v>
      </c>
      <c r="G18" s="204">
        <v>10421</v>
      </c>
      <c r="H18" s="204">
        <v>10070</v>
      </c>
      <c r="I18" s="204">
        <v>10520</v>
      </c>
      <c r="J18" s="204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>
      <c r="C19" s="14" t="s">
        <v>19</v>
      </c>
      <c r="D19" s="14"/>
      <c r="E19" s="14"/>
      <c r="F19" s="203">
        <v>-4253</v>
      </c>
      <c r="G19" s="204">
        <v>-4553</v>
      </c>
      <c r="H19" s="204">
        <v>-4725</v>
      </c>
      <c r="I19" s="204">
        <v>-5045</v>
      </c>
      <c r="J19" s="204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>
      <c r="C20" s="14" t="s">
        <v>20</v>
      </c>
      <c r="D20" s="14"/>
      <c r="E20" s="14"/>
      <c r="F20" s="203">
        <v>-518</v>
      </c>
      <c r="G20" s="204">
        <v>-739</v>
      </c>
      <c r="H20" s="204">
        <v>-739</v>
      </c>
      <c r="I20" s="204">
        <v>-855</v>
      </c>
      <c r="J20" s="204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>
      <c r="C21" s="8" t="s">
        <v>21</v>
      </c>
      <c r="D21" s="5" t="s">
        <v>22</v>
      </c>
      <c r="E21" s="5"/>
      <c r="F21" s="199"/>
      <c r="G21" s="200"/>
      <c r="H21" s="200"/>
      <c r="I21" s="200"/>
      <c r="J21" s="200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>
      <c r="C22" s="5" t="s">
        <v>23</v>
      </c>
      <c r="D22" s="5"/>
      <c r="E22" s="5"/>
      <c r="F22" s="199">
        <v>26</v>
      </c>
      <c r="G22" s="200">
        <v>21</v>
      </c>
      <c r="H22" s="200">
        <v>19</v>
      </c>
      <c r="I22" s="200">
        <v>24</v>
      </c>
      <c r="J22" s="200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>
      <c r="C23" s="5" t="s">
        <v>24</v>
      </c>
      <c r="D23" s="5"/>
      <c r="E23" s="5"/>
      <c r="F23" s="199">
        <v>799</v>
      </c>
      <c r="G23" s="200">
        <v>1046</v>
      </c>
      <c r="H23" s="200">
        <v>1130</v>
      </c>
      <c r="I23" s="200">
        <v>1502</v>
      </c>
      <c r="J23" s="200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>
      <c r="C24" s="5" t="s">
        <v>25</v>
      </c>
      <c r="D24" s="5"/>
      <c r="E24" s="5"/>
      <c r="F24" s="199">
        <v>20</v>
      </c>
      <c r="G24" s="200">
        <v>500</v>
      </c>
      <c r="H24" s="200">
        <v>457</v>
      </c>
      <c r="I24" s="200">
        <v>444</v>
      </c>
      <c r="J24" s="200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>
      <c r="C25" s="5" t="s">
        <v>26</v>
      </c>
      <c r="D25" s="5"/>
      <c r="E25" s="5"/>
      <c r="F25" s="199">
        <v>21</v>
      </c>
      <c r="G25" s="200">
        <v>26</v>
      </c>
      <c r="H25" s="200">
        <v>40</v>
      </c>
      <c r="I25" s="200">
        <v>44</v>
      </c>
      <c r="J25" s="200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>
      <c r="C26" s="5" t="s">
        <v>27</v>
      </c>
      <c r="D26" s="5"/>
      <c r="E26" s="5"/>
      <c r="F26" s="199">
        <v>482</v>
      </c>
      <c r="G26" s="200">
        <v>111</v>
      </c>
      <c r="H26" s="200">
        <v>217</v>
      </c>
      <c r="I26" s="200">
        <v>288</v>
      </c>
      <c r="J26" s="200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>
      <c r="C27" s="10" t="s">
        <v>16</v>
      </c>
      <c r="D27" s="12"/>
      <c r="E27" s="12"/>
      <c r="F27" s="201">
        <f t="shared" ref="F27:G27" si="6">SUM(F22:F26)</f>
        <v>1348</v>
      </c>
      <c r="G27" s="202">
        <f t="shared" si="6"/>
        <v>1704</v>
      </c>
      <c r="H27" s="202">
        <f>SUM(H22:H26)</f>
        <v>1863</v>
      </c>
      <c r="I27" s="202">
        <f>SUM(I22:I26)</f>
        <v>2302</v>
      </c>
      <c r="J27" s="202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>
      <c r="C28" s="8" t="s">
        <v>28</v>
      </c>
      <c r="D28" s="5"/>
      <c r="E28" s="5"/>
      <c r="F28" s="199"/>
      <c r="G28" s="200"/>
      <c r="H28" s="200"/>
      <c r="I28" s="200"/>
      <c r="J28" s="200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>
      <c r="C29" s="5" t="s">
        <v>29</v>
      </c>
      <c r="D29" s="5" t="s">
        <v>30</v>
      </c>
      <c r="E29" s="5"/>
      <c r="F29" s="199">
        <v>68</v>
      </c>
      <c r="G29" s="200">
        <v>67</v>
      </c>
      <c r="H29" s="200">
        <v>63</v>
      </c>
      <c r="I29" s="200">
        <v>16</v>
      </c>
      <c r="J29" s="200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>
      <c r="C30" s="5" t="s">
        <v>31</v>
      </c>
      <c r="D30" s="5" t="s">
        <v>32</v>
      </c>
      <c r="E30" s="5"/>
      <c r="F30" s="199">
        <v>69</v>
      </c>
      <c r="G30" s="200">
        <v>69</v>
      </c>
      <c r="H30" s="200">
        <v>44</v>
      </c>
      <c r="I30" s="200">
        <v>29</v>
      </c>
      <c r="J30" s="200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>
      <c r="C31" s="10" t="s">
        <v>16</v>
      </c>
      <c r="D31" s="12"/>
      <c r="E31" s="12"/>
      <c r="F31" s="201">
        <f ca="1">SUM(F29:F31)</f>
        <v>137</v>
      </c>
      <c r="G31" s="202">
        <f ca="1">SUM(G29:G31)</f>
        <v>136</v>
      </c>
      <c r="H31" s="202">
        <f ca="1">SUM(H29:H31)</f>
        <v>107</v>
      </c>
      <c r="I31" s="202">
        <f ca="1">SUM(I29:I31)</f>
        <v>45</v>
      </c>
      <c r="J31" s="202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>
      <c r="C32" s="14" t="s">
        <v>317</v>
      </c>
      <c r="D32" s="163"/>
      <c r="E32" s="169"/>
      <c r="F32" s="205">
        <v>57</v>
      </c>
      <c r="G32" s="206">
        <v>56</v>
      </c>
      <c r="H32" s="206">
        <v>36</v>
      </c>
      <c r="I32" s="206">
        <v>22</v>
      </c>
      <c r="J32" s="206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>
      <c r="C33" s="1"/>
      <c r="D33" s="1"/>
      <c r="E33" s="55"/>
      <c r="F33" s="207"/>
      <c r="G33" s="208"/>
      <c r="H33" s="208"/>
      <c r="I33" s="208"/>
      <c r="J33" s="208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>
      <c r="E34" s="55"/>
      <c r="F34" s="209"/>
      <c r="G34" s="210"/>
      <c r="H34" s="210"/>
      <c r="I34" s="210"/>
      <c r="J34" s="210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>
      <c r="C35" s="8" t="s">
        <v>33</v>
      </c>
      <c r="D35" s="5" t="s">
        <v>34</v>
      </c>
      <c r="E35" s="5"/>
      <c r="F35" s="211">
        <v>308</v>
      </c>
      <c r="G35" s="212">
        <v>341</v>
      </c>
      <c r="H35" s="212">
        <v>301</v>
      </c>
      <c r="I35" s="212">
        <v>264</v>
      </c>
      <c r="J35" s="212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>
      <c r="C36" s="8" t="s">
        <v>35</v>
      </c>
      <c r="D36" s="5" t="s">
        <v>32</v>
      </c>
      <c r="E36" s="5"/>
      <c r="F36" s="199"/>
      <c r="G36" s="200"/>
      <c r="H36" s="200"/>
      <c r="I36" s="200"/>
      <c r="J36" s="200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>
      <c r="C37" s="5" t="s">
        <v>36</v>
      </c>
      <c r="D37" s="5"/>
      <c r="E37" s="5"/>
      <c r="F37" s="181">
        <v>0</v>
      </c>
      <c r="G37" s="200">
        <v>4</v>
      </c>
      <c r="H37" s="182">
        <v>0</v>
      </c>
      <c r="I37" s="200">
        <v>8</v>
      </c>
      <c r="J37" s="200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>
      <c r="C38" s="5" t="s">
        <v>37</v>
      </c>
      <c r="D38" s="5"/>
      <c r="E38" s="5"/>
      <c r="F38" s="199">
        <v>6</v>
      </c>
      <c r="G38" s="200">
        <v>8</v>
      </c>
      <c r="H38" s="200">
        <v>8</v>
      </c>
      <c r="I38" s="200">
        <v>12</v>
      </c>
      <c r="J38" s="200">
        <v>23</v>
      </c>
      <c r="K38" s="50"/>
      <c r="L38" s="108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>
      <c r="E39" s="55"/>
      <c r="F39" s="209"/>
      <c r="G39" s="210"/>
      <c r="H39" s="210"/>
      <c r="I39" s="210"/>
      <c r="J39" s="210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>
      <c r="C40" s="10" t="s">
        <v>16</v>
      </c>
      <c r="D40" s="12"/>
      <c r="E40" s="13"/>
      <c r="F40" s="201">
        <f>SUM(F37:F38)</f>
        <v>6</v>
      </c>
      <c r="G40" s="202">
        <f>SUM(G37:G38)</f>
        <v>12</v>
      </c>
      <c r="H40" s="202">
        <f>SUM(H37:H38)</f>
        <v>8</v>
      </c>
      <c r="I40" s="202">
        <f>SUM(I37:I38)</f>
        <v>20</v>
      </c>
      <c r="J40" s="202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>
      <c r="C41" s="14" t="s">
        <v>317</v>
      </c>
      <c r="D41" s="14"/>
      <c r="E41" s="14"/>
      <c r="F41" s="194">
        <v>0</v>
      </c>
      <c r="G41" s="204">
        <v>4</v>
      </c>
      <c r="H41" s="195">
        <v>0</v>
      </c>
      <c r="I41" s="204">
        <v>8</v>
      </c>
      <c r="J41" s="204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>
      <c r="C42" s="5"/>
      <c r="D42" s="5"/>
      <c r="E42" s="5"/>
      <c r="F42" s="199"/>
      <c r="G42" s="200"/>
      <c r="H42" s="200"/>
      <c r="I42" s="200"/>
      <c r="J42" s="200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>
      <c r="E43" s="55"/>
      <c r="F43" s="209"/>
      <c r="G43" s="210"/>
      <c r="H43" s="210"/>
      <c r="I43" s="210"/>
      <c r="J43" s="210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>
      <c r="C44" s="15" t="s">
        <v>38</v>
      </c>
      <c r="D44" s="16"/>
      <c r="E44" s="15"/>
      <c r="F44" s="213">
        <f ca="1">SUM(F16,F27,F31,F35,F40)</f>
        <v>6866</v>
      </c>
      <c r="G44" s="214">
        <f ca="1">SUM(G16,G27,G31,G35,G40)</f>
        <v>7322</v>
      </c>
      <c r="H44" s="214">
        <f ca="1">SUM(H16,H27,H31,H35,H40)</f>
        <v>6885</v>
      </c>
      <c r="I44" s="214">
        <f ca="1">SUM(I16,I27,I31,I35,I40)</f>
        <v>7251</v>
      </c>
      <c r="J44" s="214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>
      <c r="C45" s="8"/>
      <c r="D45" s="5"/>
      <c r="E45" s="5"/>
      <c r="F45" s="199"/>
      <c r="G45" s="200"/>
      <c r="H45" s="200"/>
      <c r="I45" s="200"/>
      <c r="J45" s="200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>
      <c r="C46" s="6" t="s">
        <v>39</v>
      </c>
      <c r="D46" s="5"/>
      <c r="E46" s="5"/>
      <c r="F46" s="199"/>
      <c r="G46" s="200"/>
      <c r="H46" s="200"/>
      <c r="I46" s="200"/>
      <c r="J46" s="200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>
      <c r="C47" s="8" t="s">
        <v>40</v>
      </c>
      <c r="D47" s="5"/>
      <c r="E47" s="5"/>
      <c r="F47" s="199"/>
      <c r="G47" s="200"/>
      <c r="H47" s="200"/>
      <c r="I47" s="200"/>
      <c r="J47" s="200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>
      <c r="C48" s="5" t="s">
        <v>41</v>
      </c>
      <c r="D48" s="5"/>
      <c r="E48" s="5"/>
      <c r="F48" s="199">
        <v>86</v>
      </c>
      <c r="G48" s="200">
        <v>96</v>
      </c>
      <c r="H48" s="200">
        <v>71</v>
      </c>
      <c r="I48" s="200">
        <v>69</v>
      </c>
      <c r="J48" s="200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>
      <c r="C49" s="5" t="s">
        <v>42</v>
      </c>
      <c r="D49" s="5"/>
      <c r="E49" s="5"/>
      <c r="F49" s="199">
        <v>-26</v>
      </c>
      <c r="G49" s="200">
        <v>-30</v>
      </c>
      <c r="H49" s="200">
        <v>-20</v>
      </c>
      <c r="I49" s="200">
        <v>-17</v>
      </c>
      <c r="J49" s="200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>
      <c r="C50" s="5" t="s">
        <v>43</v>
      </c>
      <c r="D50" s="5"/>
      <c r="E50" s="5"/>
      <c r="F50" s="199">
        <f>SUM(F48:F49)</f>
        <v>60</v>
      </c>
      <c r="G50" s="199">
        <f t="shared" ref="G50:J50" si="9">SUM(G48:G49)</f>
        <v>66</v>
      </c>
      <c r="H50" s="199">
        <f t="shared" si="9"/>
        <v>51</v>
      </c>
      <c r="I50" s="199">
        <f t="shared" si="9"/>
        <v>52</v>
      </c>
      <c r="J50" s="199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>
      <c r="C51" s="5" t="s">
        <v>44</v>
      </c>
      <c r="D51" s="5"/>
      <c r="E51" s="5"/>
      <c r="F51" s="199">
        <v>99</v>
      </c>
      <c r="G51" s="200">
        <v>77</v>
      </c>
      <c r="H51" s="200">
        <v>91</v>
      </c>
      <c r="I51" s="200">
        <v>129</v>
      </c>
      <c r="J51" s="200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>
      <c r="C52" s="5" t="s">
        <v>45</v>
      </c>
      <c r="D52" s="5"/>
      <c r="E52" s="5"/>
      <c r="F52" s="199">
        <v>22</v>
      </c>
      <c r="G52" s="200">
        <v>9</v>
      </c>
      <c r="H52" s="200">
        <v>1</v>
      </c>
      <c r="I52" s="200">
        <v>2</v>
      </c>
      <c r="J52" s="200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>
      <c r="C53" s="8" t="s">
        <v>46</v>
      </c>
      <c r="D53" s="5"/>
      <c r="E53" s="5"/>
      <c r="F53" s="199">
        <v>181</v>
      </c>
      <c r="G53" s="200">
        <f t="shared" ref="G53" si="11">SUM(G51,G50,G52)</f>
        <v>152</v>
      </c>
      <c r="H53" s="200">
        <f>SUM(H51,H50,H52)</f>
        <v>143</v>
      </c>
      <c r="I53" s="200">
        <f>SUM(I51,I50,I52)</f>
        <v>183</v>
      </c>
      <c r="J53" s="200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>
      <c r="C54" s="5" t="s">
        <v>47</v>
      </c>
      <c r="D54" s="5"/>
      <c r="E54" s="5"/>
      <c r="F54" s="199">
        <v>3</v>
      </c>
      <c r="G54" s="200">
        <v>7</v>
      </c>
      <c r="H54" s="200">
        <v>4</v>
      </c>
      <c r="I54" s="200">
        <v>4</v>
      </c>
      <c r="J54" s="200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>
      <c r="C55" s="10" t="s">
        <v>16</v>
      </c>
      <c r="D55" s="12"/>
      <c r="E55" s="12"/>
      <c r="F55" s="201">
        <f t="shared" ref="F55:G55" si="12">SUM(F53,F54)</f>
        <v>184</v>
      </c>
      <c r="G55" s="202">
        <f t="shared" si="12"/>
        <v>159</v>
      </c>
      <c r="H55" s="202">
        <f>SUM(H53,H54)</f>
        <v>147</v>
      </c>
      <c r="I55" s="202">
        <f>SUM(I53,I54)</f>
        <v>187</v>
      </c>
      <c r="J55" s="202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>
      <c r="C56" s="8" t="s">
        <v>48</v>
      </c>
      <c r="D56" s="5"/>
      <c r="E56" s="5"/>
      <c r="F56" s="199"/>
      <c r="G56" s="200"/>
      <c r="H56" s="200"/>
      <c r="I56" s="200"/>
      <c r="J56" s="200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>
      <c r="C57" s="5" t="s">
        <v>49</v>
      </c>
      <c r="D57" s="5"/>
      <c r="E57" s="5"/>
      <c r="F57" s="199">
        <v>1066</v>
      </c>
      <c r="G57" s="200">
        <v>1054</v>
      </c>
      <c r="H57" s="200">
        <v>929</v>
      </c>
      <c r="I57" s="200">
        <v>1030</v>
      </c>
      <c r="J57" s="200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>
      <c r="C58" s="5" t="s">
        <v>50</v>
      </c>
      <c r="D58" s="5"/>
      <c r="E58" s="5"/>
      <c r="F58" s="199">
        <v>734</v>
      </c>
      <c r="G58" s="200">
        <v>1120</v>
      </c>
      <c r="H58" s="200">
        <v>897</v>
      </c>
      <c r="I58" s="200">
        <v>914</v>
      </c>
      <c r="J58" s="200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>
      <c r="C59" s="5" t="s">
        <v>51</v>
      </c>
      <c r="D59" s="5"/>
      <c r="E59" s="5"/>
      <c r="F59" s="199">
        <v>-315</v>
      </c>
      <c r="G59" s="200">
        <v>-353</v>
      </c>
      <c r="H59" s="200">
        <v>-155</v>
      </c>
      <c r="I59" s="200">
        <v>-163</v>
      </c>
      <c r="J59" s="200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>
      <c r="C60" s="10" t="s">
        <v>16</v>
      </c>
      <c r="D60" s="12"/>
      <c r="E60" s="12"/>
      <c r="F60" s="201">
        <f t="shared" ref="F60:G60" si="16">SUM(F57:F59)</f>
        <v>1485</v>
      </c>
      <c r="G60" s="202">
        <f t="shared" si="16"/>
        <v>1821</v>
      </c>
      <c r="H60" s="202">
        <f>SUM(H57:H59)</f>
        <v>1671</v>
      </c>
      <c r="I60" s="202">
        <f>SUM(I57:I59)</f>
        <v>1781</v>
      </c>
      <c r="J60" s="202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>
      <c r="C61" s="8" t="s">
        <v>52</v>
      </c>
      <c r="D61" s="5"/>
      <c r="E61" s="5"/>
      <c r="F61" s="199"/>
      <c r="G61" s="200"/>
      <c r="H61" s="200"/>
      <c r="I61" s="200"/>
      <c r="J61" s="200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>
      <c r="C62" s="8" t="s">
        <v>53</v>
      </c>
      <c r="D62" s="5" t="s">
        <v>54</v>
      </c>
      <c r="E62" s="5"/>
      <c r="F62" s="185">
        <v>55</v>
      </c>
      <c r="G62" s="186">
        <v>265</v>
      </c>
      <c r="H62" s="186">
        <v>96</v>
      </c>
      <c r="I62" s="186">
        <v>163</v>
      </c>
      <c r="J62" s="186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>
      <c r="C63" s="8" t="s">
        <v>55</v>
      </c>
      <c r="D63" s="5"/>
      <c r="E63" s="5"/>
      <c r="F63" s="185">
        <v>128</v>
      </c>
      <c r="G63" s="186">
        <v>124</v>
      </c>
      <c r="H63" s="186">
        <v>120</v>
      </c>
      <c r="I63" s="186">
        <v>150</v>
      </c>
      <c r="J63" s="186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>
      <c r="C64" s="5" t="s">
        <v>56</v>
      </c>
      <c r="D64" s="5"/>
      <c r="E64" s="5"/>
      <c r="F64" s="185">
        <v>52</v>
      </c>
      <c r="G64" s="186">
        <v>40</v>
      </c>
      <c r="H64" s="186">
        <v>49</v>
      </c>
      <c r="I64" s="186">
        <v>46</v>
      </c>
      <c r="J64" s="186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>
      <c r="C65" s="5" t="s">
        <v>57</v>
      </c>
      <c r="D65" s="5"/>
      <c r="E65" s="5"/>
      <c r="F65" s="185">
        <v>7</v>
      </c>
      <c r="G65" s="186">
        <v>11</v>
      </c>
      <c r="H65" s="186">
        <v>25</v>
      </c>
      <c r="I65" s="186">
        <v>35</v>
      </c>
      <c r="J65" s="186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>
      <c r="C66" s="5" t="s">
        <v>58</v>
      </c>
      <c r="D66" s="5"/>
      <c r="E66" s="5"/>
      <c r="F66" s="185">
        <v>1</v>
      </c>
      <c r="G66" s="186">
        <v>1</v>
      </c>
      <c r="H66" s="186">
        <v>1</v>
      </c>
      <c r="I66" s="186">
        <v>1</v>
      </c>
      <c r="J66" s="186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>
      <c r="C67" s="5" t="s">
        <v>59</v>
      </c>
      <c r="D67" s="5"/>
      <c r="E67" s="5"/>
      <c r="F67" s="185">
        <v>4</v>
      </c>
      <c r="G67" s="186">
        <v>12</v>
      </c>
      <c r="H67" s="186">
        <v>6</v>
      </c>
      <c r="I67" s="186">
        <v>10</v>
      </c>
      <c r="J67" s="186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>
      <c r="C68" s="5" t="s">
        <v>60</v>
      </c>
      <c r="D68" s="5"/>
      <c r="E68" s="5"/>
      <c r="F68" s="185">
        <v>12</v>
      </c>
      <c r="G68" s="186">
        <v>14</v>
      </c>
      <c r="H68" s="186">
        <v>14</v>
      </c>
      <c r="I68" s="186">
        <v>22</v>
      </c>
      <c r="J68" s="186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>
      <c r="C69" s="5" t="s">
        <v>61</v>
      </c>
      <c r="D69" s="5"/>
      <c r="E69" s="5"/>
      <c r="F69" s="185">
        <v>19</v>
      </c>
      <c r="G69" s="186">
        <v>9</v>
      </c>
      <c r="H69" s="186">
        <v>2</v>
      </c>
      <c r="I69" s="186">
        <v>2</v>
      </c>
      <c r="J69" s="186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>
      <c r="C70" s="5" t="s">
        <v>62</v>
      </c>
      <c r="D70" s="5"/>
      <c r="E70" s="5"/>
      <c r="F70" s="185">
        <v>3</v>
      </c>
      <c r="G70" s="186">
        <v>3</v>
      </c>
      <c r="H70" s="186">
        <v>3</v>
      </c>
      <c r="I70" s="186">
        <v>3</v>
      </c>
      <c r="J70" s="186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>
      <c r="C71" s="5" t="s">
        <v>63</v>
      </c>
      <c r="D71" s="5"/>
      <c r="E71" s="5"/>
      <c r="F71" s="185">
        <v>1</v>
      </c>
      <c r="G71" s="186">
        <v>0</v>
      </c>
      <c r="H71" s="186">
        <v>1</v>
      </c>
      <c r="I71" s="186">
        <v>1</v>
      </c>
      <c r="J71" s="186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>
      <c r="C72" s="5" t="s">
        <v>64</v>
      </c>
      <c r="D72" s="5"/>
      <c r="E72" s="5"/>
      <c r="F72" s="185">
        <v>1</v>
      </c>
      <c r="G72" s="186">
        <v>1</v>
      </c>
      <c r="H72" s="186">
        <v>1</v>
      </c>
      <c r="I72" s="186">
        <v>1</v>
      </c>
      <c r="J72" s="186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>
      <c r="C73" s="58" t="s">
        <v>162</v>
      </c>
      <c r="D73" s="5"/>
      <c r="E73" s="5"/>
      <c r="F73" s="185">
        <v>1</v>
      </c>
      <c r="G73" s="186">
        <v>0</v>
      </c>
      <c r="H73" s="186">
        <v>0</v>
      </c>
      <c r="I73" s="186">
        <v>0</v>
      </c>
      <c r="J73" s="186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>
      <c r="C74" s="5" t="s">
        <v>65</v>
      </c>
      <c r="D74" s="5"/>
      <c r="E74" s="5"/>
      <c r="F74" s="185">
        <v>12</v>
      </c>
      <c r="G74" s="186">
        <v>13</v>
      </c>
      <c r="H74" s="186">
        <v>0</v>
      </c>
      <c r="I74" s="186">
        <v>0</v>
      </c>
      <c r="J74" s="186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>
      <c r="C75" s="5" t="s">
        <v>66</v>
      </c>
      <c r="D75" s="5"/>
      <c r="E75" s="5"/>
      <c r="F75" s="185">
        <v>5</v>
      </c>
      <c r="G75" s="186">
        <v>5</v>
      </c>
      <c r="H75" s="186">
        <v>3</v>
      </c>
      <c r="I75" s="186">
        <v>0</v>
      </c>
      <c r="J75" s="186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>
      <c r="C76" s="5" t="s">
        <v>67</v>
      </c>
      <c r="D76" s="5"/>
      <c r="E76" s="5"/>
      <c r="F76" s="185">
        <v>1</v>
      </c>
      <c r="G76" s="186">
        <v>1</v>
      </c>
      <c r="H76" s="186">
        <v>1</v>
      </c>
      <c r="I76" s="186">
        <v>2</v>
      </c>
      <c r="J76" s="186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>
      <c r="C77" s="5" t="s">
        <v>68</v>
      </c>
      <c r="D77" s="5"/>
      <c r="E77" s="5"/>
      <c r="F77" s="185">
        <v>0</v>
      </c>
      <c r="G77" s="186">
        <v>3</v>
      </c>
      <c r="H77" s="186">
        <v>3</v>
      </c>
      <c r="I77" s="186">
        <v>2</v>
      </c>
      <c r="J77" s="186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>
      <c r="C78" s="5" t="s">
        <v>69</v>
      </c>
      <c r="D78" s="5"/>
      <c r="E78" s="5"/>
      <c r="F78" s="185">
        <v>0</v>
      </c>
      <c r="G78" s="186">
        <v>3</v>
      </c>
      <c r="H78" s="186">
        <v>0</v>
      </c>
      <c r="I78" s="186">
        <v>0</v>
      </c>
      <c r="J78" s="186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>
      <c r="C79" s="5" t="s">
        <v>70</v>
      </c>
      <c r="D79" s="5"/>
      <c r="E79" s="5"/>
      <c r="F79" s="185">
        <v>9</v>
      </c>
      <c r="G79" s="186">
        <v>8</v>
      </c>
      <c r="H79" s="186">
        <v>11</v>
      </c>
      <c r="I79" s="186">
        <v>25</v>
      </c>
      <c r="J79" s="186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>
      <c r="C80" s="10" t="s">
        <v>16</v>
      </c>
      <c r="D80" s="11"/>
      <c r="E80" s="12"/>
      <c r="F80" s="201">
        <f>SUM(F62,F63)</f>
        <v>183</v>
      </c>
      <c r="G80" s="202">
        <f>SUM(G62,G63)</f>
        <v>389</v>
      </c>
      <c r="H80" s="202">
        <f>SUM(H62,H63)</f>
        <v>216</v>
      </c>
      <c r="I80" s="202">
        <f>SUM(I62,I63)</f>
        <v>313</v>
      </c>
      <c r="J80" s="202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>
      <c r="C81" s="8" t="s">
        <v>71</v>
      </c>
      <c r="D81" s="5"/>
      <c r="E81" s="5"/>
      <c r="F81" s="199"/>
      <c r="G81" s="200"/>
      <c r="H81" s="200"/>
      <c r="I81" s="200"/>
      <c r="J81" s="200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>
      <c r="C82" s="5" t="s">
        <v>72</v>
      </c>
      <c r="D82" s="5"/>
      <c r="E82" s="5"/>
      <c r="F82" s="185">
        <v>165</v>
      </c>
      <c r="G82" s="186">
        <v>206</v>
      </c>
      <c r="H82" s="186">
        <v>7</v>
      </c>
      <c r="I82" s="186">
        <v>15</v>
      </c>
      <c r="J82" s="186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>
      <c r="C83" s="5" t="s">
        <v>73</v>
      </c>
      <c r="D83" s="5"/>
      <c r="E83" s="5"/>
      <c r="F83" s="185">
        <v>6</v>
      </c>
      <c r="G83" s="186">
        <v>10</v>
      </c>
      <c r="H83" s="186">
        <v>1</v>
      </c>
      <c r="I83" s="186">
        <v>1</v>
      </c>
      <c r="J83" s="186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>
      <c r="C84" s="5" t="s">
        <v>74</v>
      </c>
      <c r="D84" s="5"/>
      <c r="E84" s="5"/>
      <c r="F84" s="185">
        <v>0</v>
      </c>
      <c r="G84" s="186">
        <v>2</v>
      </c>
      <c r="H84" s="186">
        <v>0</v>
      </c>
      <c r="I84" s="186">
        <v>0</v>
      </c>
      <c r="J84" s="186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>
      <c r="C85" s="10" t="s">
        <v>16</v>
      </c>
      <c r="D85" s="11"/>
      <c r="E85" s="11"/>
      <c r="F85" s="201">
        <f>SUM(F82:F84)</f>
        <v>171</v>
      </c>
      <c r="G85" s="202">
        <f>SUM(G82:G84)</f>
        <v>218</v>
      </c>
      <c r="H85" s="202">
        <f>SUM(H82:H84)</f>
        <v>8</v>
      </c>
      <c r="I85" s="202">
        <f>SUM(I82:I84)</f>
        <v>16</v>
      </c>
      <c r="J85" s="202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>
      <c r="C86" s="14" t="s">
        <v>317</v>
      </c>
      <c r="D86" s="14"/>
      <c r="E86" s="14"/>
      <c r="F86" s="203">
        <v>171</v>
      </c>
      <c r="G86" s="204">
        <v>218</v>
      </c>
      <c r="H86" s="204">
        <v>8</v>
      </c>
      <c r="I86" s="204">
        <v>16</v>
      </c>
      <c r="J86" s="204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>
      <c r="C87" s="8" t="s">
        <v>75</v>
      </c>
      <c r="D87" s="5" t="s">
        <v>76</v>
      </c>
      <c r="E87" s="5"/>
      <c r="F87" s="211">
        <v>71</v>
      </c>
      <c r="G87" s="212">
        <v>70</v>
      </c>
      <c r="H87" s="212">
        <v>107</v>
      </c>
      <c r="I87" s="212">
        <v>49</v>
      </c>
      <c r="J87" s="212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>
      <c r="C88" s="8" t="s">
        <v>77</v>
      </c>
      <c r="D88" s="5" t="s">
        <v>78</v>
      </c>
      <c r="E88" s="5"/>
      <c r="F88" s="211">
        <v>636</v>
      </c>
      <c r="G88" s="212">
        <v>402</v>
      </c>
      <c r="H88" s="212">
        <v>691</v>
      </c>
      <c r="I88" s="212">
        <v>624</v>
      </c>
      <c r="J88" s="212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>
      <c r="C89" s="15" t="s">
        <v>79</v>
      </c>
      <c r="D89" s="16"/>
      <c r="E89" s="16"/>
      <c r="F89" s="213">
        <f>SUM(F88,F87,F85,F80,F60,F55,)</f>
        <v>2730</v>
      </c>
      <c r="G89" s="214">
        <f>SUM(G88,G87,G85,G80,G60,G55,)</f>
        <v>3059</v>
      </c>
      <c r="H89" s="214">
        <f>SUM(H88,H87,H85,H80,H60,H55,)</f>
        <v>2840</v>
      </c>
      <c r="I89" s="214">
        <f>SUM(I88,I87,I85,I80,I60,I55,)</f>
        <v>2970</v>
      </c>
      <c r="J89" s="214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>
      <c r="C90" s="17"/>
      <c r="D90" s="17"/>
      <c r="E90" s="5"/>
      <c r="F90" s="215"/>
      <c r="G90" s="200"/>
      <c r="H90" s="200"/>
      <c r="I90" s="200"/>
      <c r="J90" s="200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>
      <c r="C91" s="8" t="s">
        <v>80</v>
      </c>
      <c r="D91" s="5" t="s">
        <v>81</v>
      </c>
      <c r="E91" s="5"/>
      <c r="F91" s="211">
        <v>205</v>
      </c>
      <c r="G91" s="212">
        <v>6</v>
      </c>
      <c r="H91" s="212">
        <v>224</v>
      </c>
      <c r="I91" s="212">
        <v>112</v>
      </c>
      <c r="J91" s="212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>
      <c r="C92" s="17"/>
      <c r="D92" s="17"/>
      <c r="E92" s="5"/>
      <c r="F92" s="199"/>
      <c r="G92" s="200"/>
      <c r="H92" s="200"/>
      <c r="I92" s="200"/>
      <c r="J92" s="200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>
      <c r="C93" s="18" t="s">
        <v>82</v>
      </c>
      <c r="D93" s="19" t="s">
        <v>83</v>
      </c>
      <c r="E93" s="20"/>
      <c r="F93" s="216">
        <f ca="1">SUM(F91,F89,F44)</f>
        <v>9801</v>
      </c>
      <c r="G93" s="217">
        <f ca="1">SUM(G91,G89,G44)</f>
        <v>10387</v>
      </c>
      <c r="H93" s="217">
        <f ca="1">SUM(H91,H89,H44)</f>
        <v>9949</v>
      </c>
      <c r="I93" s="217">
        <f ca="1">SUM(I91,I89,I44)</f>
        <v>10333</v>
      </c>
      <c r="J93" s="217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>
      <c r="C94" s="8"/>
      <c r="D94" s="21"/>
      <c r="E94" s="5"/>
      <c r="F94" s="199"/>
      <c r="G94" s="200"/>
      <c r="H94" s="200"/>
      <c r="I94" s="200"/>
      <c r="J94" s="200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>
      <c r="C95" s="123" t="s">
        <v>84</v>
      </c>
      <c r="D95" s="22"/>
      <c r="E95" s="22"/>
      <c r="F95" s="218"/>
      <c r="G95" s="200"/>
      <c r="H95" s="200"/>
      <c r="I95" s="200"/>
      <c r="J95" s="200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>
      <c r="C96" s="6" t="s">
        <v>85</v>
      </c>
      <c r="D96" s="5" t="s">
        <v>86</v>
      </c>
      <c r="E96" s="5"/>
      <c r="F96" s="199"/>
      <c r="G96" s="200"/>
      <c r="H96" s="200"/>
      <c r="I96" s="200"/>
      <c r="J96" s="200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>
      <c r="C97" s="5" t="s">
        <v>87</v>
      </c>
      <c r="D97" s="5" t="s">
        <v>88</v>
      </c>
      <c r="E97" s="5"/>
      <c r="F97" s="199">
        <v>1629</v>
      </c>
      <c r="G97" s="200">
        <v>1629</v>
      </c>
      <c r="H97" s="200">
        <v>1629</v>
      </c>
      <c r="I97" s="200">
        <v>1629</v>
      </c>
      <c r="J97" s="200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>
      <c r="C98" s="5" t="s">
        <v>161</v>
      </c>
      <c r="D98" s="5" t="s">
        <v>89</v>
      </c>
      <c r="E98" s="5"/>
      <c r="F98" s="199">
        <v>-61</v>
      </c>
      <c r="G98" s="200">
        <v>-54</v>
      </c>
      <c r="H98" s="200">
        <v>-54</v>
      </c>
      <c r="I98" s="200">
        <v>-54</v>
      </c>
      <c r="J98" s="200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>
      <c r="C99" s="5" t="s">
        <v>160</v>
      </c>
      <c r="D99" s="5" t="s">
        <v>90</v>
      </c>
      <c r="E99" s="5"/>
      <c r="F99" s="199">
        <v>1005</v>
      </c>
      <c r="G99" s="200">
        <v>919</v>
      </c>
      <c r="H99" s="200">
        <v>1010</v>
      </c>
      <c r="I99" s="200">
        <v>1216</v>
      </c>
      <c r="J99" s="200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>
      <c r="C100" s="14" t="s">
        <v>17</v>
      </c>
      <c r="D100" s="14"/>
      <c r="E100" s="14"/>
      <c r="F100" s="203"/>
      <c r="G100" s="204"/>
      <c r="H100" s="204"/>
      <c r="I100" s="204"/>
      <c r="J100" s="204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>
      <c r="C101" s="23" t="s">
        <v>91</v>
      </c>
      <c r="D101" s="14"/>
      <c r="E101" s="14"/>
      <c r="F101" s="203">
        <v>-33</v>
      </c>
      <c r="G101" s="204">
        <v>-2</v>
      </c>
      <c r="H101" s="204">
        <v>-27</v>
      </c>
      <c r="I101" s="204">
        <v>-9</v>
      </c>
      <c r="J101" s="204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>
      <c r="C102" s="14" t="s">
        <v>92</v>
      </c>
      <c r="D102" s="14"/>
      <c r="E102" s="14"/>
      <c r="F102" s="203">
        <v>8</v>
      </c>
      <c r="G102" s="204">
        <v>0</v>
      </c>
      <c r="H102" s="204">
        <v>7</v>
      </c>
      <c r="I102" s="204">
        <v>2</v>
      </c>
      <c r="J102" s="204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>
      <c r="C103" s="14" t="s">
        <v>93</v>
      </c>
      <c r="D103" s="5"/>
      <c r="E103" s="5"/>
      <c r="F103" s="199">
        <v>-25</v>
      </c>
      <c r="G103" s="200">
        <f>SUM(G101:G102)</f>
        <v>-2</v>
      </c>
      <c r="H103" s="200">
        <f>SUM(H101:H102)</f>
        <v>-20</v>
      </c>
      <c r="I103" s="200">
        <f>SUM(I101:I102)</f>
        <v>-7</v>
      </c>
      <c r="J103" s="200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>
      <c r="C104" s="14" t="s">
        <v>94</v>
      </c>
      <c r="D104" s="5"/>
      <c r="E104" s="5"/>
      <c r="F104" s="199">
        <v>-64</v>
      </c>
      <c r="G104" s="200">
        <v>-91</v>
      </c>
      <c r="H104" s="200">
        <v>-72</v>
      </c>
      <c r="I104" s="200">
        <v>-70</v>
      </c>
      <c r="J104" s="200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>
      <c r="C105" s="14" t="s">
        <v>92</v>
      </c>
      <c r="D105" s="5"/>
      <c r="E105" s="5"/>
      <c r="F105" s="199">
        <v>16</v>
      </c>
      <c r="G105" s="200">
        <v>26</v>
      </c>
      <c r="H105" s="200">
        <v>19</v>
      </c>
      <c r="I105" s="200">
        <v>18</v>
      </c>
      <c r="J105" s="200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>
      <c r="C106" s="14" t="s">
        <v>95</v>
      </c>
      <c r="D106" s="5"/>
      <c r="E106" s="5"/>
      <c r="F106" s="199">
        <v>-48</v>
      </c>
      <c r="G106" s="200">
        <f>SUM(G104:G105)</f>
        <v>-65</v>
      </c>
      <c r="H106" s="200">
        <f>SUM(H104:H105)</f>
        <v>-53</v>
      </c>
      <c r="I106" s="200">
        <f>SUM(I104:I105)</f>
        <v>-52</v>
      </c>
      <c r="J106" s="200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>
      <c r="C107" s="5" t="s">
        <v>96</v>
      </c>
      <c r="D107" s="5" t="s">
        <v>97</v>
      </c>
      <c r="E107" s="5"/>
      <c r="F107" s="199">
        <v>73</v>
      </c>
      <c r="G107" s="200">
        <v>232</v>
      </c>
      <c r="H107" s="200">
        <v>293</v>
      </c>
      <c r="I107" s="200">
        <v>344</v>
      </c>
      <c r="J107" s="200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>
      <c r="C108" s="15" t="s">
        <v>98</v>
      </c>
      <c r="D108" s="16" t="s">
        <v>99</v>
      </c>
      <c r="E108" s="16"/>
      <c r="F108" s="213">
        <f t="shared" ref="F108:G108" si="29">SUM(F97,F98,F99,F107,)</f>
        <v>2646</v>
      </c>
      <c r="G108" s="214">
        <f t="shared" si="29"/>
        <v>2726</v>
      </c>
      <c r="H108" s="214">
        <f>SUM(H97,H98,H99,H107,)</f>
        <v>2878</v>
      </c>
      <c r="I108" s="214">
        <f>SUM(I97,I98,I99,I107,)</f>
        <v>3135</v>
      </c>
      <c r="J108" s="214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>
      <c r="C109" s="8" t="s">
        <v>100</v>
      </c>
      <c r="D109" s="5" t="s">
        <v>101</v>
      </c>
      <c r="E109" s="5"/>
      <c r="F109" s="199">
        <v>613</v>
      </c>
      <c r="G109" s="200">
        <v>553</v>
      </c>
      <c r="H109" s="200">
        <v>135</v>
      </c>
      <c r="I109" s="200">
        <v>388</v>
      </c>
      <c r="J109" s="200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>
      <c r="C110" s="24" t="s">
        <v>102</v>
      </c>
      <c r="D110" s="25"/>
      <c r="E110" s="24"/>
      <c r="F110" s="219">
        <f t="shared" ref="F110:G110" si="30">SUM(F109,F108)</f>
        <v>3259</v>
      </c>
      <c r="G110" s="220">
        <f t="shared" si="30"/>
        <v>3279</v>
      </c>
      <c r="H110" s="220">
        <f>SUM(H109,H108)</f>
        <v>3013</v>
      </c>
      <c r="I110" s="220">
        <f>SUM(I109,I108)</f>
        <v>3523</v>
      </c>
      <c r="J110" s="220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>
      <c r="C111" s="5"/>
      <c r="D111" s="5"/>
      <c r="E111" s="5"/>
      <c r="F111" s="199"/>
      <c r="G111" s="200"/>
      <c r="H111" s="200"/>
      <c r="I111" s="200"/>
      <c r="J111" s="200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>
      <c r="C112" s="6" t="s">
        <v>103</v>
      </c>
      <c r="D112" s="5"/>
      <c r="E112" s="5"/>
      <c r="F112" s="199"/>
      <c r="G112" s="200"/>
      <c r="H112" s="200"/>
      <c r="I112" s="200"/>
      <c r="J112" s="200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>
      <c r="C113" s="113" t="s">
        <v>104</v>
      </c>
      <c r="D113" s="5"/>
      <c r="E113" s="5"/>
      <c r="F113" s="199"/>
      <c r="G113" s="200"/>
      <c r="H113" s="200"/>
      <c r="I113" s="200"/>
      <c r="J113" s="200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>
      <c r="C114" s="8" t="s">
        <v>105</v>
      </c>
      <c r="D114" s="5"/>
      <c r="E114" s="5"/>
      <c r="F114" s="199"/>
      <c r="G114" s="200"/>
      <c r="H114" s="200"/>
      <c r="I114" s="200"/>
      <c r="J114" s="200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>
      <c r="C115" s="5" t="s">
        <v>106</v>
      </c>
      <c r="D115" s="5"/>
      <c r="E115" s="5"/>
      <c r="F115" s="199">
        <v>2431</v>
      </c>
      <c r="G115" s="200">
        <v>2480</v>
      </c>
      <c r="H115" s="200">
        <v>2650</v>
      </c>
      <c r="I115" s="200">
        <v>2180</v>
      </c>
      <c r="J115" s="200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>
      <c r="C116" s="5" t="s">
        <v>107</v>
      </c>
      <c r="D116" s="5"/>
      <c r="E116" s="5"/>
      <c r="F116" s="199">
        <v>657</v>
      </c>
      <c r="G116" s="200">
        <v>946</v>
      </c>
      <c r="H116" s="200">
        <v>807</v>
      </c>
      <c r="I116" s="200">
        <v>755</v>
      </c>
      <c r="J116" s="200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>
      <c r="C117" s="5" t="s">
        <v>108</v>
      </c>
      <c r="D117" s="5"/>
      <c r="E117" s="5"/>
      <c r="F117" s="199">
        <v>1</v>
      </c>
      <c r="G117" s="200">
        <v>5</v>
      </c>
      <c r="H117" s="200">
        <v>40</v>
      </c>
      <c r="I117" s="200">
        <v>46</v>
      </c>
      <c r="J117" s="200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>
      <c r="C118" s="5" t="s">
        <v>109</v>
      </c>
      <c r="D118" s="5"/>
      <c r="E118" s="5"/>
      <c r="F118" s="181">
        <v>0</v>
      </c>
      <c r="G118" s="200">
        <v>5</v>
      </c>
      <c r="H118" s="200">
        <v>4</v>
      </c>
      <c r="I118" s="200">
        <v>3</v>
      </c>
      <c r="J118" s="200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>
      <c r="C119" s="10" t="s">
        <v>110</v>
      </c>
      <c r="D119" s="12"/>
      <c r="E119" s="12"/>
      <c r="F119" s="201">
        <f t="shared" ref="F119:G119" si="33">SUM(F115:F118)</f>
        <v>3089</v>
      </c>
      <c r="G119" s="202">
        <f t="shared" si="33"/>
        <v>3436</v>
      </c>
      <c r="H119" s="202">
        <f>SUM(H115:H118)</f>
        <v>3501</v>
      </c>
      <c r="I119" s="202">
        <f>SUM(I115:I118)</f>
        <v>2984</v>
      </c>
      <c r="J119" s="202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>
      <c r="C120" s="8" t="s">
        <v>111</v>
      </c>
      <c r="D120" s="5"/>
      <c r="E120" s="5"/>
      <c r="F120" s="199"/>
      <c r="G120" s="200"/>
      <c r="H120" s="200"/>
      <c r="I120" s="200"/>
      <c r="J120" s="200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>
      <c r="C121" s="5" t="s">
        <v>112</v>
      </c>
      <c r="D121" s="5"/>
      <c r="E121" s="5"/>
      <c r="F121" s="199">
        <v>164</v>
      </c>
      <c r="G121" s="200">
        <v>176</v>
      </c>
      <c r="H121" s="200">
        <v>168</v>
      </c>
      <c r="I121" s="200">
        <v>165</v>
      </c>
      <c r="J121" s="200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>
      <c r="C122" s="5" t="s">
        <v>113</v>
      </c>
      <c r="D122" s="5"/>
      <c r="E122" s="5"/>
      <c r="F122" s="199">
        <v>168</v>
      </c>
      <c r="G122" s="200">
        <v>189</v>
      </c>
      <c r="H122" s="200">
        <v>151</v>
      </c>
      <c r="I122" s="200">
        <v>149</v>
      </c>
      <c r="J122" s="200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>
      <c r="C123" s="10" t="s">
        <v>110</v>
      </c>
      <c r="D123" s="12"/>
      <c r="E123" s="12"/>
      <c r="F123" s="201">
        <f t="shared" ref="F123:G123" si="35">SUM(F121:F122)</f>
        <v>332</v>
      </c>
      <c r="G123" s="202">
        <f t="shared" si="35"/>
        <v>365</v>
      </c>
      <c r="H123" s="202">
        <f>SUM(H121:H122)</f>
        <v>319</v>
      </c>
      <c r="I123" s="202">
        <f>SUM(I121:I122)</f>
        <v>314</v>
      </c>
      <c r="J123" s="202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>
      <c r="C124" s="8" t="s">
        <v>114</v>
      </c>
      <c r="D124" s="5"/>
      <c r="E124" s="5"/>
      <c r="F124" s="199"/>
      <c r="G124" s="200"/>
      <c r="H124" s="200"/>
      <c r="I124" s="200"/>
      <c r="J124" s="200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>
      <c r="C125" s="5" t="s">
        <v>115</v>
      </c>
      <c r="D125" s="5"/>
      <c r="E125" s="5"/>
      <c r="F125" s="199">
        <v>170</v>
      </c>
      <c r="G125" s="200">
        <v>210</v>
      </c>
      <c r="H125" s="200">
        <v>226</v>
      </c>
      <c r="I125" s="200">
        <v>238</v>
      </c>
      <c r="J125" s="200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>
      <c r="C126" s="5" t="s">
        <v>116</v>
      </c>
      <c r="D126" s="5"/>
      <c r="E126" s="5"/>
      <c r="F126" s="199">
        <v>145</v>
      </c>
      <c r="G126" s="200">
        <v>188</v>
      </c>
      <c r="H126" s="200">
        <v>188</v>
      </c>
      <c r="I126" s="200">
        <v>196</v>
      </c>
      <c r="J126" s="200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>
      <c r="C127" s="5" t="s">
        <v>117</v>
      </c>
      <c r="D127" s="5"/>
      <c r="E127" s="5"/>
      <c r="F127" s="199">
        <v>59</v>
      </c>
      <c r="G127" s="200">
        <v>48</v>
      </c>
      <c r="H127" s="200">
        <v>50</v>
      </c>
      <c r="I127" s="200">
        <v>34</v>
      </c>
      <c r="J127" s="200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>
      <c r="C128" s="5" t="s">
        <v>118</v>
      </c>
      <c r="D128" s="5"/>
      <c r="E128" s="5"/>
      <c r="F128" s="199">
        <v>131</v>
      </c>
      <c r="G128" s="200">
        <v>111</v>
      </c>
      <c r="H128" s="200">
        <v>61</v>
      </c>
      <c r="I128" s="200">
        <v>56</v>
      </c>
      <c r="J128" s="200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>
      <c r="C129" s="5" t="s">
        <v>119</v>
      </c>
      <c r="D129" s="5"/>
      <c r="E129" s="5"/>
      <c r="F129" s="199">
        <v>71</v>
      </c>
      <c r="G129" s="200">
        <v>114</v>
      </c>
      <c r="H129" s="200">
        <v>100</v>
      </c>
      <c r="I129" s="200">
        <v>118</v>
      </c>
      <c r="J129" s="200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>
      <c r="C130" s="10" t="s">
        <v>110</v>
      </c>
      <c r="D130" s="12"/>
      <c r="E130" s="12"/>
      <c r="F130" s="201">
        <f t="shared" ref="F130:G130" si="38">SUM(F125:F129)</f>
        <v>576</v>
      </c>
      <c r="G130" s="202">
        <f t="shared" si="38"/>
        <v>671</v>
      </c>
      <c r="H130" s="202">
        <f>SUM(H125:H129)</f>
        <v>625</v>
      </c>
      <c r="I130" s="202">
        <f>SUM(I125:I129)</f>
        <v>642</v>
      </c>
      <c r="J130" s="202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>
      <c r="C131" s="8" t="s">
        <v>120</v>
      </c>
      <c r="D131" s="5"/>
      <c r="E131" s="5"/>
      <c r="F131" s="199"/>
      <c r="G131" s="200"/>
      <c r="H131" s="200"/>
      <c r="I131" s="200"/>
      <c r="J131" s="200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>
      <c r="C132" s="5" t="s">
        <v>121</v>
      </c>
      <c r="D132" s="5"/>
      <c r="E132" s="5"/>
      <c r="F132" s="199">
        <v>72</v>
      </c>
      <c r="G132" s="200">
        <v>90</v>
      </c>
      <c r="H132" s="200">
        <v>125</v>
      </c>
      <c r="I132" s="200">
        <v>134</v>
      </c>
      <c r="J132" s="200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>
      <c r="C133" s="5" t="s">
        <v>36</v>
      </c>
      <c r="D133" s="5"/>
      <c r="E133" s="5"/>
      <c r="F133" s="199">
        <v>27</v>
      </c>
      <c r="G133" s="200">
        <v>19</v>
      </c>
      <c r="H133" s="200">
        <v>23</v>
      </c>
      <c r="I133" s="200">
        <v>14</v>
      </c>
      <c r="J133" s="200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>
      <c r="C134" s="10" t="s">
        <v>110</v>
      </c>
      <c r="D134" s="12"/>
      <c r="E134" s="12"/>
      <c r="F134" s="201">
        <f t="shared" ref="F134:G134" si="42">SUM(F132:F133)</f>
        <v>99</v>
      </c>
      <c r="G134" s="202">
        <f t="shared" si="42"/>
        <v>109</v>
      </c>
      <c r="H134" s="202">
        <f>SUM(H132:H133)</f>
        <v>148</v>
      </c>
      <c r="I134" s="202">
        <f>SUM(I132:I133)</f>
        <v>148</v>
      </c>
      <c r="J134" s="202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>
      <c r="C135" s="15" t="s">
        <v>122</v>
      </c>
      <c r="D135" s="16"/>
      <c r="E135" s="16"/>
      <c r="F135" s="213">
        <f t="shared" ref="F135:G135" si="43">SUM(F134,F130,F123,F119)</f>
        <v>4096</v>
      </c>
      <c r="G135" s="214">
        <f t="shared" si="43"/>
        <v>4581</v>
      </c>
      <c r="H135" s="214">
        <f>SUM(H134,H130,H123,H119)</f>
        <v>4593</v>
      </c>
      <c r="I135" s="214">
        <f>SUM(I134,I130,I123,I119)</f>
        <v>4088</v>
      </c>
      <c r="J135" s="214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>
      <c r="C136" s="8"/>
      <c r="D136" s="5"/>
      <c r="E136" s="5"/>
      <c r="F136" s="199"/>
      <c r="G136" s="200"/>
      <c r="H136" s="200"/>
      <c r="I136" s="200"/>
      <c r="J136" s="200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>
      <c r="C137" s="113" t="s">
        <v>123</v>
      </c>
      <c r="D137" s="5"/>
      <c r="E137" s="5"/>
      <c r="F137" s="199"/>
      <c r="G137" s="200"/>
      <c r="H137" s="200"/>
      <c r="I137" s="200"/>
      <c r="J137" s="200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>
      <c r="C138" s="8" t="s">
        <v>124</v>
      </c>
      <c r="D138" s="5"/>
      <c r="E138" s="5"/>
      <c r="F138" s="199"/>
      <c r="G138" s="200"/>
      <c r="H138" s="200"/>
      <c r="I138" s="200"/>
      <c r="J138" s="200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>
      <c r="C139" s="5" t="s">
        <v>125</v>
      </c>
      <c r="D139" s="5"/>
      <c r="E139" s="5"/>
      <c r="F139" s="199">
        <v>5</v>
      </c>
      <c r="G139" s="200">
        <v>3</v>
      </c>
      <c r="H139" s="200">
        <v>2</v>
      </c>
      <c r="I139" s="200">
        <v>3</v>
      </c>
      <c r="J139" s="200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>
      <c r="C140" s="5" t="s">
        <v>126</v>
      </c>
      <c r="D140" s="5"/>
      <c r="E140" s="5"/>
      <c r="F140" s="199">
        <v>1165</v>
      </c>
      <c r="G140" s="200">
        <v>1381</v>
      </c>
      <c r="H140" s="200">
        <v>1379</v>
      </c>
      <c r="I140" s="200">
        <v>1410</v>
      </c>
      <c r="J140" s="200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>
      <c r="C141" s="10" t="s">
        <v>110</v>
      </c>
      <c r="D141" s="12"/>
      <c r="E141" s="12"/>
      <c r="F141" s="201">
        <f t="shared" ref="F141:G141" si="44">SUM(F139:F140)</f>
        <v>1170</v>
      </c>
      <c r="G141" s="202">
        <f t="shared" si="44"/>
        <v>1384</v>
      </c>
      <c r="H141" s="202">
        <f>SUM(H139:H140)</f>
        <v>1381</v>
      </c>
      <c r="I141" s="202">
        <f>SUM(I139:I140)</f>
        <v>1413</v>
      </c>
      <c r="J141" s="202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>
      <c r="C142" s="8" t="s">
        <v>127</v>
      </c>
      <c r="D142" s="5"/>
      <c r="E142" s="5"/>
      <c r="F142" s="199"/>
      <c r="G142" s="200"/>
      <c r="H142" s="200"/>
      <c r="I142" s="200"/>
      <c r="J142" s="200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>
      <c r="C143" s="5" t="s">
        <v>128</v>
      </c>
      <c r="D143" s="5"/>
      <c r="E143" s="5"/>
      <c r="F143" s="185">
        <v>37</v>
      </c>
      <c r="G143" s="186">
        <v>39</v>
      </c>
      <c r="H143" s="186">
        <v>38</v>
      </c>
      <c r="I143" s="186">
        <v>43</v>
      </c>
      <c r="J143" s="186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>
      <c r="C144" s="5" t="s">
        <v>53</v>
      </c>
      <c r="D144" s="21"/>
      <c r="E144" s="5"/>
      <c r="F144" s="185">
        <v>51</v>
      </c>
      <c r="G144" s="186">
        <v>253</v>
      </c>
      <c r="H144" s="186">
        <v>86</v>
      </c>
      <c r="I144" s="186">
        <v>156</v>
      </c>
      <c r="J144" s="186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>
      <c r="C145" s="5" t="s">
        <v>129</v>
      </c>
      <c r="D145" s="5"/>
      <c r="E145" s="5"/>
      <c r="F145" s="185">
        <v>433</v>
      </c>
      <c r="G145" s="186">
        <v>452</v>
      </c>
      <c r="H145" s="186">
        <v>397</v>
      </c>
      <c r="I145" s="186">
        <v>382</v>
      </c>
      <c r="J145" s="186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>
      <c r="C146" s="5" t="s">
        <v>130</v>
      </c>
      <c r="D146" s="5"/>
      <c r="E146" s="5"/>
      <c r="F146" s="185">
        <v>72</v>
      </c>
      <c r="G146" s="186">
        <v>81</v>
      </c>
      <c r="H146" s="186">
        <v>69</v>
      </c>
      <c r="I146" s="186">
        <v>77</v>
      </c>
      <c r="J146" s="186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>
      <c r="C147" s="5" t="s">
        <v>131</v>
      </c>
      <c r="D147" s="5"/>
      <c r="E147" s="5"/>
      <c r="F147" s="185">
        <v>100</v>
      </c>
      <c r="G147" s="186">
        <v>72</v>
      </c>
      <c r="H147" s="186">
        <v>85</v>
      </c>
      <c r="I147" s="186">
        <v>80</v>
      </c>
      <c r="J147" s="186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>
      <c r="C148" s="5" t="s">
        <v>132</v>
      </c>
      <c r="D148" s="5"/>
      <c r="E148" s="5"/>
      <c r="F148" s="185">
        <v>44</v>
      </c>
      <c r="G148" s="186">
        <v>58</v>
      </c>
      <c r="H148" s="186">
        <v>80</v>
      </c>
      <c r="I148" s="186">
        <v>42</v>
      </c>
      <c r="J148" s="186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>
      <c r="C149" s="5" t="s">
        <v>133</v>
      </c>
      <c r="D149" s="5"/>
      <c r="E149" s="5"/>
      <c r="F149" s="185">
        <v>8</v>
      </c>
      <c r="G149" s="186">
        <v>7</v>
      </c>
      <c r="H149" s="186">
        <v>7</v>
      </c>
      <c r="I149" s="186">
        <v>7</v>
      </c>
      <c r="J149" s="186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>
      <c r="C150" s="5" t="s">
        <v>134</v>
      </c>
      <c r="D150" s="5"/>
      <c r="E150" s="5"/>
      <c r="F150" s="185">
        <v>105</v>
      </c>
      <c r="G150" s="186">
        <v>115</v>
      </c>
      <c r="H150" s="186">
        <v>85</v>
      </c>
      <c r="I150" s="186">
        <v>75</v>
      </c>
      <c r="J150" s="186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>
      <c r="C151" s="5" t="s">
        <v>135</v>
      </c>
      <c r="D151" s="5"/>
      <c r="E151" s="5"/>
      <c r="F151" s="185">
        <v>0</v>
      </c>
      <c r="G151" s="186">
        <v>5</v>
      </c>
      <c r="H151" s="186">
        <v>0</v>
      </c>
      <c r="I151" s="186">
        <v>0</v>
      </c>
      <c r="J151" s="186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>
      <c r="C152" s="9" t="s">
        <v>136</v>
      </c>
      <c r="D152" s="9"/>
      <c r="E152" s="5"/>
      <c r="F152" s="185">
        <v>20</v>
      </c>
      <c r="G152" s="186">
        <v>20</v>
      </c>
      <c r="H152" s="186">
        <v>0</v>
      </c>
      <c r="I152" s="186">
        <v>0</v>
      </c>
      <c r="J152" s="186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>
      <c r="C153" s="5" t="s">
        <v>137</v>
      </c>
      <c r="D153" s="5"/>
      <c r="E153" s="5"/>
      <c r="F153" s="185">
        <v>7</v>
      </c>
      <c r="G153" s="186">
        <v>6</v>
      </c>
      <c r="H153" s="186">
        <v>7</v>
      </c>
      <c r="I153" s="186">
        <v>7</v>
      </c>
      <c r="J153" s="186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>
      <c r="C154" s="5" t="s">
        <v>138</v>
      </c>
      <c r="D154" s="5"/>
      <c r="E154" s="5"/>
      <c r="F154" s="185">
        <v>14</v>
      </c>
      <c r="G154" s="186">
        <v>12</v>
      </c>
      <c r="H154" s="186">
        <v>11</v>
      </c>
      <c r="I154" s="186">
        <v>14</v>
      </c>
      <c r="J154" s="186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>
      <c r="C155" s="5" t="s">
        <v>139</v>
      </c>
      <c r="D155" s="5"/>
      <c r="E155" s="5"/>
      <c r="F155" s="185">
        <v>3</v>
      </c>
      <c r="G155" s="186">
        <v>3</v>
      </c>
      <c r="H155" s="186">
        <v>3</v>
      </c>
      <c r="I155" s="186">
        <v>3</v>
      </c>
      <c r="J155" s="186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>
      <c r="C156" s="5" t="s">
        <v>140</v>
      </c>
      <c r="D156" s="5"/>
      <c r="E156" s="5"/>
      <c r="F156" s="185">
        <v>21</v>
      </c>
      <c r="G156" s="186">
        <v>25</v>
      </c>
      <c r="H156" s="186">
        <v>0</v>
      </c>
      <c r="I156" s="186">
        <v>0</v>
      </c>
      <c r="J156" s="186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>
      <c r="C157" s="5" t="s">
        <v>141</v>
      </c>
      <c r="D157" s="5"/>
      <c r="E157" s="5"/>
      <c r="F157" s="185">
        <v>1</v>
      </c>
      <c r="G157" s="186">
        <v>0</v>
      </c>
      <c r="H157" s="186">
        <v>0</v>
      </c>
      <c r="I157" s="186">
        <v>4</v>
      </c>
      <c r="J157" s="186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>
      <c r="C158" s="5" t="s">
        <v>142</v>
      </c>
      <c r="D158" s="5"/>
      <c r="E158" s="5"/>
      <c r="F158" s="185">
        <v>0</v>
      </c>
      <c r="G158" s="186">
        <v>0</v>
      </c>
      <c r="H158" s="186">
        <v>0</v>
      </c>
      <c r="I158" s="186">
        <v>8</v>
      </c>
      <c r="J158" s="186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>
      <c r="C159" s="5" t="s">
        <v>143</v>
      </c>
      <c r="D159" s="5"/>
      <c r="E159" s="5"/>
      <c r="F159" s="185">
        <v>1</v>
      </c>
      <c r="G159" s="186">
        <v>1</v>
      </c>
      <c r="H159" s="186">
        <v>1</v>
      </c>
      <c r="I159" s="186">
        <v>12</v>
      </c>
      <c r="J159" s="186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>
      <c r="C160" s="5" t="s">
        <v>144</v>
      </c>
      <c r="D160" s="5"/>
      <c r="E160" s="5"/>
      <c r="F160" s="185">
        <v>8</v>
      </c>
      <c r="G160" s="186">
        <v>9</v>
      </c>
      <c r="H160" s="186">
        <v>8</v>
      </c>
      <c r="I160" s="186">
        <v>7</v>
      </c>
      <c r="J160" s="186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>
      <c r="C161" s="5" t="s">
        <v>145</v>
      </c>
      <c r="D161" s="5"/>
      <c r="E161" s="5"/>
      <c r="F161" s="185">
        <v>3</v>
      </c>
      <c r="G161" s="186">
        <v>3</v>
      </c>
      <c r="H161" s="186">
        <v>4</v>
      </c>
      <c r="I161" s="186">
        <v>5</v>
      </c>
      <c r="J161" s="186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>
      <c r="C162" s="5" t="s">
        <v>146</v>
      </c>
      <c r="D162" s="5"/>
      <c r="E162" s="5"/>
      <c r="F162" s="185">
        <v>6</v>
      </c>
      <c r="G162" s="186">
        <v>6</v>
      </c>
      <c r="H162" s="186">
        <v>6</v>
      </c>
      <c r="I162" s="186">
        <v>6</v>
      </c>
      <c r="J162" s="186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>
      <c r="C163" s="5" t="s">
        <v>147</v>
      </c>
      <c r="D163" s="5"/>
      <c r="E163" s="5"/>
      <c r="F163" s="185">
        <v>3</v>
      </c>
      <c r="G163" s="186">
        <v>2</v>
      </c>
      <c r="H163" s="186">
        <v>2</v>
      </c>
      <c r="I163" s="186">
        <v>3</v>
      </c>
      <c r="J163" s="186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>
      <c r="C164" s="5" t="s">
        <v>148</v>
      </c>
      <c r="D164" s="5"/>
      <c r="E164" s="5"/>
      <c r="F164" s="185">
        <v>0</v>
      </c>
      <c r="G164" s="186">
        <v>6</v>
      </c>
      <c r="H164" s="186">
        <v>6</v>
      </c>
      <c r="I164" s="186">
        <v>5</v>
      </c>
      <c r="J164" s="186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>
      <c r="C165" s="5" t="s">
        <v>149</v>
      </c>
      <c r="D165" s="5"/>
      <c r="E165" s="5"/>
      <c r="F165" s="185">
        <v>16</v>
      </c>
      <c r="G165" s="186">
        <v>21</v>
      </c>
      <c r="H165" s="186">
        <v>23</v>
      </c>
      <c r="I165" s="186">
        <v>27</v>
      </c>
      <c r="J165" s="186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>
      <c r="C166" s="10" t="s">
        <v>110</v>
      </c>
      <c r="D166" s="12"/>
      <c r="E166" s="12"/>
      <c r="F166" s="201">
        <f t="shared" ref="F166:G166" si="49">SUM(F143,F144,F145)</f>
        <v>521</v>
      </c>
      <c r="G166" s="202">
        <f t="shared" si="49"/>
        <v>744</v>
      </c>
      <c r="H166" s="202">
        <f>SUM(H143,H144,H145)</f>
        <v>521</v>
      </c>
      <c r="I166" s="202">
        <f>SUM(I143,I144,I145)</f>
        <v>581</v>
      </c>
      <c r="J166" s="202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>
      <c r="C167" s="8" t="s">
        <v>150</v>
      </c>
      <c r="D167" s="5"/>
      <c r="E167" s="5"/>
      <c r="F167" s="199"/>
      <c r="G167" s="200"/>
      <c r="H167" s="200"/>
      <c r="I167" s="200"/>
      <c r="J167" s="200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>
      <c r="C168" s="5" t="s">
        <v>106</v>
      </c>
      <c r="D168" s="5"/>
      <c r="E168" s="5"/>
      <c r="F168" s="185">
        <v>571</v>
      </c>
      <c r="G168" s="186">
        <v>47</v>
      </c>
      <c r="H168" s="186">
        <v>345</v>
      </c>
      <c r="I168" s="186">
        <v>558</v>
      </c>
      <c r="J168" s="186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>
      <c r="C169" s="5" t="s">
        <v>107</v>
      </c>
      <c r="D169" s="5"/>
      <c r="E169" s="5"/>
      <c r="F169" s="185">
        <v>119</v>
      </c>
      <c r="G169" s="186">
        <v>303</v>
      </c>
      <c r="H169" s="186">
        <v>82</v>
      </c>
      <c r="I169" s="186">
        <v>128</v>
      </c>
      <c r="J169" s="186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>
      <c r="C170" s="5" t="s">
        <v>151</v>
      </c>
      <c r="D170" s="5"/>
      <c r="E170" s="5"/>
      <c r="F170" s="185">
        <v>1</v>
      </c>
      <c r="G170" s="186">
        <v>2</v>
      </c>
      <c r="H170" s="186">
        <v>5</v>
      </c>
      <c r="I170" s="186">
        <v>5</v>
      </c>
      <c r="J170" s="186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>
      <c r="C171" s="5" t="s">
        <v>152</v>
      </c>
      <c r="D171" s="5"/>
      <c r="E171" s="5"/>
      <c r="F171" s="185">
        <v>1</v>
      </c>
      <c r="G171" s="186">
        <v>2</v>
      </c>
      <c r="H171" s="186">
        <v>1</v>
      </c>
      <c r="I171" s="186">
        <v>2</v>
      </c>
      <c r="J171" s="186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>
      <c r="C172" s="5" t="s">
        <v>109</v>
      </c>
      <c r="D172" s="5"/>
      <c r="E172" s="5"/>
      <c r="F172" s="185">
        <v>0</v>
      </c>
      <c r="G172" s="186">
        <v>5</v>
      </c>
      <c r="H172" s="186">
        <v>4</v>
      </c>
      <c r="I172" s="186">
        <v>1</v>
      </c>
      <c r="J172" s="186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>
      <c r="C173" s="10" t="s">
        <v>110</v>
      </c>
      <c r="D173" s="12"/>
      <c r="E173" s="12"/>
      <c r="F173" s="201">
        <f t="shared" ref="F173:G173" si="50">SUM(F168:F172)</f>
        <v>692</v>
      </c>
      <c r="G173" s="202">
        <f t="shared" si="50"/>
        <v>359</v>
      </c>
      <c r="H173" s="202">
        <f>SUM(H168:H172)</f>
        <v>437</v>
      </c>
      <c r="I173" s="202">
        <f>SUM(I168:I172)</f>
        <v>694</v>
      </c>
      <c r="J173" s="202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>
      <c r="C174" s="8" t="s">
        <v>153</v>
      </c>
      <c r="D174" s="5"/>
      <c r="E174" s="5"/>
      <c r="F174" s="211">
        <v>43</v>
      </c>
      <c r="G174" s="212">
        <v>33</v>
      </c>
      <c r="H174" s="212">
        <v>4</v>
      </c>
      <c r="I174" s="212">
        <v>34</v>
      </c>
      <c r="J174" s="212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>
      <c r="C175" s="15" t="s">
        <v>154</v>
      </c>
      <c r="D175" s="16"/>
      <c r="E175" s="16"/>
      <c r="F175" s="213">
        <f t="shared" ref="F175:G175" si="51">SUM(F141,F166,F173,F174)</f>
        <v>2426</v>
      </c>
      <c r="G175" s="214">
        <f t="shared" si="51"/>
        <v>2520</v>
      </c>
      <c r="H175" s="214">
        <f>SUM(H141,H166,H173,H174)</f>
        <v>2343</v>
      </c>
      <c r="I175" s="214">
        <f>SUM(I141,I166,I173,I174)</f>
        <v>2722</v>
      </c>
      <c r="J175" s="214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>
      <c r="C176" s="8"/>
      <c r="D176" s="5"/>
      <c r="E176" s="5"/>
      <c r="F176" s="199"/>
      <c r="G176" s="200"/>
      <c r="H176" s="200"/>
      <c r="I176" s="200"/>
      <c r="J176" s="200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>
      <c r="C177" s="24" t="s">
        <v>155</v>
      </c>
      <c r="D177" s="25"/>
      <c r="E177" s="25"/>
      <c r="F177" s="219">
        <f>SUM(F175,F135)</f>
        <v>6522</v>
      </c>
      <c r="G177" s="220">
        <f>SUM(G175,G135)</f>
        <v>7101</v>
      </c>
      <c r="H177" s="220">
        <f>SUM(H175,H135)</f>
        <v>6936</v>
      </c>
      <c r="I177" s="220">
        <f>SUM(I175,I135)</f>
        <v>6810</v>
      </c>
      <c r="J177" s="220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>
      <c r="C178" s="8"/>
      <c r="D178" s="5"/>
      <c r="E178" s="5"/>
      <c r="F178" s="199"/>
      <c r="G178" s="200"/>
      <c r="H178" s="200"/>
      <c r="I178" s="200"/>
      <c r="J178" s="200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>
      <c r="C179" s="26" t="s">
        <v>156</v>
      </c>
      <c r="D179" s="5"/>
      <c r="E179" s="5"/>
      <c r="F179" s="199">
        <v>20</v>
      </c>
      <c r="G179" s="200">
        <v>7</v>
      </c>
      <c r="H179" s="182">
        <v>0</v>
      </c>
      <c r="I179" s="182">
        <v>0</v>
      </c>
      <c r="J179" s="182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>
      <c r="C180" s="17"/>
      <c r="D180" s="17"/>
      <c r="E180" s="5"/>
      <c r="F180" s="199"/>
      <c r="G180" s="200"/>
      <c r="H180" s="200"/>
      <c r="I180" s="200"/>
      <c r="J180" s="200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>
      <c r="C181" s="18" t="s">
        <v>157</v>
      </c>
      <c r="D181" s="20"/>
      <c r="E181" s="20"/>
      <c r="F181" s="216">
        <f>SUM(F177,F110,F179)</f>
        <v>9801</v>
      </c>
      <c r="G181" s="217">
        <f>SUM(G177,G110,G179)</f>
        <v>10387</v>
      </c>
      <c r="H181" s="217">
        <f>SUM(H177,H110)</f>
        <v>9949</v>
      </c>
      <c r="I181" s="217">
        <f>SUM(I177,I110)</f>
        <v>10333</v>
      </c>
      <c r="J181" s="217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>
      <c r="C575" s="1"/>
      <c r="D575" s="1"/>
      <c r="E575" s="55"/>
      <c r="F575" s="55"/>
      <c r="G575" s="55"/>
      <c r="H575" s="55"/>
      <c r="I575" s="55"/>
      <c r="J575" s="55"/>
    </row>
    <row r="576" spans="3:15">
      <c r="C576" s="1"/>
      <c r="D576" s="1"/>
      <c r="E576" s="48"/>
      <c r="F576" s="49"/>
      <c r="G576" s="49"/>
      <c r="H576" s="49"/>
      <c r="I576" s="49"/>
      <c r="J576" s="49"/>
    </row>
    <row r="577" spans="3:10">
      <c r="C577" s="1"/>
      <c r="D577" s="1"/>
      <c r="E577" s="48"/>
      <c r="F577" s="49"/>
      <c r="G577" s="49"/>
      <c r="H577" s="49"/>
      <c r="I577" s="49"/>
      <c r="J577" s="49"/>
    </row>
    <row r="578" spans="3:10">
      <c r="C578" s="1"/>
    </row>
    <row r="579" spans="3:10">
      <c r="C579" s="1"/>
    </row>
    <row r="580" spans="3:10">
      <c r="C580" s="1"/>
    </row>
    <row r="581" spans="3:10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sheetPr codeName="Foglio3"/>
  <dimension ref="A1:T97"/>
  <sheetViews>
    <sheetView zoomScaleNormal="100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E75" sqref="E75:I75"/>
    </sheetView>
  </sheetViews>
  <sheetFormatPr defaultRowHeight="14.4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>
      <c r="A1" s="62"/>
      <c r="B1" s="245" t="s">
        <v>307</v>
      </c>
      <c r="C1" s="122"/>
      <c r="D1" s="122"/>
      <c r="E1" s="122"/>
      <c r="F1" s="122"/>
      <c r="G1" s="122"/>
      <c r="H1" s="122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>
      <c r="A2" s="62"/>
      <c r="B2" s="246"/>
      <c r="C2" s="246"/>
      <c r="D2" s="246"/>
      <c r="E2" s="246"/>
      <c r="F2" s="246"/>
      <c r="G2" s="247" t="s">
        <v>163</v>
      </c>
      <c r="H2" s="246"/>
      <c r="I2" s="248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>
      <c r="A3" s="66"/>
      <c r="B3" s="65"/>
      <c r="C3" s="65"/>
      <c r="D3" s="126" t="s">
        <v>1</v>
      </c>
      <c r="E3" s="128">
        <v>42369</v>
      </c>
      <c r="F3" s="128">
        <v>42735</v>
      </c>
      <c r="G3" s="128">
        <v>43100</v>
      </c>
      <c r="H3" s="128">
        <v>43465</v>
      </c>
      <c r="I3" s="128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>
      <c r="B5" s="8" t="s">
        <v>165</v>
      </c>
      <c r="C5" s="5" t="s">
        <v>166</v>
      </c>
      <c r="D5" s="5"/>
      <c r="E5" s="221"/>
      <c r="F5" s="186"/>
      <c r="G5" s="186"/>
      <c r="H5" s="186"/>
      <c r="I5" s="186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>
      <c r="B6" s="5" t="s">
        <v>167</v>
      </c>
      <c r="C6" s="5" t="s">
        <v>168</v>
      </c>
      <c r="D6" s="5"/>
      <c r="E6" s="221">
        <v>3947</v>
      </c>
      <c r="F6" s="186">
        <v>3734</v>
      </c>
      <c r="G6" s="186">
        <v>4633</v>
      </c>
      <c r="H6" s="186">
        <v>5268</v>
      </c>
      <c r="I6" s="186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>
      <c r="B7" s="5" t="s">
        <v>169</v>
      </c>
      <c r="C7" s="5" t="s">
        <v>170</v>
      </c>
      <c r="D7" s="5"/>
      <c r="E7" s="221">
        <v>785</v>
      </c>
      <c r="F7" s="186">
        <v>847</v>
      </c>
      <c r="G7" s="186">
        <v>957</v>
      </c>
      <c r="H7" s="186">
        <v>1003</v>
      </c>
      <c r="I7" s="186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>
      <c r="B8" s="117" t="s">
        <v>346</v>
      </c>
      <c r="C8" s="131" t="s">
        <v>172</v>
      </c>
      <c r="D8" s="131"/>
      <c r="E8" s="222">
        <f>SUM(E6:E7)</f>
        <v>4732</v>
      </c>
      <c r="F8" s="223">
        <f>SUM(F6:F7)</f>
        <v>4581</v>
      </c>
      <c r="G8" s="223">
        <f>SUM(G6:G7)</f>
        <v>5590</v>
      </c>
      <c r="H8" s="223">
        <f>SUM(H6:H7)</f>
        <v>6271</v>
      </c>
      <c r="I8" s="223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>
      <c r="B9" s="5" t="s">
        <v>173</v>
      </c>
      <c r="C9" s="5" t="s">
        <v>174</v>
      </c>
      <c r="D9" s="5"/>
      <c r="E9" s="221">
        <v>189</v>
      </c>
      <c r="F9" s="186">
        <v>279</v>
      </c>
      <c r="G9" s="186">
        <v>206</v>
      </c>
      <c r="H9" s="186">
        <v>223</v>
      </c>
      <c r="I9" s="186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6.2">
      <c r="B10" s="116" t="s">
        <v>110</v>
      </c>
      <c r="C10" s="64" t="s">
        <v>175</v>
      </c>
      <c r="D10" s="64"/>
      <c r="E10" s="241">
        <f>SUM(E8:E9)</f>
        <v>4921</v>
      </c>
      <c r="F10" s="242">
        <f>SUM(F8:F9)</f>
        <v>4860</v>
      </c>
      <c r="G10" s="242">
        <f>SUM(G8:G9)</f>
        <v>5796</v>
      </c>
      <c r="H10" s="242">
        <f>SUM(H8:H9)</f>
        <v>6494</v>
      </c>
      <c r="I10" s="242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>
      <c r="B11" s="8"/>
      <c r="C11" s="5"/>
      <c r="D11" s="5"/>
      <c r="E11" s="221"/>
      <c r="F11" s="186"/>
      <c r="G11" s="186"/>
      <c r="H11" s="184"/>
      <c r="I11" s="184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>
      <c r="B12" s="8" t="s">
        <v>308</v>
      </c>
      <c r="C12" s="5" t="s">
        <v>176</v>
      </c>
      <c r="D12" s="5"/>
      <c r="E12" s="221"/>
      <c r="F12" s="186"/>
      <c r="G12" s="186"/>
      <c r="H12" s="186"/>
      <c r="I12" s="186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>
      <c r="B13" s="5" t="s">
        <v>177</v>
      </c>
      <c r="C13" s="5" t="s">
        <v>178</v>
      </c>
      <c r="D13" s="5"/>
      <c r="E13" s="221">
        <v>2286</v>
      </c>
      <c r="F13" s="186">
        <v>2101</v>
      </c>
      <c r="G13" s="186">
        <v>2831</v>
      </c>
      <c r="H13" s="186">
        <v>3346</v>
      </c>
      <c r="I13" s="186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>
      <c r="B14" s="5" t="s">
        <v>179</v>
      </c>
      <c r="C14" s="5" t="s">
        <v>180</v>
      </c>
      <c r="D14" s="5"/>
      <c r="E14" s="221">
        <v>706</v>
      </c>
      <c r="F14" s="186">
        <v>758</v>
      </c>
      <c r="G14" s="186">
        <v>850</v>
      </c>
      <c r="H14" s="186">
        <v>986</v>
      </c>
      <c r="I14" s="186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>
      <c r="B15" s="14" t="s">
        <v>181</v>
      </c>
      <c r="C15" s="5" t="s">
        <v>182</v>
      </c>
      <c r="D15" s="5"/>
      <c r="E15" s="226">
        <f>SUM(E13:E14)</f>
        <v>2992</v>
      </c>
      <c r="F15" s="196">
        <f>SUM(F13:F14)</f>
        <v>2859</v>
      </c>
      <c r="G15" s="196">
        <f>SUM(G13:G14)</f>
        <v>3681</v>
      </c>
      <c r="H15" s="196">
        <f>SUM(H13:H14)</f>
        <v>4332</v>
      </c>
      <c r="I15" s="196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>
      <c r="B16" s="5" t="s">
        <v>183</v>
      </c>
      <c r="C16" s="5" t="s">
        <v>184</v>
      </c>
      <c r="D16" s="5"/>
      <c r="E16" s="221">
        <v>252</v>
      </c>
      <c r="F16" s="186">
        <v>243</v>
      </c>
      <c r="G16" s="186">
        <v>281</v>
      </c>
      <c r="H16" s="186">
        <v>266</v>
      </c>
      <c r="I16" s="186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>
      <c r="B17" s="116" t="s">
        <v>110</v>
      </c>
      <c r="C17" s="64" t="s">
        <v>185</v>
      </c>
      <c r="D17" s="64"/>
      <c r="E17" s="224">
        <f>SUM(E15:E16)</f>
        <v>3244</v>
      </c>
      <c r="F17" s="225">
        <f>SUM(F15:F16)</f>
        <v>3102</v>
      </c>
      <c r="G17" s="225">
        <f>SUM(G15:G16)</f>
        <v>3962</v>
      </c>
      <c r="H17" s="225">
        <f>SUM(H15:H16)</f>
        <v>4598</v>
      </c>
      <c r="I17" s="225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>
      <c r="B18" s="8"/>
      <c r="C18" s="5"/>
      <c r="D18" s="5"/>
      <c r="E18" s="227"/>
      <c r="F18" s="228"/>
      <c r="G18" s="228"/>
      <c r="H18" s="228"/>
      <c r="I18" s="228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>
      <c r="B19" s="8" t="s">
        <v>309</v>
      </c>
      <c r="C19" s="5" t="s">
        <v>186</v>
      </c>
      <c r="D19" s="5"/>
      <c r="E19" s="221"/>
      <c r="F19" s="186"/>
      <c r="G19" s="186"/>
      <c r="H19" s="186"/>
      <c r="I19" s="186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>
      <c r="B20" s="5" t="s">
        <v>187</v>
      </c>
      <c r="C20" s="5" t="s">
        <v>188</v>
      </c>
      <c r="D20" s="5"/>
      <c r="E20" s="221">
        <v>441</v>
      </c>
      <c r="F20" s="186">
        <v>433</v>
      </c>
      <c r="G20" s="186">
        <v>471</v>
      </c>
      <c r="H20" s="186">
        <v>494</v>
      </c>
      <c r="I20" s="186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>
      <c r="B21" s="5" t="s">
        <v>189</v>
      </c>
      <c r="C21" s="5" t="s">
        <v>190</v>
      </c>
      <c r="D21" s="5"/>
      <c r="E21" s="221">
        <v>163</v>
      </c>
      <c r="F21" s="186">
        <v>146</v>
      </c>
      <c r="G21" s="186">
        <v>160</v>
      </c>
      <c r="H21" s="186">
        <v>173</v>
      </c>
      <c r="I21" s="186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>
      <c r="B22" s="5" t="s">
        <v>191</v>
      </c>
      <c r="C22" s="5" t="s">
        <v>191</v>
      </c>
      <c r="D22" s="5"/>
      <c r="E22" s="221">
        <v>25</v>
      </c>
      <c r="F22" s="186">
        <v>26</v>
      </c>
      <c r="G22" s="186">
        <v>29</v>
      </c>
      <c r="H22" s="186">
        <v>31</v>
      </c>
      <c r="I22" s="186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>
      <c r="B23" s="5" t="s">
        <v>192</v>
      </c>
      <c r="C23" s="5" t="s">
        <v>193</v>
      </c>
      <c r="D23" s="5"/>
      <c r="E23" s="221">
        <v>27</v>
      </c>
      <c r="F23" s="186">
        <v>36</v>
      </c>
      <c r="G23" s="186">
        <v>27</v>
      </c>
      <c r="H23" s="186">
        <v>33</v>
      </c>
      <c r="I23" s="186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>
      <c r="B24" s="14" t="s">
        <v>194</v>
      </c>
      <c r="C24" s="5" t="s">
        <v>195</v>
      </c>
      <c r="D24" s="5"/>
      <c r="E24" s="226">
        <f>SUM(E20:E23)</f>
        <v>656</v>
      </c>
      <c r="F24" s="196">
        <f>SUM(F20:F23)</f>
        <v>641</v>
      </c>
      <c r="G24" s="196">
        <f>SUM(G20:G23)</f>
        <v>687</v>
      </c>
      <c r="H24" s="196">
        <f>SUM(H20:H23)</f>
        <v>731</v>
      </c>
      <c r="I24" s="196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>
      <c r="B25" s="5" t="s">
        <v>196</v>
      </c>
      <c r="C25" s="5" t="s">
        <v>197</v>
      </c>
      <c r="D25" s="5"/>
      <c r="E25" s="221">
        <v>-27</v>
      </c>
      <c r="F25" s="186">
        <v>-45</v>
      </c>
      <c r="G25" s="186">
        <v>-52</v>
      </c>
      <c r="H25" s="186">
        <v>-66</v>
      </c>
      <c r="I25" s="186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6.2">
      <c r="B26" s="116" t="s">
        <v>110</v>
      </c>
      <c r="C26" s="64" t="s">
        <v>195</v>
      </c>
      <c r="D26" s="64"/>
      <c r="E26" s="241">
        <f>SUM(E24:E25)</f>
        <v>629</v>
      </c>
      <c r="F26" s="242">
        <f>SUM(F24:F25)</f>
        <v>596</v>
      </c>
      <c r="G26" s="242">
        <f>SUM(G24:G25)</f>
        <v>635</v>
      </c>
      <c r="H26" s="242">
        <f>SUM(H24:H25)</f>
        <v>665</v>
      </c>
      <c r="I26" s="242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>
      <c r="B27" s="8"/>
      <c r="C27" s="5"/>
      <c r="D27" s="5"/>
      <c r="E27" s="221"/>
      <c r="F27" s="186"/>
      <c r="G27" s="186"/>
      <c r="H27" s="186"/>
      <c r="I27" s="186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>
      <c r="B28" s="15" t="s">
        <v>198</v>
      </c>
      <c r="C28" s="16" t="s">
        <v>199</v>
      </c>
      <c r="D28" s="16"/>
      <c r="E28" s="229">
        <f>SUM(E10,-E17,-E26)</f>
        <v>1048</v>
      </c>
      <c r="F28" s="197">
        <f>SUM(F10,-F17,-F26)</f>
        <v>1162</v>
      </c>
      <c r="G28" s="197">
        <f>SUM(G10,-G17,-G26)</f>
        <v>1199</v>
      </c>
      <c r="H28" s="197">
        <f>SUM(H10,-H17,-H26)</f>
        <v>1231</v>
      </c>
      <c r="I28" s="197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>
      <c r="B29" s="8"/>
      <c r="C29" s="5"/>
      <c r="D29" s="5"/>
      <c r="E29" s="221"/>
      <c r="F29" s="186"/>
      <c r="G29" s="186"/>
      <c r="H29" s="184"/>
      <c r="I29" s="184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>
      <c r="B30" s="26" t="s">
        <v>200</v>
      </c>
      <c r="C30" s="5" t="s">
        <v>201</v>
      </c>
      <c r="D30" s="5"/>
      <c r="E30" s="221"/>
      <c r="F30" s="186"/>
      <c r="G30" s="186"/>
      <c r="H30" s="184"/>
      <c r="I30" s="184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>
      <c r="B31" s="5" t="s">
        <v>202</v>
      </c>
      <c r="C31" s="5" t="s">
        <v>203</v>
      </c>
      <c r="D31" s="5"/>
      <c r="E31" s="221">
        <v>54</v>
      </c>
      <c r="F31" s="186">
        <v>55</v>
      </c>
      <c r="G31" s="186">
        <v>72</v>
      </c>
      <c r="H31" s="186">
        <v>91</v>
      </c>
      <c r="I31" s="186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>
      <c r="B32" s="5" t="s">
        <v>204</v>
      </c>
      <c r="C32" s="5" t="s">
        <v>205</v>
      </c>
      <c r="D32" s="5"/>
      <c r="E32" s="221">
        <v>341</v>
      </c>
      <c r="F32" s="186">
        <v>348</v>
      </c>
      <c r="G32" s="186">
        <v>338</v>
      </c>
      <c r="H32" s="186">
        <v>372</v>
      </c>
      <c r="I32" s="186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>
      <c r="B33" s="5" t="s">
        <v>206</v>
      </c>
      <c r="C33" s="5" t="s">
        <v>207</v>
      </c>
      <c r="D33" s="5"/>
      <c r="E33" s="221">
        <v>359</v>
      </c>
      <c r="F33" s="186">
        <v>245</v>
      </c>
      <c r="G33" s="186">
        <v>34</v>
      </c>
      <c r="H33" s="186">
        <v>160</v>
      </c>
      <c r="I33" s="186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>
      <c r="B34" s="117" t="s">
        <v>208</v>
      </c>
      <c r="C34" s="118" t="s">
        <v>209</v>
      </c>
      <c r="D34" s="118"/>
      <c r="E34" s="230">
        <f>SUM(E31:E33)</f>
        <v>754</v>
      </c>
      <c r="F34" s="231">
        <f>SUM(F31:F33)</f>
        <v>648</v>
      </c>
      <c r="G34" s="231">
        <f>SUM(G31:G33)</f>
        <v>444</v>
      </c>
      <c r="H34" s="231">
        <f>SUM(H31:H33)</f>
        <v>623</v>
      </c>
      <c r="I34" s="231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>
      <c r="B35" s="5" t="s">
        <v>210</v>
      </c>
      <c r="C35" s="5" t="s">
        <v>211</v>
      </c>
      <c r="D35" s="5"/>
      <c r="E35" s="221">
        <v>57</v>
      </c>
      <c r="F35" s="186">
        <v>50</v>
      </c>
      <c r="G35" s="186">
        <v>10</v>
      </c>
      <c r="H35" s="186">
        <v>-5</v>
      </c>
      <c r="I35" s="186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>
      <c r="B36" s="5" t="s">
        <v>212</v>
      </c>
      <c r="C36" s="5" t="s">
        <v>213</v>
      </c>
      <c r="D36" s="5"/>
      <c r="E36" s="221">
        <v>22</v>
      </c>
      <c r="F36" s="186">
        <v>21</v>
      </c>
      <c r="G36" s="186">
        <v>35</v>
      </c>
      <c r="H36" s="186">
        <v>25</v>
      </c>
      <c r="I36" s="186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>
      <c r="B37" s="116" t="s">
        <v>110</v>
      </c>
      <c r="C37" s="64" t="s">
        <v>214</v>
      </c>
      <c r="D37" s="64"/>
      <c r="E37" s="224">
        <f>SUM(E34:E36)</f>
        <v>833</v>
      </c>
      <c r="F37" s="225">
        <f>SUM(F34:F36)</f>
        <v>719</v>
      </c>
      <c r="G37" s="225">
        <f>SUM(G34:G36)</f>
        <v>489</v>
      </c>
      <c r="H37" s="225">
        <f>SUM(H34:H36)</f>
        <v>643</v>
      </c>
      <c r="I37" s="225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>
      <c r="B38" s="8"/>
      <c r="C38" s="5"/>
      <c r="D38" s="5"/>
      <c r="E38" s="221"/>
      <c r="F38" s="186"/>
      <c r="G38" s="186"/>
      <c r="H38" s="184"/>
      <c r="I38" s="184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>
      <c r="B39" s="24" t="s">
        <v>215</v>
      </c>
      <c r="C39" s="25" t="s">
        <v>216</v>
      </c>
      <c r="D39" s="25"/>
      <c r="E39" s="232">
        <f>SUM(E28,-E37)</f>
        <v>215</v>
      </c>
      <c r="F39" s="198">
        <f>SUM(F28,-F37)</f>
        <v>443</v>
      </c>
      <c r="G39" s="198">
        <f>SUM(G28,-G37)</f>
        <v>710</v>
      </c>
      <c r="H39" s="198">
        <f>SUM(H28,-H37)</f>
        <v>588</v>
      </c>
      <c r="I39" s="198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>
      <c r="B40" s="8"/>
      <c r="C40" s="5"/>
      <c r="D40" s="5"/>
      <c r="E40" s="221"/>
      <c r="F40" s="186"/>
      <c r="G40" s="186"/>
      <c r="H40" s="184"/>
      <c r="I40" s="184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>
      <c r="B41" s="8" t="s">
        <v>217</v>
      </c>
      <c r="C41" s="5" t="s">
        <v>218</v>
      </c>
      <c r="D41" s="5"/>
      <c r="E41" s="221">
        <v>1</v>
      </c>
      <c r="F41" s="186">
        <v>52</v>
      </c>
      <c r="G41" s="186">
        <v>0</v>
      </c>
      <c r="H41" s="184">
        <v>14</v>
      </c>
      <c r="I41" s="184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>
      <c r="B42" s="8"/>
      <c r="C42" s="5"/>
      <c r="D42" s="5"/>
      <c r="E42" s="221"/>
      <c r="F42" s="186"/>
      <c r="G42" s="186"/>
      <c r="H42" s="184"/>
      <c r="I42" s="184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>
      <c r="B43" s="8" t="s">
        <v>219</v>
      </c>
      <c r="C43" s="5" t="s">
        <v>220</v>
      </c>
      <c r="D43" s="5"/>
      <c r="E43" s="221"/>
      <c r="F43" s="186"/>
      <c r="G43" s="186"/>
      <c r="H43" s="186"/>
      <c r="I43" s="186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>
      <c r="B44" s="179" t="s">
        <v>221</v>
      </c>
      <c r="C44" s="5" t="s">
        <v>222</v>
      </c>
      <c r="D44" s="5"/>
      <c r="E44" s="221"/>
      <c r="F44" s="186"/>
      <c r="G44" s="186"/>
      <c r="H44" s="186"/>
      <c r="I44" s="186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>
      <c r="B45" s="5" t="s">
        <v>223</v>
      </c>
      <c r="C45" s="5"/>
      <c r="D45" s="5"/>
      <c r="E45" s="221"/>
      <c r="F45" s="186"/>
      <c r="G45" s="186"/>
      <c r="H45" s="186">
        <v>0</v>
      </c>
      <c r="I45" s="186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>
      <c r="B46" s="5" t="s">
        <v>224</v>
      </c>
      <c r="C46" s="5"/>
      <c r="D46" s="5"/>
      <c r="E46" s="221"/>
      <c r="F46" s="186"/>
      <c r="G46" s="186"/>
      <c r="H46" s="186">
        <v>16</v>
      </c>
      <c r="I46" s="186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>
      <c r="B47" s="116" t="s">
        <v>110</v>
      </c>
      <c r="C47" s="114"/>
      <c r="D47" s="114"/>
      <c r="E47" s="224">
        <v>28</v>
      </c>
      <c r="F47" s="225">
        <v>34</v>
      </c>
      <c r="G47" s="225">
        <v>19</v>
      </c>
      <c r="H47" s="225">
        <f t="shared" ref="H47" si="2">SUM(H45:H46)</f>
        <v>16</v>
      </c>
      <c r="I47" s="225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>
      <c r="B48" s="179" t="s">
        <v>226</v>
      </c>
      <c r="C48" s="5" t="s">
        <v>227</v>
      </c>
      <c r="D48" s="5"/>
      <c r="E48" s="221"/>
      <c r="F48" s="186"/>
      <c r="G48" s="186"/>
      <c r="H48" s="186"/>
      <c r="I48" s="186"/>
      <c r="J48" s="55"/>
      <c r="K48" s="55"/>
      <c r="L48" s="55"/>
      <c r="M48" s="55"/>
      <c r="N48" s="55"/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>
      <c r="B49" s="5" t="s">
        <v>228</v>
      </c>
      <c r="C49" s="5" t="s">
        <v>229</v>
      </c>
      <c r="D49" s="5"/>
      <c r="E49" s="221">
        <v>125</v>
      </c>
      <c r="F49" s="186">
        <v>125</v>
      </c>
      <c r="G49" s="186">
        <v>104</v>
      </c>
      <c r="H49" s="186">
        <v>102</v>
      </c>
      <c r="I49" s="186">
        <v>94</v>
      </c>
      <c r="J49" s="55"/>
      <c r="K49" s="55"/>
      <c r="L49" s="55"/>
      <c r="M49" s="55"/>
      <c r="N49" s="55"/>
      <c r="O49" s="55"/>
      <c r="P49" s="55"/>
      <c r="Q49" s="55"/>
      <c r="R49" s="55"/>
      <c r="T49" s="71">
        <f t="shared" si="3"/>
        <v>-0.33333333333333331</v>
      </c>
    </row>
    <row r="50" spans="2:20">
      <c r="B50" s="5" t="s">
        <v>230</v>
      </c>
      <c r="C50" s="5" t="s">
        <v>231</v>
      </c>
      <c r="D50" s="5"/>
      <c r="E50" s="221">
        <v>15</v>
      </c>
      <c r="F50" s="186">
        <v>9</v>
      </c>
      <c r="G50" s="186">
        <v>9</v>
      </c>
      <c r="H50" s="186">
        <v>6</v>
      </c>
      <c r="I50" s="186">
        <v>4</v>
      </c>
      <c r="J50" s="55"/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>
      <c r="B51" s="5" t="s">
        <v>232</v>
      </c>
      <c r="C51" s="5" t="s">
        <v>233</v>
      </c>
      <c r="D51" s="5"/>
      <c r="E51" s="221">
        <v>5</v>
      </c>
      <c r="F51" s="186">
        <v>6</v>
      </c>
      <c r="G51" s="186">
        <v>8</v>
      </c>
      <c r="H51" s="186">
        <v>8</v>
      </c>
      <c r="I51" s="186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>
      <c r="B52" s="5" t="s">
        <v>234</v>
      </c>
      <c r="C52" s="5" t="s">
        <v>235</v>
      </c>
      <c r="D52" s="5"/>
      <c r="E52" s="221">
        <v>0</v>
      </c>
      <c r="F52" s="186">
        <v>1</v>
      </c>
      <c r="G52" s="186">
        <v>2</v>
      </c>
      <c r="H52" s="186">
        <v>2</v>
      </c>
      <c r="I52" s="186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>
      <c r="B53" s="5" t="s">
        <v>236</v>
      </c>
      <c r="C53" s="5" t="s">
        <v>237</v>
      </c>
      <c r="D53" s="5"/>
      <c r="E53" s="221">
        <v>17</v>
      </c>
      <c r="F53" s="186">
        <v>51</v>
      </c>
      <c r="G53" s="186">
        <v>35</v>
      </c>
      <c r="H53" s="186">
        <v>14</v>
      </c>
      <c r="I53" s="186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>
      <c r="B54" s="119" t="s">
        <v>110</v>
      </c>
      <c r="C54" s="118" t="s">
        <v>239</v>
      </c>
      <c r="D54" s="118"/>
      <c r="E54" s="233">
        <v>162</v>
      </c>
      <c r="F54" s="234">
        <f>SUM(F49:F53)</f>
        <v>192</v>
      </c>
      <c r="G54" s="234">
        <f>SUM(G49:G53)</f>
        <v>158</v>
      </c>
      <c r="H54" s="234">
        <f>SUM(H49:H53)</f>
        <v>132</v>
      </c>
      <c r="I54" s="234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>
      <c r="B55" s="5" t="s">
        <v>240</v>
      </c>
      <c r="C55" s="5" t="s">
        <v>241</v>
      </c>
      <c r="D55" s="5"/>
      <c r="E55" s="221">
        <v>0</v>
      </c>
      <c r="F55" s="186">
        <v>0</v>
      </c>
      <c r="G55" s="186">
        <v>0</v>
      </c>
      <c r="H55" s="186">
        <v>0</v>
      </c>
      <c r="I55" s="186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>
      <c r="B56" s="116" t="s">
        <v>110</v>
      </c>
      <c r="C56" s="114" t="s">
        <v>243</v>
      </c>
      <c r="D56" s="114"/>
      <c r="E56" s="224">
        <f>SUM(E54:E55)</f>
        <v>162</v>
      </c>
      <c r="F56" s="225">
        <f>SUM(F54:F55)</f>
        <v>192</v>
      </c>
      <c r="G56" s="225">
        <f>SUM(G54:G55)</f>
        <v>158</v>
      </c>
      <c r="H56" s="225">
        <f>SUM(H54:H55)</f>
        <v>132</v>
      </c>
      <c r="I56" s="225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>
      <c r="B57" s="5" t="s">
        <v>244</v>
      </c>
      <c r="C57" s="110" t="s">
        <v>245</v>
      </c>
      <c r="D57" s="110"/>
      <c r="E57" s="221">
        <v>-4</v>
      </c>
      <c r="F57" s="186">
        <v>-3</v>
      </c>
      <c r="G57" s="186">
        <v>5</v>
      </c>
      <c r="H57" s="186">
        <v>4</v>
      </c>
      <c r="I57" s="186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>
      <c r="B58" s="5" t="s">
        <v>246</v>
      </c>
      <c r="C58" s="5" t="s">
        <v>247</v>
      </c>
      <c r="D58" s="5"/>
      <c r="E58" s="221">
        <v>0</v>
      </c>
      <c r="F58" s="186">
        <v>0</v>
      </c>
      <c r="G58" s="186">
        <v>0</v>
      </c>
      <c r="H58" s="186">
        <v>0</v>
      </c>
      <c r="I58" s="186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>
      <c r="B59" s="15" t="s">
        <v>248</v>
      </c>
      <c r="C59" s="16" t="s">
        <v>249</v>
      </c>
      <c r="D59" s="16"/>
      <c r="E59" s="229">
        <f>SUM(E47,-E56,E57)</f>
        <v>-138</v>
      </c>
      <c r="F59" s="197">
        <f>SUM(F47,-F56,F57)</f>
        <v>-161</v>
      </c>
      <c r="G59" s="197">
        <f>SUM(G47,-G56,G57)</f>
        <v>-134</v>
      </c>
      <c r="H59" s="197">
        <f>SUM(H47,-H56,H57)</f>
        <v>-112</v>
      </c>
      <c r="I59" s="197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>
      <c r="B60" s="8"/>
      <c r="C60" s="5"/>
      <c r="D60" s="5"/>
      <c r="E60" s="221"/>
      <c r="F60" s="186"/>
      <c r="G60" s="186"/>
      <c r="H60" s="184"/>
      <c r="I60" s="184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>
      <c r="B61" s="24" t="s">
        <v>250</v>
      </c>
      <c r="C61" s="25" t="s">
        <v>251</v>
      </c>
      <c r="D61" s="25"/>
      <c r="E61" s="232">
        <f>SUM(E39,E41,E59)</f>
        <v>78</v>
      </c>
      <c r="F61" s="198">
        <f>SUM(F39,F41,F59)</f>
        <v>334</v>
      </c>
      <c r="G61" s="198">
        <f>SUM(G39,G41,G59)</f>
        <v>576</v>
      </c>
      <c r="H61" s="198">
        <f>SUM(H39,H41,H59)</f>
        <v>490</v>
      </c>
      <c r="I61" s="198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>
      <c r="B62" s="8"/>
      <c r="C62" s="5"/>
      <c r="D62" s="5"/>
      <c r="E62" s="221"/>
      <c r="F62" s="186"/>
      <c r="G62" s="186"/>
      <c r="H62" s="184"/>
      <c r="I62" s="184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>
      <c r="B63" s="8" t="s">
        <v>252</v>
      </c>
      <c r="C63" s="5" t="s">
        <v>253</v>
      </c>
      <c r="D63" s="5"/>
      <c r="E63" s="221"/>
      <c r="F63" s="186"/>
      <c r="G63" s="186"/>
      <c r="H63" s="184"/>
      <c r="I63" s="184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>
      <c r="B64" s="5" t="s">
        <v>254</v>
      </c>
      <c r="C64" s="5" t="s">
        <v>255</v>
      </c>
      <c r="D64" s="5"/>
      <c r="E64" s="221">
        <v>105</v>
      </c>
      <c r="F64" s="186">
        <v>138</v>
      </c>
      <c r="G64" s="186">
        <v>107</v>
      </c>
      <c r="H64" s="186">
        <v>146</v>
      </c>
      <c r="I64" s="186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>
      <c r="B65" s="5" t="s">
        <v>256</v>
      </c>
      <c r="C65" s="5" t="s">
        <v>257</v>
      </c>
      <c r="D65" s="5"/>
      <c r="E65" s="221">
        <v>23</v>
      </c>
      <c r="F65" s="186">
        <v>25</v>
      </c>
      <c r="G65" s="186">
        <v>26</v>
      </c>
      <c r="H65" s="186">
        <v>30</v>
      </c>
      <c r="I65" s="186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>
      <c r="B66" s="5" t="s">
        <v>258</v>
      </c>
      <c r="C66" s="5" t="s">
        <v>259</v>
      </c>
      <c r="D66" s="5"/>
      <c r="E66" s="221">
        <v>-17</v>
      </c>
      <c r="F66" s="186">
        <v>4</v>
      </c>
      <c r="G66" s="186">
        <v>-1</v>
      </c>
      <c r="H66" s="186">
        <v>2</v>
      </c>
      <c r="I66" s="186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>
      <c r="B67" s="115" t="s">
        <v>260</v>
      </c>
      <c r="C67" s="64" t="s">
        <v>261</v>
      </c>
      <c r="D67" s="64"/>
      <c r="E67" s="235">
        <f>SUM(E64:E66)</f>
        <v>111</v>
      </c>
      <c r="F67" s="236">
        <f>SUM(F64:F66)</f>
        <v>167</v>
      </c>
      <c r="G67" s="236">
        <f>SUM(G64:G66)</f>
        <v>132</v>
      </c>
      <c r="H67" s="236">
        <f>SUM(H64:H66)</f>
        <v>178</v>
      </c>
      <c r="I67" s="236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>
      <c r="B68" s="5" t="s">
        <v>33</v>
      </c>
      <c r="C68" s="5" t="s">
        <v>262</v>
      </c>
      <c r="D68" s="5"/>
      <c r="E68" s="221">
        <v>142</v>
      </c>
      <c r="F68" s="186">
        <v>44</v>
      </c>
      <c r="G68" s="186">
        <v>88</v>
      </c>
      <c r="H68" s="186">
        <v>33</v>
      </c>
      <c r="I68" s="186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>
      <c r="B69" s="5" t="s">
        <v>263</v>
      </c>
      <c r="C69" s="5" t="s">
        <v>264</v>
      </c>
      <c r="D69" s="5"/>
      <c r="E69" s="221">
        <v>-120</v>
      </c>
      <c r="F69" s="186">
        <v>-89</v>
      </c>
      <c r="G69" s="186">
        <v>-28</v>
      </c>
      <c r="H69" s="186">
        <v>-54</v>
      </c>
      <c r="I69" s="186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>
      <c r="B70" s="120" t="s">
        <v>265</v>
      </c>
      <c r="C70" s="121" t="s">
        <v>266</v>
      </c>
      <c r="D70" s="121"/>
      <c r="E70" s="237">
        <f>SUM(E67:E69)</f>
        <v>133</v>
      </c>
      <c r="F70" s="238">
        <f>SUM(F67:F69)</f>
        <v>122</v>
      </c>
      <c r="G70" s="238">
        <f>SUM(G67:G69)</f>
        <v>192</v>
      </c>
      <c r="H70" s="238">
        <f>SUM(H67:H69)</f>
        <v>157</v>
      </c>
      <c r="I70" s="238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>
      <c r="B71" s="8" t="s">
        <v>267</v>
      </c>
      <c r="C71" s="5" t="s">
        <v>268</v>
      </c>
      <c r="D71" s="5"/>
      <c r="E71" s="239">
        <f>SUM(E61,-E70)</f>
        <v>-55</v>
      </c>
      <c r="F71" s="184">
        <f>SUM(F61,-F70)</f>
        <v>212</v>
      </c>
      <c r="G71" s="184">
        <f>SUM(G61,-G70)</f>
        <v>384</v>
      </c>
      <c r="H71" s="184">
        <f>SUM(H61,-H70)</f>
        <v>333</v>
      </c>
      <c r="I71" s="184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>
      <c r="B72" s="8" t="s">
        <v>269</v>
      </c>
      <c r="C72" s="5" t="s">
        <v>270</v>
      </c>
      <c r="D72" s="5"/>
      <c r="E72" s="221">
        <v>0</v>
      </c>
      <c r="F72" s="186">
        <v>19</v>
      </c>
      <c r="G72" s="186">
        <v>-85</v>
      </c>
      <c r="H72" s="184">
        <v>21</v>
      </c>
      <c r="I72" s="184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>
      <c r="B73" s="8"/>
      <c r="C73" s="5"/>
      <c r="D73" s="5"/>
      <c r="E73" s="221"/>
      <c r="F73" s="186"/>
      <c r="G73" s="186"/>
      <c r="H73" s="184"/>
      <c r="I73" s="184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>
      <c r="B74" s="15" t="s">
        <v>271</v>
      </c>
      <c r="C74" s="16" t="s">
        <v>272</v>
      </c>
      <c r="D74" s="16"/>
      <c r="E74" s="229">
        <f>SUM(E71:E72)</f>
        <v>-55</v>
      </c>
      <c r="F74" s="197">
        <f>SUM(F71:F72)</f>
        <v>231</v>
      </c>
      <c r="G74" s="197">
        <f>SUM(G71:G72)</f>
        <v>299</v>
      </c>
      <c r="H74" s="197">
        <f>SUM(H71:H72)</f>
        <v>354</v>
      </c>
      <c r="I74" s="197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>
      <c r="B75" s="5" t="s">
        <v>273</v>
      </c>
      <c r="C75" s="5" t="s">
        <v>274</v>
      </c>
      <c r="D75" s="5"/>
      <c r="E75" s="221">
        <v>130</v>
      </c>
      <c r="F75" s="186">
        <v>1</v>
      </c>
      <c r="G75" s="186">
        <v>-6</v>
      </c>
      <c r="H75" s="186">
        <v>-10</v>
      </c>
      <c r="I75" s="186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>
      <c r="B76" s="5"/>
      <c r="C76" s="5"/>
      <c r="D76" s="5"/>
      <c r="E76" s="221"/>
      <c r="F76" s="186"/>
      <c r="G76" s="186"/>
      <c r="H76" s="186"/>
      <c r="I76" s="186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>
      <c r="B77" s="24" t="s">
        <v>275</v>
      </c>
      <c r="C77" s="25" t="s">
        <v>276</v>
      </c>
      <c r="D77" s="25"/>
      <c r="E77" s="240">
        <v>73</v>
      </c>
      <c r="F77" s="188">
        <v>232</v>
      </c>
      <c r="G77" s="188">
        <v>293</v>
      </c>
      <c r="H77" s="198">
        <f t="shared" ref="H77" si="5">SUM(H74:H75)</f>
        <v>344</v>
      </c>
      <c r="I77" s="198">
        <f>SUM(I74:I75)</f>
        <v>389</v>
      </c>
      <c r="J77" s="55"/>
      <c r="K77" s="55"/>
      <c r="L77" s="55"/>
      <c r="M77" s="104"/>
      <c r="N77" s="55"/>
      <c r="O77" s="55"/>
      <c r="P77" s="55"/>
      <c r="Q77" s="55"/>
      <c r="R77" s="55"/>
    </row>
    <row r="78" spans="2:20">
      <c r="B78" s="104"/>
      <c r="C78" s="55"/>
      <c r="D78" s="55"/>
      <c r="E78" s="55"/>
      <c r="F78" s="55"/>
      <c r="G78" s="55"/>
      <c r="H78" s="55"/>
      <c r="I78" s="55"/>
      <c r="M78" s="100"/>
    </row>
    <row r="79" spans="2:20" ht="15" thickBot="1">
      <c r="B79" s="102" t="s">
        <v>277</v>
      </c>
      <c r="C79" s="103" t="s">
        <v>278</v>
      </c>
      <c r="D79" s="55"/>
      <c r="H79" s="75"/>
      <c r="I79" s="75"/>
      <c r="M79" s="70"/>
    </row>
    <row r="80" spans="2:20">
      <c r="B80" s="77" t="s">
        <v>279</v>
      </c>
      <c r="C80" s="78" t="s">
        <v>280</v>
      </c>
      <c r="D80" s="105"/>
      <c r="E80" s="76"/>
      <c r="F80" s="69"/>
      <c r="G80" s="69"/>
      <c r="H80" s="69"/>
      <c r="I80" s="69"/>
      <c r="M80" s="70"/>
    </row>
    <row r="81" spans="2:13">
      <c r="B81" s="77" t="s">
        <v>281</v>
      </c>
      <c r="C81" s="78" t="s">
        <v>282</v>
      </c>
      <c r="D81" s="106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>
      <c r="B82" s="77" t="s">
        <v>283</v>
      </c>
      <c r="C82" s="78" t="s">
        <v>284</v>
      </c>
      <c r="D82" s="106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>
      <c r="B83" s="77" t="s">
        <v>285</v>
      </c>
      <c r="C83" s="78" t="s">
        <v>286</v>
      </c>
      <c r="D83" s="106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>
      <c r="B84" s="77" t="s">
        <v>287</v>
      </c>
      <c r="C84" s="78" t="s">
        <v>288</v>
      </c>
      <c r="D84" s="106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>
      <c r="B85" s="79" t="s">
        <v>289</v>
      </c>
      <c r="C85" s="80" t="s">
        <v>290</v>
      </c>
      <c r="D85" s="107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>
      <c r="M87" s="84"/>
    </row>
    <row r="88" spans="2:13" ht="15" thickBot="1">
      <c r="B88" s="83" t="s">
        <v>291</v>
      </c>
      <c r="C88" s="84"/>
      <c r="D88" s="108"/>
      <c r="M88" s="88"/>
    </row>
    <row r="89" spans="2:1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>
      <c r="B92" s="91" t="s">
        <v>300</v>
      </c>
      <c r="C92" s="92"/>
      <c r="D92" s="108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>
      <c r="M94" s="67"/>
    </row>
    <row r="95" spans="2:13" ht="15" thickBot="1">
      <c r="B95" s="94" t="s">
        <v>301</v>
      </c>
      <c r="C95" s="67"/>
      <c r="D95" s="109"/>
    </row>
    <row r="96" spans="2:13" ht="15" thickBot="1">
      <c r="B96" s="97" t="s">
        <v>279</v>
      </c>
      <c r="E96" s="76"/>
      <c r="F96" s="86"/>
      <c r="G96" s="86"/>
      <c r="H96" s="96"/>
      <c r="I96" s="95"/>
    </row>
    <row r="97" spans="5:9" ht="15" thickBot="1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sheetPr codeName="Foglio4"/>
  <dimension ref="A1:T434"/>
  <sheetViews>
    <sheetView zoomScaleNormal="100" workbookViewId="0">
      <selection activeCell="I17" sqref="I17"/>
    </sheetView>
  </sheetViews>
  <sheetFormatPr defaultRowHeight="14.4" outlineLevelRow="1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>
      <c r="A1" s="127"/>
      <c r="B1" s="680" t="s">
        <v>314</v>
      </c>
      <c r="C1" s="681"/>
      <c r="D1" s="129"/>
      <c r="E1" s="129"/>
      <c r="F1" s="129"/>
      <c r="G1" s="129"/>
      <c r="H1" s="31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27"/>
      <c r="B2" s="312"/>
      <c r="C2" s="678" t="s">
        <v>158</v>
      </c>
      <c r="D2" s="678"/>
      <c r="E2" s="678"/>
      <c r="F2" s="678"/>
      <c r="G2" s="678"/>
      <c r="H2" s="679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>
      <c r="A3" s="66"/>
      <c r="B3" s="260"/>
      <c r="C3" s="126" t="s">
        <v>1</v>
      </c>
      <c r="D3" s="128">
        <v>42369</v>
      </c>
      <c r="E3" s="128">
        <v>42735</v>
      </c>
      <c r="F3" s="128">
        <v>43100</v>
      </c>
      <c r="G3" s="128">
        <v>43465</v>
      </c>
      <c r="H3" s="313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314"/>
      <c r="C4" s="5"/>
      <c r="D4" s="31"/>
      <c r="E4" s="29"/>
      <c r="F4" s="29"/>
      <c r="G4" s="29"/>
      <c r="H4" s="263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315" t="s">
        <v>327</v>
      </c>
      <c r="C5" s="141"/>
      <c r="D5" s="151">
        <f>'Balance sheet'!F16</f>
        <v>5067</v>
      </c>
      <c r="E5" s="143">
        <f>'Balance sheet'!G16</f>
        <v>5129</v>
      </c>
      <c r="F5" s="143">
        <f>'Balance sheet'!H16</f>
        <v>4606</v>
      </c>
      <c r="G5" s="143">
        <f>'Balance sheet'!I16</f>
        <v>4620</v>
      </c>
      <c r="H5" s="316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315" t="s">
        <v>328</v>
      </c>
      <c r="C6" s="141"/>
      <c r="D6" s="151">
        <f>'Balance sheet'!F27</f>
        <v>1348</v>
      </c>
      <c r="E6" s="143">
        <f>'Balance sheet'!G27</f>
        <v>1704</v>
      </c>
      <c r="F6" s="143">
        <f>'Balance sheet'!H27</f>
        <v>1863</v>
      </c>
      <c r="G6" s="143">
        <f>'Balance sheet'!I27</f>
        <v>2302</v>
      </c>
      <c r="H6" s="316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315" t="s">
        <v>323</v>
      </c>
      <c r="C7" s="141"/>
      <c r="D7" s="151">
        <v>137</v>
      </c>
      <c r="E7" s="143">
        <v>136</v>
      </c>
      <c r="F7" s="143">
        <v>107</v>
      </c>
      <c r="G7" s="143">
        <v>45</v>
      </c>
      <c r="H7" s="316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317" t="s">
        <v>329</v>
      </c>
      <c r="C8" s="318"/>
      <c r="D8" s="156">
        <f>SUM(D5:D7)</f>
        <v>6552</v>
      </c>
      <c r="E8" s="146">
        <f>SUM(E5:E7)</f>
        <v>6969</v>
      </c>
      <c r="F8" s="146">
        <f>SUM(F5:F7)</f>
        <v>6576</v>
      </c>
      <c r="G8" s="146">
        <f>SUM(G5:G7)</f>
        <v>6967</v>
      </c>
      <c r="H8" s="319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/>
      <c r="B9" s="315"/>
      <c r="C9" s="141"/>
      <c r="D9" s="151"/>
      <c r="E9" s="143"/>
      <c r="F9" s="143"/>
      <c r="G9" s="143"/>
      <c r="H9" s="316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315" t="s">
        <v>318</v>
      </c>
      <c r="C10" s="141"/>
      <c r="D10" s="151">
        <v>184</v>
      </c>
      <c r="E10" s="143">
        <v>159</v>
      </c>
      <c r="F10" s="143">
        <v>147</v>
      </c>
      <c r="G10" s="143">
        <v>187</v>
      </c>
      <c r="H10" s="316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315" t="s">
        <v>319</v>
      </c>
      <c r="C11" s="141"/>
      <c r="D11" s="151">
        <v>1485</v>
      </c>
      <c r="E11" s="143">
        <v>1821</v>
      </c>
      <c r="F11" s="143">
        <v>1671</v>
      </c>
      <c r="G11" s="143">
        <v>1781</v>
      </c>
      <c r="H11" s="316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315" t="s">
        <v>324</v>
      </c>
      <c r="C12" s="141"/>
      <c r="D12" s="151">
        <v>-1170</v>
      </c>
      <c r="E12" s="143">
        <v>-1384</v>
      </c>
      <c r="F12" s="143">
        <v>-1381</v>
      </c>
      <c r="G12" s="143">
        <v>-1413</v>
      </c>
      <c r="H12" s="316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320" t="s">
        <v>330</v>
      </c>
      <c r="C13" s="321"/>
      <c r="D13" s="159">
        <f>SUM(D10:D12)</f>
        <v>499</v>
      </c>
      <c r="E13" s="160">
        <f>SUM(E10:E12)</f>
        <v>596</v>
      </c>
      <c r="F13" s="160">
        <f>SUM(F10:F12)</f>
        <v>437</v>
      </c>
      <c r="G13" s="160">
        <f>SUM(G10:G12)</f>
        <v>555</v>
      </c>
      <c r="H13" s="322">
        <f>SUM(H10:H12)</f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323"/>
      <c r="C14" s="140"/>
      <c r="D14" s="150"/>
      <c r="E14" s="145"/>
      <c r="F14" s="145"/>
      <c r="G14" s="145"/>
      <c r="H14" s="324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>
      <c r="A15" s="1"/>
      <c r="B15" s="315" t="s">
        <v>11</v>
      </c>
      <c r="C15" s="141"/>
      <c r="D15" s="151">
        <f>SUM(D16:D19)+D20</f>
        <v>636</v>
      </c>
      <c r="E15" s="143">
        <f>SUM(E16:E19)+E20</f>
        <v>695</v>
      </c>
      <c r="F15" s="143">
        <f>SUM(F16:F19)+F20</f>
        <v>563</v>
      </c>
      <c r="G15" s="143">
        <f>SUM(G16:G19)+G20</f>
        <v>510</v>
      </c>
      <c r="H15" s="316">
        <f>SUM(H16:H19)+H20</f>
        <v>665</v>
      </c>
      <c r="I15" s="1"/>
      <c r="J15" s="1"/>
      <c r="K15" s="1"/>
      <c r="L15" s="1"/>
      <c r="M15" s="1"/>
      <c r="N15" s="1"/>
      <c r="O15" s="1" t="s">
        <v>315</v>
      </c>
      <c r="P15" s="1"/>
      <c r="Q15" s="1"/>
      <c r="R15" s="1"/>
    </row>
    <row r="16" spans="1:18" outlineLevel="1">
      <c r="A16" s="1"/>
      <c r="B16" s="315" t="s">
        <v>320</v>
      </c>
      <c r="C16" s="141"/>
      <c r="D16" s="151">
        <f>'Balance sheet'!F80</f>
        <v>183</v>
      </c>
      <c r="E16" s="143">
        <f>'Balance sheet'!G80</f>
        <v>389</v>
      </c>
      <c r="F16" s="143">
        <f>'Balance sheet'!H80</f>
        <v>216</v>
      </c>
      <c r="G16" s="143">
        <f>'Balance sheet'!I80</f>
        <v>313</v>
      </c>
      <c r="H16" s="316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outlineLevel="1">
      <c r="A17" s="1"/>
      <c r="B17" s="315" t="s">
        <v>321</v>
      </c>
      <c r="C17" s="141"/>
      <c r="D17" s="151">
        <f>'Balance sheet'!F85</f>
        <v>171</v>
      </c>
      <c r="E17" s="143">
        <f>'Balance sheet'!G85</f>
        <v>218</v>
      </c>
      <c r="F17" s="143">
        <f>'Balance sheet'!H85</f>
        <v>8</v>
      </c>
      <c r="G17" s="143">
        <f>'Balance sheet'!I85</f>
        <v>16</v>
      </c>
      <c r="H17" s="316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outlineLevel="1">
      <c r="A18" s="1"/>
      <c r="B18" s="326" t="s">
        <v>31</v>
      </c>
      <c r="C18" s="153"/>
      <c r="D18" s="151">
        <f>'Balance sheet'!F40</f>
        <v>6</v>
      </c>
      <c r="E18" s="143">
        <f>'Balance sheet'!G40</f>
        <v>12</v>
      </c>
      <c r="F18" s="143">
        <f>'Balance sheet'!H40</f>
        <v>8</v>
      </c>
      <c r="G18" s="143">
        <f>'Balance sheet'!I40</f>
        <v>20</v>
      </c>
      <c r="H18" s="316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outlineLevel="1">
      <c r="A19" s="1"/>
      <c r="B19" s="315" t="s">
        <v>75</v>
      </c>
      <c r="C19" s="141"/>
      <c r="D19" s="150">
        <f>71</f>
        <v>71</v>
      </c>
      <c r="E19" s="145">
        <f>70</f>
        <v>70</v>
      </c>
      <c r="F19" s="145">
        <f>107</f>
        <v>107</v>
      </c>
      <c r="G19" s="145">
        <f>49</f>
        <v>49</v>
      </c>
      <c r="H19" s="324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>
      <c r="A20" s="1"/>
      <c r="B20" s="326" t="s">
        <v>322</v>
      </c>
      <c r="C20" s="141"/>
      <c r="D20" s="151">
        <f>'Balance sheet'!F91</f>
        <v>205</v>
      </c>
      <c r="E20" s="143">
        <f>'Balance sheet'!G91</f>
        <v>6</v>
      </c>
      <c r="F20" s="143">
        <f>'Balance sheet'!H91</f>
        <v>224</v>
      </c>
      <c r="G20" s="143">
        <f>'Balance sheet'!I91</f>
        <v>112</v>
      </c>
      <c r="H20" s="316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315" t="s">
        <v>342</v>
      </c>
      <c r="C21" s="141"/>
      <c r="D21" s="151">
        <f>SUM(D22:D25)</f>
        <v>-683</v>
      </c>
      <c r="E21" s="151">
        <f>SUM(E22:E25)</f>
        <v>-893</v>
      </c>
      <c r="F21" s="151">
        <f>SUM(F22:F25)</f>
        <v>-673</v>
      </c>
      <c r="G21" s="151">
        <f>SUM(G22:G25)</f>
        <v>-763</v>
      </c>
      <c r="H21" s="327">
        <f>SUM(H22:H25)</f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>
      <c r="A22" s="1"/>
      <c r="B22" s="315" t="s">
        <v>120</v>
      </c>
      <c r="C22" s="141"/>
      <c r="D22" s="151">
        <v>-99</v>
      </c>
      <c r="E22" s="143">
        <v>-109</v>
      </c>
      <c r="F22" s="143">
        <v>-148</v>
      </c>
      <c r="G22" s="143">
        <v>-148</v>
      </c>
      <c r="H22" s="316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>
      <c r="A23" s="1"/>
      <c r="B23" s="315" t="s">
        <v>153</v>
      </c>
      <c r="C23" s="141"/>
      <c r="D23" s="151">
        <v>-43</v>
      </c>
      <c r="E23" s="143">
        <v>-33</v>
      </c>
      <c r="F23" s="143">
        <v>-4</v>
      </c>
      <c r="G23" s="143">
        <v>-34</v>
      </c>
      <c r="H23" s="316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>
      <c r="A24" s="1"/>
      <c r="B24" s="315" t="s">
        <v>325</v>
      </c>
      <c r="C24" s="141"/>
      <c r="D24" s="151">
        <v>-521</v>
      </c>
      <c r="E24" s="143">
        <v>-744</v>
      </c>
      <c r="F24" s="143">
        <v>-521</v>
      </c>
      <c r="G24" s="143">
        <v>-581</v>
      </c>
      <c r="H24" s="316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>
      <c r="A25" s="1"/>
      <c r="B25" s="315" t="s">
        <v>376</v>
      </c>
      <c r="C25" s="141"/>
      <c r="D25" s="151">
        <v>-20</v>
      </c>
      <c r="E25" s="143">
        <v>-7</v>
      </c>
      <c r="F25" s="143">
        <v>0</v>
      </c>
      <c r="G25" s="143">
        <v>0</v>
      </c>
      <c r="H25" s="316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317" t="s">
        <v>331</v>
      </c>
      <c r="C26" s="318"/>
      <c r="D26" s="156">
        <f>D13+D15+D21</f>
        <v>452</v>
      </c>
      <c r="E26" s="156">
        <f>E13+E15+E21</f>
        <v>398</v>
      </c>
      <c r="F26" s="156">
        <f>F13+F15+F21</f>
        <v>327</v>
      </c>
      <c r="G26" s="156">
        <f>G13+G15+G21</f>
        <v>302</v>
      </c>
      <c r="H26" s="328">
        <f>H13+H15+H21</f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315"/>
      <c r="C27" s="141"/>
      <c r="D27" s="151"/>
      <c r="E27" s="143"/>
      <c r="F27" s="143"/>
      <c r="G27" s="143"/>
      <c r="H27" s="316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315" t="s">
        <v>375</v>
      </c>
      <c r="C28" s="141"/>
      <c r="D28" s="151">
        <v>308</v>
      </c>
      <c r="E28" s="143">
        <v>341</v>
      </c>
      <c r="F28" s="143">
        <v>301</v>
      </c>
      <c r="G28" s="143">
        <v>264</v>
      </c>
      <c r="H28" s="316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30"/>
      <c r="B29" s="315" t="s">
        <v>113</v>
      </c>
      <c r="C29" s="141"/>
      <c r="D29" s="151">
        <v>-332</v>
      </c>
      <c r="E29" s="143">
        <v>-365</v>
      </c>
      <c r="F29" s="143">
        <v>-319</v>
      </c>
      <c r="G29" s="143">
        <v>-314</v>
      </c>
      <c r="H29" s="316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315" t="s">
        <v>326</v>
      </c>
      <c r="C30" s="141"/>
      <c r="D30" s="151">
        <v>-576</v>
      </c>
      <c r="E30" s="143">
        <v>-671</v>
      </c>
      <c r="F30" s="143">
        <v>-625</v>
      </c>
      <c r="G30" s="143">
        <v>-642</v>
      </c>
      <c r="H30" s="316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>
      <c r="A31" s="1"/>
      <c r="B31" s="329" t="s">
        <v>332</v>
      </c>
      <c r="C31" s="330"/>
      <c r="D31" s="155">
        <f>D8+D26+D28+D29+D30</f>
        <v>6404</v>
      </c>
      <c r="E31" s="155">
        <f>E8+E26+E28+E29+E30</f>
        <v>6672</v>
      </c>
      <c r="F31" s="155">
        <f>F8+F26+F28+F29+F30</f>
        <v>6260</v>
      </c>
      <c r="G31" s="155">
        <f>G8+G26+G28+G29+G30</f>
        <v>6577</v>
      </c>
      <c r="H31" s="331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315"/>
      <c r="C32" s="141"/>
      <c r="D32" s="151"/>
      <c r="E32" s="143"/>
      <c r="F32" s="143"/>
      <c r="G32" s="143"/>
      <c r="H32" s="316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>
      <c r="A33" s="1"/>
      <c r="B33" s="315"/>
      <c r="C33" s="141"/>
      <c r="D33" s="151"/>
      <c r="E33" s="143"/>
      <c r="F33" s="143"/>
      <c r="G33" s="143"/>
      <c r="H33" s="316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>
      <c r="A34" s="1"/>
      <c r="B34" s="315"/>
      <c r="C34" s="141"/>
      <c r="D34" s="151"/>
      <c r="E34" s="143"/>
      <c r="F34" s="143"/>
      <c r="G34" s="143"/>
      <c r="H34" s="316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>
      <c r="A35" s="1"/>
      <c r="B35" s="332" t="s">
        <v>339</v>
      </c>
      <c r="C35" s="333"/>
      <c r="D35" s="157">
        <v>-3259</v>
      </c>
      <c r="E35" s="158">
        <v>-3279</v>
      </c>
      <c r="F35" s="158">
        <v>-3013</v>
      </c>
      <c r="G35" s="158">
        <v>-3523</v>
      </c>
      <c r="H35" s="356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>
      <c r="A36" s="1"/>
      <c r="B36" s="315"/>
      <c r="C36" s="141"/>
      <c r="D36" s="151"/>
      <c r="E36" s="143"/>
      <c r="F36" s="143"/>
      <c r="G36" s="143"/>
      <c r="H36" s="31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>
      <c r="A37" s="1"/>
      <c r="B37" s="315" t="s">
        <v>105</v>
      </c>
      <c r="C37" s="141"/>
      <c r="D37" s="151">
        <v>-3089</v>
      </c>
      <c r="E37" s="143">
        <v>-3436</v>
      </c>
      <c r="F37" s="143">
        <v>-3501</v>
      </c>
      <c r="G37" s="143">
        <v>-2984</v>
      </c>
      <c r="H37" s="316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8"/>
      <c r="B38" s="315" t="s">
        <v>150</v>
      </c>
      <c r="C38" s="141"/>
      <c r="D38" s="151">
        <v>-692</v>
      </c>
      <c r="E38" s="143">
        <v>-359</v>
      </c>
      <c r="F38" s="143">
        <v>-437</v>
      </c>
      <c r="G38" s="143">
        <v>-694</v>
      </c>
      <c r="H38" s="316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32"/>
      <c r="B39" s="334" t="s">
        <v>338</v>
      </c>
      <c r="C39" s="335"/>
      <c r="D39" s="161">
        <f>D37+D38</f>
        <v>-3781</v>
      </c>
      <c r="E39" s="162">
        <f>E37+E38</f>
        <v>-3795</v>
      </c>
      <c r="F39" s="162">
        <f>F37+F38</f>
        <v>-3938</v>
      </c>
      <c r="G39" s="162">
        <f>G37+G38</f>
        <v>-3678</v>
      </c>
      <c r="H39" s="487">
        <f>H37+H38</f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325"/>
      <c r="C40" s="142"/>
      <c r="D40" s="152"/>
      <c r="E40" s="144"/>
      <c r="F40" s="144"/>
      <c r="G40" s="144"/>
      <c r="H40" s="33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315" t="s">
        <v>77</v>
      </c>
      <c r="C41" s="141"/>
      <c r="D41" s="151">
        <v>636</v>
      </c>
      <c r="E41" s="143">
        <v>402</v>
      </c>
      <c r="F41" s="143">
        <v>691</v>
      </c>
      <c r="G41" s="143">
        <v>624</v>
      </c>
      <c r="H41" s="316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317" t="s">
        <v>333</v>
      </c>
      <c r="C42" s="318"/>
      <c r="D42" s="146">
        <f>D39+D41</f>
        <v>-3145</v>
      </c>
      <c r="E42" s="146">
        <f>E39+E41</f>
        <v>-3393</v>
      </c>
      <c r="F42" s="146">
        <f>F39+F41</f>
        <v>-3247</v>
      </c>
      <c r="G42" s="146">
        <f>G39+G41</f>
        <v>-3054</v>
      </c>
      <c r="H42" s="319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315"/>
      <c r="C43" s="141"/>
      <c r="D43" s="151"/>
      <c r="E43" s="143"/>
      <c r="F43" s="143"/>
      <c r="G43" s="143"/>
      <c r="H43" s="31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329" t="s">
        <v>332</v>
      </c>
      <c r="C44" s="330"/>
      <c r="D44" s="155">
        <f>D35+D42</f>
        <v>-6404</v>
      </c>
      <c r="E44" s="148">
        <f>E35+E42</f>
        <v>-6672</v>
      </c>
      <c r="F44" s="148">
        <f>F35+F42</f>
        <v>-6260</v>
      </c>
      <c r="G44" s="148">
        <f>G35+G42</f>
        <v>-6577</v>
      </c>
      <c r="H44" s="513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ht="15" thickBot="1">
      <c r="A45" s="1"/>
      <c r="B45" s="488" t="s">
        <v>345</v>
      </c>
      <c r="C45" s="489"/>
      <c r="D45" s="490">
        <f>D31+D44</f>
        <v>0</v>
      </c>
      <c r="E45" s="490">
        <f>E31+E44</f>
        <v>0</v>
      </c>
      <c r="F45" s="490">
        <f>F31+F44</f>
        <v>0</v>
      </c>
      <c r="G45" s="490">
        <f>G31+G44</f>
        <v>0</v>
      </c>
      <c r="H45" s="491">
        <f>H31+H44</f>
        <v>0</v>
      </c>
      <c r="I45" s="249"/>
      <c r="J45" s="1"/>
      <c r="K45" s="1"/>
      <c r="L45" s="1"/>
      <c r="M45" s="1"/>
      <c r="N45" s="1"/>
      <c r="O45" s="1"/>
      <c r="P45" s="1"/>
      <c r="Q45" s="1"/>
      <c r="R45" s="1"/>
    </row>
    <row r="46" spans="1:20">
      <c r="A46" s="1"/>
      <c r="B46" s="170"/>
      <c r="C46" s="171"/>
      <c r="D46" s="171"/>
      <c r="E46" s="171"/>
      <c r="F46" s="171"/>
      <c r="G46" s="171"/>
      <c r="H46" s="171"/>
      <c r="J46" s="1"/>
      <c r="K46" s="1"/>
      <c r="L46" s="1"/>
      <c r="M46" s="1"/>
      <c r="N46" s="1"/>
      <c r="O46" s="1"/>
      <c r="P46" s="1"/>
      <c r="Q46" s="1"/>
      <c r="R46" s="1"/>
    </row>
    <row r="47" spans="1:20" ht="15" thickBot="1">
      <c r="B47" s="172"/>
      <c r="C47" s="173"/>
      <c r="D47" s="172"/>
      <c r="E47" s="172"/>
      <c r="F47" s="172"/>
      <c r="G47" s="172"/>
      <c r="H47" s="172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>
      <c r="A48" s="514"/>
      <c r="B48" s="342" t="s">
        <v>302</v>
      </c>
      <c r="C48" s="343"/>
      <c r="D48" s="343"/>
      <c r="E48" s="343"/>
      <c r="F48" s="343"/>
      <c r="G48" s="343"/>
      <c r="H48" s="344"/>
      <c r="I48" s="1"/>
      <c r="J48" s="149"/>
      <c r="K48" s="1"/>
      <c r="L48" s="1"/>
      <c r="M48" s="1"/>
      <c r="N48" s="1"/>
      <c r="O48" s="1"/>
      <c r="P48" s="1"/>
      <c r="Q48" s="1"/>
      <c r="R48" s="1"/>
    </row>
    <row r="49" spans="1:18" ht="15" customHeight="1">
      <c r="A49" s="312"/>
      <c r="B49" s="345"/>
      <c r="C49" s="111"/>
      <c r="D49" s="682" t="s">
        <v>163</v>
      </c>
      <c r="E49" s="682"/>
      <c r="F49" s="682"/>
      <c r="G49" s="682"/>
      <c r="H49" s="683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>
      <c r="A50" s="260"/>
      <c r="B50" s="346"/>
      <c r="C50" s="125" t="s">
        <v>1</v>
      </c>
      <c r="D50" s="112">
        <v>42369</v>
      </c>
      <c r="E50" s="112">
        <v>42735</v>
      </c>
      <c r="F50" s="112">
        <v>43100</v>
      </c>
      <c r="G50" s="112">
        <v>43465</v>
      </c>
      <c r="H50" s="261">
        <v>43830</v>
      </c>
      <c r="I50" s="149"/>
      <c r="J50" s="1"/>
      <c r="K50" s="1"/>
      <c r="L50" s="1"/>
      <c r="M50" s="1"/>
      <c r="N50" s="1"/>
      <c r="O50" s="1" t="s">
        <v>316</v>
      </c>
      <c r="P50" s="1"/>
      <c r="Q50" s="1"/>
      <c r="R50" s="1"/>
    </row>
    <row r="51" spans="1:18">
      <c r="A51" s="262"/>
      <c r="B51" s="348"/>
      <c r="C51" s="171"/>
      <c r="D51" s="177"/>
      <c r="E51" s="178"/>
      <c r="F51" s="178"/>
      <c r="G51" s="178"/>
      <c r="H51" s="349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262"/>
      <c r="B52" s="314" t="s">
        <v>344</v>
      </c>
      <c r="C52" s="171"/>
      <c r="D52" s="150">
        <f>SUM(D55:D56)</f>
        <v>4921</v>
      </c>
      <c r="E52" s="145">
        <f>SUM(E55:E56)</f>
        <v>4860</v>
      </c>
      <c r="F52" s="145">
        <f>SUM(F55:F56)</f>
        <v>5796</v>
      </c>
      <c r="G52" s="145">
        <f>SUM(G55:G56)</f>
        <v>6494</v>
      </c>
      <c r="H52" s="324">
        <f>SUM(H55:H56)</f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outlineLevel="1">
      <c r="A53" s="262"/>
      <c r="B53" s="180" t="s">
        <v>167</v>
      </c>
      <c r="C53" s="171"/>
      <c r="D53" s="151">
        <v>3947</v>
      </c>
      <c r="E53" s="143">
        <v>3734</v>
      </c>
      <c r="F53" s="143">
        <v>4633</v>
      </c>
      <c r="G53" s="143">
        <v>5268</v>
      </c>
      <c r="H53" s="316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outlineLevel="1">
      <c r="A54" s="262"/>
      <c r="B54" s="180" t="s">
        <v>169</v>
      </c>
      <c r="C54" s="171"/>
      <c r="D54" s="151">
        <v>785</v>
      </c>
      <c r="E54" s="143">
        <v>847</v>
      </c>
      <c r="F54" s="143">
        <v>957</v>
      </c>
      <c r="G54" s="143">
        <v>1003</v>
      </c>
      <c r="H54" s="316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outlineLevel="1">
      <c r="A55" s="262"/>
      <c r="B55" s="493" t="s">
        <v>171</v>
      </c>
      <c r="C55" s="171"/>
      <c r="D55" s="152">
        <f>SUM(D53:D54)</f>
        <v>4732</v>
      </c>
      <c r="E55" s="144">
        <f>SUM(E53:E54)</f>
        <v>4581</v>
      </c>
      <c r="F55" s="144">
        <f>SUM(F53:F54)</f>
        <v>5590</v>
      </c>
      <c r="G55" s="144">
        <f>SUM(G53:G54)</f>
        <v>6271</v>
      </c>
      <c r="H55" s="337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outlineLevel="1">
      <c r="A56" s="262"/>
      <c r="B56" s="180" t="s">
        <v>173</v>
      </c>
      <c r="C56" s="171"/>
      <c r="D56" s="151">
        <v>189</v>
      </c>
      <c r="E56" s="143">
        <v>279</v>
      </c>
      <c r="F56" s="143">
        <v>206</v>
      </c>
      <c r="G56" s="141">
        <v>223</v>
      </c>
      <c r="H56" s="316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262"/>
      <c r="B57" s="180"/>
      <c r="C57" s="171"/>
      <c r="D57" s="151"/>
      <c r="E57" s="151"/>
      <c r="F57" s="143"/>
      <c r="G57" s="143"/>
      <c r="H57" s="316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262"/>
      <c r="B58" s="180" t="s">
        <v>177</v>
      </c>
      <c r="C58" s="171"/>
      <c r="D58" s="151">
        <v>-2286</v>
      </c>
      <c r="E58" s="151">
        <v>-2101</v>
      </c>
      <c r="F58" s="143">
        <v>-2831</v>
      </c>
      <c r="G58" s="143">
        <v>-3346</v>
      </c>
      <c r="H58" s="316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262"/>
      <c r="B59" s="180" t="s">
        <v>179</v>
      </c>
      <c r="C59" s="171"/>
      <c r="D59" s="151">
        <v>-706</v>
      </c>
      <c r="E59" s="151">
        <v>-758</v>
      </c>
      <c r="F59" s="143">
        <v>-850</v>
      </c>
      <c r="G59" s="143">
        <v>-986</v>
      </c>
      <c r="H59" s="316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262"/>
      <c r="B60" s="180" t="s">
        <v>183</v>
      </c>
      <c r="C60" s="171"/>
      <c r="D60" s="151">
        <v>-252</v>
      </c>
      <c r="E60" s="151">
        <v>-243</v>
      </c>
      <c r="F60" s="143">
        <v>-281</v>
      </c>
      <c r="G60" s="143">
        <v>-266</v>
      </c>
      <c r="H60" s="316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262"/>
      <c r="B61" s="180" t="s">
        <v>334</v>
      </c>
      <c r="C61" s="171"/>
      <c r="D61" s="151">
        <f>-SUM(D66:D67)</f>
        <v>-629</v>
      </c>
      <c r="E61" s="151">
        <f>-SUM(E66:E67)</f>
        <v>-596</v>
      </c>
      <c r="F61" s="143">
        <f>-SUM(F66:F67)</f>
        <v>-635</v>
      </c>
      <c r="G61" s="143">
        <f>-SUM(G66:G67)</f>
        <v>-665</v>
      </c>
      <c r="H61" s="316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idden="1" outlineLevel="1">
      <c r="A62" s="262"/>
      <c r="B62" s="180" t="s">
        <v>187</v>
      </c>
      <c r="C62" s="171"/>
      <c r="D62" s="151">
        <v>441</v>
      </c>
      <c r="E62" s="151">
        <v>433</v>
      </c>
      <c r="F62" s="143">
        <v>471</v>
      </c>
      <c r="G62" s="143">
        <v>494</v>
      </c>
      <c r="H62" s="316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outlineLevel="1">
      <c r="A63" s="262"/>
      <c r="B63" s="180" t="s">
        <v>189</v>
      </c>
      <c r="C63" s="171"/>
      <c r="D63" s="151">
        <v>163</v>
      </c>
      <c r="E63" s="151">
        <v>146</v>
      </c>
      <c r="F63" s="143">
        <v>160</v>
      </c>
      <c r="G63" s="143">
        <v>173</v>
      </c>
      <c r="H63" s="316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outlineLevel="1">
      <c r="A64" s="262"/>
      <c r="B64" s="180" t="s">
        <v>191</v>
      </c>
      <c r="C64" s="171"/>
      <c r="D64" s="151">
        <v>25</v>
      </c>
      <c r="E64" s="151">
        <v>26</v>
      </c>
      <c r="F64" s="143">
        <v>29</v>
      </c>
      <c r="G64" s="143">
        <v>31</v>
      </c>
      <c r="H64" s="316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idden="1" outlineLevel="1">
      <c r="A65" s="262"/>
      <c r="B65" s="180" t="s">
        <v>192</v>
      </c>
      <c r="C65" s="171"/>
      <c r="D65" s="151">
        <v>27</v>
      </c>
      <c r="E65" s="151">
        <v>36</v>
      </c>
      <c r="F65" s="143">
        <v>27</v>
      </c>
      <c r="G65" s="143">
        <v>33</v>
      </c>
      <c r="H65" s="316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outlineLevel="1">
      <c r="A66" s="262"/>
      <c r="B66" s="493" t="s">
        <v>194</v>
      </c>
      <c r="C66" s="171"/>
      <c r="D66" s="152">
        <f>SUM(D62:D65)</f>
        <v>656</v>
      </c>
      <c r="E66" s="152">
        <f>SUM(E62:E65)</f>
        <v>641</v>
      </c>
      <c r="F66" s="144">
        <f>SUM(F62:F65)</f>
        <v>687</v>
      </c>
      <c r="G66" s="144">
        <f t="shared" ref="G66" si="0">SUM(G62:G65)</f>
        <v>731</v>
      </c>
      <c r="H66" s="337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idden="1" outlineLevel="1">
      <c r="A67" s="262"/>
      <c r="B67" s="180" t="s">
        <v>196</v>
      </c>
      <c r="C67" s="171"/>
      <c r="D67" s="151">
        <v>-27</v>
      </c>
      <c r="E67" s="151">
        <v>-45</v>
      </c>
      <c r="F67" s="143">
        <v>-52</v>
      </c>
      <c r="G67" s="143">
        <v>-66</v>
      </c>
      <c r="H67" s="316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>
      <c r="A68" s="262"/>
      <c r="B68" s="494" t="s">
        <v>343</v>
      </c>
      <c r="C68" s="174"/>
      <c r="D68" s="159">
        <f>SUM(D58:D61)</f>
        <v>-3873</v>
      </c>
      <c r="E68" s="159">
        <f>SUM(E58:E61)</f>
        <v>-3698</v>
      </c>
      <c r="F68" s="160">
        <f>SUM(F58:F61)</f>
        <v>-4597</v>
      </c>
      <c r="G68" s="160">
        <f>SUM(G58:G61)</f>
        <v>-5263</v>
      </c>
      <c r="H68" s="322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262"/>
      <c r="B69" s="314"/>
      <c r="C69" s="171"/>
      <c r="D69" s="151"/>
      <c r="E69" s="151"/>
      <c r="F69" s="143"/>
      <c r="G69" s="143"/>
      <c r="H69" s="316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262"/>
      <c r="B70" s="350" t="s">
        <v>306</v>
      </c>
      <c r="C70" s="175"/>
      <c r="D70" s="156">
        <f>SUM(D52,D68)</f>
        <v>1048</v>
      </c>
      <c r="E70" s="156">
        <f>SUM(E52,E68)</f>
        <v>1162</v>
      </c>
      <c r="F70" s="146">
        <f>SUM(F52,F68)</f>
        <v>1199</v>
      </c>
      <c r="G70" s="146">
        <f>SUM(G52,G68)</f>
        <v>1231</v>
      </c>
      <c r="H70" s="319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262"/>
      <c r="B71" s="180"/>
      <c r="C71" s="171"/>
      <c r="D71" s="243"/>
      <c r="E71" s="243"/>
      <c r="F71" s="147"/>
      <c r="G71" s="147"/>
      <c r="H71" s="496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262"/>
      <c r="B72" s="180" t="s">
        <v>335</v>
      </c>
      <c r="C72" s="171"/>
      <c r="D72" s="151">
        <f>-SUM(D73:D75)</f>
        <v>-754</v>
      </c>
      <c r="E72" s="151">
        <f t="shared" ref="E72:H72" si="1">-SUM(E73:E75)</f>
        <v>-648</v>
      </c>
      <c r="F72" s="143">
        <f t="shared" si="1"/>
        <v>-444</v>
      </c>
      <c r="G72" s="143">
        <f t="shared" si="1"/>
        <v>-623</v>
      </c>
      <c r="H72" s="316">
        <f t="shared" si="1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outlineLevel="1">
      <c r="A73" s="262"/>
      <c r="B73" s="180" t="s">
        <v>202</v>
      </c>
      <c r="C73" s="171"/>
      <c r="D73" s="151">
        <v>54</v>
      </c>
      <c r="E73" s="151">
        <v>55</v>
      </c>
      <c r="F73" s="143">
        <v>72</v>
      </c>
      <c r="G73" s="143">
        <v>91</v>
      </c>
      <c r="H73" s="316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outlineLevel="1">
      <c r="A74" s="262"/>
      <c r="B74" s="180" t="s">
        <v>204</v>
      </c>
      <c r="C74" s="171"/>
      <c r="D74" s="151">
        <v>341</v>
      </c>
      <c r="E74" s="151">
        <v>348</v>
      </c>
      <c r="F74" s="143">
        <v>338</v>
      </c>
      <c r="G74" s="143">
        <v>372</v>
      </c>
      <c r="H74" s="316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outlineLevel="1">
      <c r="A75" s="314"/>
      <c r="B75" s="180" t="s">
        <v>206</v>
      </c>
      <c r="C75" s="171"/>
      <c r="D75" s="151">
        <v>359</v>
      </c>
      <c r="E75" s="151">
        <v>245</v>
      </c>
      <c r="F75" s="143">
        <v>34</v>
      </c>
      <c r="G75" s="143">
        <v>160</v>
      </c>
      <c r="H75" s="316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314"/>
      <c r="B76" s="180" t="s">
        <v>459</v>
      </c>
      <c r="C76" s="171"/>
      <c r="D76" s="152">
        <f>-SUM(D77:D78)</f>
        <v>-79</v>
      </c>
      <c r="E76" s="152">
        <f t="shared" ref="E76:H76" si="2">-SUM(E77:E78)</f>
        <v>-71</v>
      </c>
      <c r="F76" s="144">
        <f t="shared" si="2"/>
        <v>-45</v>
      </c>
      <c r="G76" s="144">
        <f t="shared" si="2"/>
        <v>-20</v>
      </c>
      <c r="H76" s="337">
        <f t="shared" si="2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idden="1" outlineLevel="1">
      <c r="A77" s="262"/>
      <c r="B77" s="180" t="s">
        <v>210</v>
      </c>
      <c r="C77" s="171"/>
      <c r="D77" s="151">
        <v>57</v>
      </c>
      <c r="E77" s="151">
        <v>50</v>
      </c>
      <c r="F77" s="143">
        <v>10</v>
      </c>
      <c r="G77" s="143">
        <v>-5</v>
      </c>
      <c r="H77" s="316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28.8" hidden="1" outlineLevel="1">
      <c r="A78" s="262"/>
      <c r="B78" s="497" t="s">
        <v>212</v>
      </c>
      <c r="C78" s="171"/>
      <c r="D78" s="151">
        <v>22</v>
      </c>
      <c r="E78" s="151">
        <v>21</v>
      </c>
      <c r="F78" s="143">
        <v>35</v>
      </c>
      <c r="G78" s="143">
        <v>25</v>
      </c>
      <c r="H78" s="316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>
      <c r="A79" s="262"/>
      <c r="B79" s="314"/>
      <c r="C79" s="171"/>
      <c r="D79" s="150"/>
      <c r="E79" s="151"/>
      <c r="F79" s="145"/>
      <c r="G79" s="145"/>
      <c r="H79" s="324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262"/>
      <c r="B80" s="350" t="s">
        <v>303</v>
      </c>
      <c r="C80" s="175"/>
      <c r="D80" s="156">
        <f>SUM(D70,D72,D76)</f>
        <v>215</v>
      </c>
      <c r="E80" s="156">
        <f>SUM(E70,E72,E76)</f>
        <v>443</v>
      </c>
      <c r="F80" s="146">
        <f>SUM(F70,F72,F76)</f>
        <v>710</v>
      </c>
      <c r="G80" s="146">
        <f>SUM(G70,G72,G76)</f>
        <v>588</v>
      </c>
      <c r="H80" s="319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>
      <c r="A81" s="262"/>
      <c r="B81" s="314"/>
      <c r="C81" s="171"/>
      <c r="D81" s="150"/>
      <c r="E81" s="151"/>
      <c r="F81" s="145"/>
      <c r="G81" s="145"/>
      <c r="H81" s="324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262"/>
      <c r="B82" s="180" t="s">
        <v>217</v>
      </c>
      <c r="C82" s="171"/>
      <c r="D82" s="151">
        <v>1</v>
      </c>
      <c r="E82" s="151">
        <v>52</v>
      </c>
      <c r="F82" s="143">
        <v>0</v>
      </c>
      <c r="G82" s="143">
        <v>14</v>
      </c>
      <c r="H82" s="316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80"/>
      <c r="B83" s="180" t="s">
        <v>219</v>
      </c>
      <c r="C83" s="171"/>
      <c r="D83" s="151">
        <f>SUM(D87,-D96,D97)</f>
        <v>-138</v>
      </c>
      <c r="E83" s="151">
        <f t="shared" ref="E83:H83" si="3">SUM(E87,-E96,E97)</f>
        <v>-161</v>
      </c>
      <c r="F83" s="143">
        <f t="shared" si="3"/>
        <v>-134</v>
      </c>
      <c r="G83" s="143">
        <f t="shared" si="3"/>
        <v>-112</v>
      </c>
      <c r="H83" s="316">
        <f t="shared" si="3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idden="1" outlineLevel="1">
      <c r="A84" s="262"/>
      <c r="B84" s="180" t="s">
        <v>221</v>
      </c>
      <c r="C84" s="171"/>
      <c r="D84" s="151"/>
      <c r="E84" s="151"/>
      <c r="F84" s="143"/>
      <c r="G84" s="143"/>
      <c r="H84" s="316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idden="1" outlineLevel="1">
      <c r="A85" s="262"/>
      <c r="B85" s="180" t="s">
        <v>223</v>
      </c>
      <c r="C85" s="171"/>
      <c r="D85" s="151"/>
      <c r="E85" s="151"/>
      <c r="F85" s="143"/>
      <c r="G85" s="143">
        <v>0</v>
      </c>
      <c r="H85" s="316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idden="1" outlineLevel="1">
      <c r="A86" s="515"/>
      <c r="B86" s="180" t="s">
        <v>224</v>
      </c>
      <c r="C86" s="171"/>
      <c r="D86" s="151"/>
      <c r="E86" s="151"/>
      <c r="F86" s="143"/>
      <c r="G86" s="143">
        <v>16</v>
      </c>
      <c r="H86" s="316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idden="1" outlineLevel="1">
      <c r="A87" s="262"/>
      <c r="B87" s="180" t="s">
        <v>225</v>
      </c>
      <c r="C87" s="171"/>
      <c r="D87" s="151">
        <v>28</v>
      </c>
      <c r="E87" s="151">
        <v>34</v>
      </c>
      <c r="F87" s="143">
        <v>19</v>
      </c>
      <c r="G87" s="143">
        <f t="shared" ref="G87" si="4">SUM(G85:G86)</f>
        <v>16</v>
      </c>
      <c r="H87" s="316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idden="1" outlineLevel="1">
      <c r="A88" s="180"/>
      <c r="B88" s="180" t="s">
        <v>226</v>
      </c>
      <c r="C88" s="171"/>
      <c r="D88" s="151"/>
      <c r="E88" s="151"/>
      <c r="F88" s="143"/>
      <c r="G88" s="143"/>
      <c r="H88" s="316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idden="1" outlineLevel="1">
      <c r="A89" s="262"/>
      <c r="B89" s="180" t="s">
        <v>228</v>
      </c>
      <c r="C89" s="171"/>
      <c r="D89" s="151">
        <v>125</v>
      </c>
      <c r="E89" s="151">
        <v>125</v>
      </c>
      <c r="F89" s="143">
        <v>104</v>
      </c>
      <c r="G89" s="143">
        <v>102</v>
      </c>
      <c r="H89" s="316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idden="1" outlineLevel="1">
      <c r="A90" s="262"/>
      <c r="B90" s="180" t="s">
        <v>230</v>
      </c>
      <c r="C90" s="171"/>
      <c r="D90" s="151">
        <v>15</v>
      </c>
      <c r="E90" s="151">
        <v>9</v>
      </c>
      <c r="F90" s="143">
        <v>9</v>
      </c>
      <c r="G90" s="143">
        <v>6</v>
      </c>
      <c r="H90" s="316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idden="1" outlineLevel="1">
      <c r="A91" s="262"/>
      <c r="B91" s="180" t="s">
        <v>232</v>
      </c>
      <c r="C91" s="171"/>
      <c r="D91" s="151">
        <v>5</v>
      </c>
      <c r="E91" s="151">
        <v>6</v>
      </c>
      <c r="F91" s="143">
        <v>8</v>
      </c>
      <c r="G91" s="143">
        <v>8</v>
      </c>
      <c r="H91" s="316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idden="1" outlineLevel="1">
      <c r="A92" s="262"/>
      <c r="B92" s="180" t="s">
        <v>234</v>
      </c>
      <c r="C92" s="171"/>
      <c r="D92" s="151">
        <v>0</v>
      </c>
      <c r="E92" s="151">
        <v>1</v>
      </c>
      <c r="F92" s="143">
        <v>2</v>
      </c>
      <c r="G92" s="143">
        <v>2</v>
      </c>
      <c r="H92" s="316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idden="1" outlineLevel="1">
      <c r="A93" s="262"/>
      <c r="B93" s="180" t="s">
        <v>236</v>
      </c>
      <c r="C93" s="171"/>
      <c r="D93" s="151">
        <v>17</v>
      </c>
      <c r="E93" s="151">
        <v>51</v>
      </c>
      <c r="F93" s="143">
        <v>35</v>
      </c>
      <c r="G93" s="143">
        <v>14</v>
      </c>
      <c r="H93" s="316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idden="1" outlineLevel="1">
      <c r="A94" s="262"/>
      <c r="B94" s="180" t="s">
        <v>238</v>
      </c>
      <c r="C94" s="171"/>
      <c r="D94" s="151">
        <v>162</v>
      </c>
      <c r="E94" s="151">
        <f>SUM(E89:E93)</f>
        <v>192</v>
      </c>
      <c r="F94" s="143">
        <f>SUM(F89:F93)</f>
        <v>158</v>
      </c>
      <c r="G94" s="143">
        <f>SUM(G89:G93)</f>
        <v>132</v>
      </c>
      <c r="H94" s="316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idden="1" outlineLevel="1">
      <c r="A95" s="262"/>
      <c r="B95" s="180" t="s">
        <v>240</v>
      </c>
      <c r="C95" s="171"/>
      <c r="D95" s="151">
        <v>0</v>
      </c>
      <c r="E95" s="151">
        <v>0</v>
      </c>
      <c r="F95" s="143">
        <v>0</v>
      </c>
      <c r="G95" s="143">
        <v>0</v>
      </c>
      <c r="H95" s="316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idden="1" outlineLevel="1">
      <c r="A96" s="262"/>
      <c r="B96" s="180" t="s">
        <v>242</v>
      </c>
      <c r="C96" s="171"/>
      <c r="D96" s="151">
        <f>SUM(D94:D95)</f>
        <v>162</v>
      </c>
      <c r="E96" s="151">
        <f>SUM(E94:E95)</f>
        <v>192</v>
      </c>
      <c r="F96" s="143">
        <f>SUM(F94:F95)</f>
        <v>158</v>
      </c>
      <c r="G96" s="143">
        <f>SUM(G94:G95)</f>
        <v>132</v>
      </c>
      <c r="H96" s="316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idden="1" outlineLevel="1">
      <c r="A97" s="262"/>
      <c r="B97" s="180" t="s">
        <v>244</v>
      </c>
      <c r="C97" s="171"/>
      <c r="D97" s="151">
        <v>-4</v>
      </c>
      <c r="E97" s="151">
        <v>-3</v>
      </c>
      <c r="F97" s="143">
        <v>5</v>
      </c>
      <c r="G97" s="143">
        <v>4</v>
      </c>
      <c r="H97" s="316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idden="1" outlineLevel="1">
      <c r="A98" s="262"/>
      <c r="B98" s="180" t="s">
        <v>246</v>
      </c>
      <c r="C98" s="171"/>
      <c r="D98" s="151"/>
      <c r="E98" s="151">
        <v>0</v>
      </c>
      <c r="F98" s="143">
        <v>0</v>
      </c>
      <c r="G98" s="143">
        <v>0</v>
      </c>
      <c r="H98" s="316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>
      <c r="A99" s="262"/>
      <c r="B99" s="493" t="s">
        <v>374</v>
      </c>
      <c r="C99" s="171"/>
      <c r="D99" s="151">
        <f>SUM(D82:D83)</f>
        <v>-137</v>
      </c>
      <c r="E99" s="151">
        <f t="shared" ref="E99:H99" si="5">SUM(E82:E83)</f>
        <v>-109</v>
      </c>
      <c r="F99" s="143">
        <f t="shared" si="5"/>
        <v>-134</v>
      </c>
      <c r="G99" s="143">
        <f t="shared" si="5"/>
        <v>-98</v>
      </c>
      <c r="H99" s="316">
        <f t="shared" si="5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262"/>
      <c r="B100" s="351"/>
      <c r="C100" s="171"/>
      <c r="D100" s="244"/>
      <c r="E100" s="244"/>
      <c r="F100" s="176"/>
      <c r="G100" s="176"/>
      <c r="H100" s="516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262"/>
      <c r="B101" s="350" t="s">
        <v>304</v>
      </c>
      <c r="C101" s="175"/>
      <c r="D101" s="156">
        <f>SUM(D80,D82,D83)</f>
        <v>78</v>
      </c>
      <c r="E101" s="156">
        <f>SUM(E80,E82,E83)</f>
        <v>334</v>
      </c>
      <c r="F101" s="146">
        <f>SUM(F80,F82,F83)</f>
        <v>576</v>
      </c>
      <c r="G101" s="146">
        <f>SUM(G80,G82,G83)</f>
        <v>490</v>
      </c>
      <c r="H101" s="319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262"/>
      <c r="B102" s="351"/>
      <c r="C102" s="171"/>
      <c r="D102" s="244"/>
      <c r="E102" s="244"/>
      <c r="F102" s="176"/>
      <c r="G102" s="176"/>
      <c r="H102" s="516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outlineLevel="1">
      <c r="A103" s="262"/>
      <c r="B103" s="180" t="s">
        <v>254</v>
      </c>
      <c r="C103" s="171"/>
      <c r="D103" s="151">
        <v>105</v>
      </c>
      <c r="E103" s="151">
        <v>138</v>
      </c>
      <c r="F103" s="143">
        <v>107</v>
      </c>
      <c r="G103" s="143">
        <v>146</v>
      </c>
      <c r="H103" s="316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outlineLevel="1">
      <c r="A104" s="262"/>
      <c r="B104" s="180" t="s">
        <v>256</v>
      </c>
      <c r="C104" s="171"/>
      <c r="D104" s="151">
        <v>23</v>
      </c>
      <c r="E104" s="151">
        <v>25</v>
      </c>
      <c r="F104" s="143">
        <v>26</v>
      </c>
      <c r="G104" s="143">
        <v>30</v>
      </c>
      <c r="H104" s="316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outlineLevel="1">
      <c r="A105" s="262"/>
      <c r="B105" s="180" t="s">
        <v>258</v>
      </c>
      <c r="C105" s="171"/>
      <c r="D105" s="151">
        <v>-17</v>
      </c>
      <c r="E105" s="151">
        <v>4</v>
      </c>
      <c r="F105" s="143">
        <v>-1</v>
      </c>
      <c r="G105" s="143">
        <v>2</v>
      </c>
      <c r="H105" s="316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outlineLevel="1">
      <c r="A106" s="262"/>
      <c r="B106" s="493" t="s">
        <v>260</v>
      </c>
      <c r="C106" s="171"/>
      <c r="D106" s="152">
        <f>SUM(D103:D105)</f>
        <v>111</v>
      </c>
      <c r="E106" s="152">
        <f>SUM(E103:E105)</f>
        <v>167</v>
      </c>
      <c r="F106" s="144">
        <f>SUM(F103:F105)</f>
        <v>132</v>
      </c>
      <c r="G106" s="144">
        <f>SUM(G103:G105)</f>
        <v>178</v>
      </c>
      <c r="H106" s="337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outlineLevel="1">
      <c r="A107" s="262"/>
      <c r="B107" s="180" t="s">
        <v>340</v>
      </c>
      <c r="C107" s="171"/>
      <c r="D107" s="151">
        <v>142</v>
      </c>
      <c r="E107" s="151">
        <v>44</v>
      </c>
      <c r="F107" s="143">
        <v>88</v>
      </c>
      <c r="G107" s="143">
        <v>33</v>
      </c>
      <c r="H107" s="316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idden="1" outlineLevel="1">
      <c r="A108" s="262"/>
      <c r="B108" s="180" t="s">
        <v>341</v>
      </c>
      <c r="C108" s="171"/>
      <c r="D108" s="151">
        <v>-120</v>
      </c>
      <c r="E108" s="151">
        <v>-89</v>
      </c>
      <c r="F108" s="143">
        <v>-28</v>
      </c>
      <c r="G108" s="143">
        <v>-54</v>
      </c>
      <c r="H108" s="316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>
      <c r="A109" s="262"/>
      <c r="B109" s="180" t="s">
        <v>305</v>
      </c>
      <c r="C109" s="171"/>
      <c r="D109" s="151">
        <f>-SUM(D106:D108)</f>
        <v>-133</v>
      </c>
      <c r="E109" s="151">
        <f t="shared" ref="E109:H109" si="6">-SUM(E106:E108)</f>
        <v>-122</v>
      </c>
      <c r="F109" s="143">
        <f t="shared" si="6"/>
        <v>-192</v>
      </c>
      <c r="G109" s="143">
        <f t="shared" si="6"/>
        <v>-157</v>
      </c>
      <c r="H109" s="316">
        <f t="shared" si="6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262"/>
      <c r="B110" s="180" t="s">
        <v>336</v>
      </c>
      <c r="C110" s="171"/>
      <c r="D110" s="151">
        <f>SUM(D111:D112)</f>
        <v>130</v>
      </c>
      <c r="E110" s="151">
        <f t="shared" ref="E110:H110" si="7">SUM(E111:E112)</f>
        <v>20</v>
      </c>
      <c r="F110" s="143">
        <f t="shared" si="7"/>
        <v>-91</v>
      </c>
      <c r="G110" s="143">
        <f t="shared" si="7"/>
        <v>11</v>
      </c>
      <c r="H110" s="316">
        <f t="shared" si="7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>
      <c r="A111" s="262"/>
      <c r="B111" s="180" t="s">
        <v>269</v>
      </c>
      <c r="C111" s="171"/>
      <c r="D111" s="151">
        <v>0</v>
      </c>
      <c r="E111" s="151">
        <v>19</v>
      </c>
      <c r="F111" s="143">
        <v>-85</v>
      </c>
      <c r="G111" s="143">
        <v>21</v>
      </c>
      <c r="H111" s="316">
        <v>1</v>
      </c>
      <c r="I111" s="1"/>
      <c r="J111" s="124"/>
      <c r="K111" s="1"/>
      <c r="L111" s="1"/>
      <c r="M111" s="1"/>
      <c r="N111" s="1"/>
      <c r="O111" s="1"/>
      <c r="P111" s="1"/>
      <c r="Q111" s="1"/>
      <c r="R111" s="1"/>
    </row>
    <row r="112" spans="1:18" outlineLevel="1">
      <c r="A112" s="262"/>
      <c r="B112" s="180" t="s">
        <v>273</v>
      </c>
      <c r="C112" s="171"/>
      <c r="D112" s="151">
        <v>130</v>
      </c>
      <c r="E112" s="151">
        <v>1</v>
      </c>
      <c r="F112" s="143">
        <v>-6</v>
      </c>
      <c r="G112" s="143">
        <v>-10</v>
      </c>
      <c r="H112" s="316">
        <v>-4</v>
      </c>
      <c r="I112" s="1"/>
      <c r="J112" s="140"/>
      <c r="K112" s="1"/>
      <c r="L112" s="1"/>
      <c r="M112" s="1"/>
      <c r="N112" s="1"/>
      <c r="O112" s="1"/>
      <c r="P112" s="1"/>
      <c r="Q112" s="1"/>
      <c r="R112" s="1"/>
    </row>
    <row r="113" spans="1:18">
      <c r="A113" s="262"/>
      <c r="B113" s="180"/>
      <c r="C113" s="171"/>
      <c r="D113" s="151"/>
      <c r="E113" s="151"/>
      <c r="F113" s="143"/>
      <c r="G113" s="143"/>
      <c r="H113" s="316"/>
      <c r="I113" s="1"/>
      <c r="J113" s="141"/>
      <c r="K113" s="1"/>
      <c r="L113" s="1"/>
      <c r="M113" s="1"/>
      <c r="N113" s="1"/>
      <c r="O113" s="1"/>
      <c r="P113" s="1"/>
      <c r="Q113" s="1"/>
      <c r="R113" s="1"/>
    </row>
    <row r="114" spans="1:18" ht="15" thickBot="1">
      <c r="A114" s="274"/>
      <c r="B114" s="357" t="s">
        <v>337</v>
      </c>
      <c r="C114" s="358"/>
      <c r="D114" s="340">
        <f>SUM(D101,D109:D110)</f>
        <v>75</v>
      </c>
      <c r="E114" s="340">
        <f>SUM(E101,E109:E110)</f>
        <v>232</v>
      </c>
      <c r="F114" s="500">
        <f>SUM(F101,F109:F110)</f>
        <v>293</v>
      </c>
      <c r="G114" s="500">
        <f>SUM(G101,G109:G110)</f>
        <v>344</v>
      </c>
      <c r="H114" s="341">
        <f>SUM(H101,H109:H110)</f>
        <v>389</v>
      </c>
      <c r="I114" s="124"/>
      <c r="J114" s="14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8"/>
      <c r="D115" s="5"/>
      <c r="E115" s="5"/>
      <c r="F115" s="124"/>
      <c r="G115" s="124"/>
      <c r="H115" s="124"/>
      <c r="I115" s="140"/>
      <c r="J115" s="142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8"/>
      <c r="D116" s="5"/>
      <c r="E116" s="5"/>
      <c r="F116" s="140"/>
      <c r="G116" s="140"/>
      <c r="H116" s="140"/>
      <c r="I116" s="141"/>
      <c r="J116" s="14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5"/>
      <c r="D117" s="5"/>
      <c r="E117" s="5"/>
      <c r="F117" s="141"/>
      <c r="G117" s="141"/>
      <c r="H117" s="141"/>
      <c r="I117" s="141"/>
      <c r="J117" s="141"/>
      <c r="K117" s="1"/>
      <c r="L117" s="1"/>
      <c r="M117" s="1"/>
      <c r="N117" s="1"/>
      <c r="O117" s="1"/>
      <c r="P117" s="1"/>
      <c r="Q117" s="1"/>
      <c r="R117" s="1"/>
    </row>
    <row r="118" spans="1:18" ht="15" thickBot="1">
      <c r="A118" s="1"/>
      <c r="B118" s="1"/>
      <c r="C118" s="5"/>
      <c r="D118" s="5"/>
      <c r="E118" s="5"/>
      <c r="F118" s="141"/>
      <c r="G118" s="141"/>
      <c r="H118" s="141"/>
      <c r="I118" s="142"/>
      <c r="J118" s="141"/>
      <c r="K118" s="55"/>
      <c r="L118" s="1"/>
      <c r="M118" s="1"/>
      <c r="N118" s="1"/>
      <c r="O118" s="1"/>
      <c r="P118" s="1"/>
      <c r="Q118" s="1"/>
      <c r="R118" s="1"/>
    </row>
    <row r="119" spans="1:18" ht="24.6">
      <c r="A119" s="254"/>
      <c r="B119" s="255" t="s">
        <v>347</v>
      </c>
      <c r="C119" s="256"/>
      <c r="D119" s="257"/>
      <c r="E119" s="257"/>
      <c r="F119" s="257"/>
      <c r="G119" s="258"/>
      <c r="H119" s="142"/>
      <c r="I119" s="141"/>
      <c r="J119" s="141"/>
      <c r="K119" s="55"/>
      <c r="L119" s="1"/>
      <c r="M119" s="1"/>
      <c r="N119" s="1"/>
      <c r="O119" s="1"/>
      <c r="P119" s="1"/>
      <c r="Q119" s="1"/>
      <c r="R119" s="1"/>
    </row>
    <row r="120" spans="1:18">
      <c r="A120" s="259"/>
      <c r="B120" s="252"/>
      <c r="C120" s="64"/>
      <c r="D120" s="684" t="s">
        <v>163</v>
      </c>
      <c r="E120" s="684"/>
      <c r="F120" s="684"/>
      <c r="G120" s="685"/>
      <c r="H120" s="141"/>
      <c r="I120" s="141"/>
      <c r="J120" s="141"/>
      <c r="K120" s="55"/>
      <c r="L120" s="1"/>
      <c r="M120" s="1"/>
      <c r="N120" s="1"/>
      <c r="O120" s="1"/>
      <c r="P120" s="1"/>
      <c r="Q120" s="1"/>
      <c r="R120" s="1"/>
    </row>
    <row r="121" spans="1:18">
      <c r="A121" s="260"/>
      <c r="B121" s="253"/>
      <c r="C121" s="125" t="s">
        <v>1</v>
      </c>
      <c r="D121" s="112">
        <v>42735</v>
      </c>
      <c r="E121" s="112">
        <v>43100</v>
      </c>
      <c r="F121" s="112">
        <v>43465</v>
      </c>
      <c r="G121" s="261">
        <v>43830</v>
      </c>
      <c r="H121" s="141"/>
      <c r="I121" s="141"/>
      <c r="J121" s="141"/>
      <c r="K121" s="55"/>
      <c r="L121" s="1"/>
      <c r="M121" s="1"/>
      <c r="N121" s="1"/>
      <c r="O121" s="1"/>
      <c r="P121" s="1"/>
      <c r="Q121" s="1"/>
      <c r="R121" s="1"/>
    </row>
    <row r="122" spans="1:18">
      <c r="A122" s="262"/>
      <c r="B122" s="5"/>
      <c r="C122" s="5"/>
      <c r="D122" s="31"/>
      <c r="E122" s="29"/>
      <c r="F122" s="29"/>
      <c r="G122" s="263"/>
      <c r="H122" s="141"/>
      <c r="I122" s="141"/>
      <c r="J122" s="141"/>
      <c r="K122" s="55"/>
      <c r="L122" s="1"/>
      <c r="M122" s="1"/>
      <c r="N122" s="1"/>
      <c r="O122" s="1"/>
      <c r="P122" s="1"/>
      <c r="Q122" s="1"/>
      <c r="R122" s="1"/>
    </row>
    <row r="123" spans="1:18">
      <c r="A123" s="262"/>
      <c r="B123" s="8" t="s">
        <v>303</v>
      </c>
      <c r="C123" s="5"/>
      <c r="D123" s="183">
        <v>443</v>
      </c>
      <c r="E123" s="184">
        <v>710</v>
      </c>
      <c r="F123" s="184">
        <v>588</v>
      </c>
      <c r="G123" s="264">
        <v>687</v>
      </c>
      <c r="H123" s="141"/>
      <c r="I123" s="141"/>
      <c r="J123" s="141"/>
      <c r="K123" s="55"/>
      <c r="L123" s="1"/>
      <c r="M123" s="1"/>
      <c r="N123" s="1"/>
      <c r="O123" s="1"/>
      <c r="P123" s="1"/>
      <c r="Q123" s="1"/>
      <c r="R123" s="1"/>
    </row>
    <row r="124" spans="1:18">
      <c r="A124" s="262"/>
      <c r="B124" s="5" t="s">
        <v>348</v>
      </c>
      <c r="C124" s="5"/>
      <c r="D124" s="185">
        <v>-122</v>
      </c>
      <c r="E124" s="186">
        <v>-192</v>
      </c>
      <c r="F124" s="186">
        <v>-157</v>
      </c>
      <c r="G124" s="265">
        <v>-189</v>
      </c>
      <c r="H124" s="141"/>
      <c r="I124" s="141"/>
      <c r="J124" s="141"/>
      <c r="K124" s="55"/>
      <c r="L124" s="1"/>
      <c r="M124" s="1"/>
      <c r="N124" s="1"/>
      <c r="O124" s="1"/>
      <c r="P124" s="1"/>
      <c r="Q124" s="1"/>
      <c r="R124" s="1"/>
    </row>
    <row r="125" spans="1:18">
      <c r="A125" s="262"/>
      <c r="B125" s="5" t="s">
        <v>377</v>
      </c>
      <c r="C125" s="5"/>
      <c r="D125" s="250" t="e">
        <f>-'Reorganised Statements'!E217*('Reorganised Statements'!E227/'Reorganised Statements'!E219)</f>
        <v>#DIV/0!</v>
      </c>
      <c r="E125" s="251" t="e">
        <f>-'Reorganised Statements'!F217*('Reorganised Statements'!F227/'Reorganised Statements'!F219)</f>
        <v>#DIV/0!</v>
      </c>
      <c r="F125" s="251" t="e">
        <f>-'Reorganised Statements'!G217*('Reorganised Statements'!G227/'Reorganised Statements'!G219)</f>
        <v>#DIV/0!</v>
      </c>
      <c r="G125" s="266" t="e">
        <f>-'Reorganised Statements'!H217*('Reorganised Statements'!H227/'Reorganised Statements'!H219)</f>
        <v>#DIV/0!</v>
      </c>
      <c r="H125" s="141"/>
      <c r="I125" s="141"/>
      <c r="J125" s="141"/>
      <c r="K125" s="55"/>
      <c r="L125" s="1"/>
      <c r="M125" s="1"/>
      <c r="N125" s="1"/>
      <c r="O125" s="1"/>
      <c r="P125" s="1"/>
      <c r="Q125" s="1"/>
      <c r="R125" s="1"/>
    </row>
    <row r="126" spans="1:18">
      <c r="A126" s="262"/>
      <c r="B126" s="24" t="s">
        <v>349</v>
      </c>
      <c r="C126" s="25"/>
      <c r="D126" s="187" t="e">
        <f>SUM(D123:D125)</f>
        <v>#DIV/0!</v>
      </c>
      <c r="E126" s="188" t="e">
        <f t="shared" ref="E126:G126" si="8">SUM(E123:E125)</f>
        <v>#DIV/0!</v>
      </c>
      <c r="F126" s="188" t="e">
        <f t="shared" si="8"/>
        <v>#DIV/0!</v>
      </c>
      <c r="G126" s="267" t="e">
        <f t="shared" si="8"/>
        <v>#DIV/0!</v>
      </c>
      <c r="H126" s="141"/>
      <c r="I126" s="141"/>
      <c r="J126" s="141"/>
      <c r="K126" s="55"/>
      <c r="L126" s="1"/>
      <c r="M126" s="1"/>
      <c r="N126" s="1"/>
      <c r="O126" s="1"/>
      <c r="P126" s="1"/>
      <c r="Q126" s="1"/>
      <c r="R126" s="1"/>
    </row>
    <row r="127" spans="1:18">
      <c r="A127" s="262"/>
      <c r="B127" s="5"/>
      <c r="C127" s="5"/>
      <c r="D127" s="185"/>
      <c r="E127" s="186"/>
      <c r="F127" s="186"/>
      <c r="G127" s="265"/>
      <c r="H127" s="141"/>
      <c r="I127" s="141"/>
      <c r="J127" s="141"/>
      <c r="K127" s="55"/>
      <c r="L127" s="1"/>
      <c r="M127" s="1"/>
      <c r="N127" s="1"/>
      <c r="O127" s="1"/>
      <c r="P127" s="1"/>
      <c r="Q127" s="1"/>
      <c r="R127" s="1"/>
    </row>
    <row r="128" spans="1:18">
      <c r="A128" s="262"/>
      <c r="B128" s="5" t="s">
        <v>371</v>
      </c>
      <c r="C128" s="5"/>
      <c r="D128" s="185">
        <f ca="1">'Reorganised Statements'!D128-'Reorganised Statements'!E128</f>
        <v>25</v>
      </c>
      <c r="E128" s="186">
        <f ca="1">'Reorganised Statements'!E128-'Reorganised Statements'!F128</f>
        <v>12</v>
      </c>
      <c r="F128" s="186">
        <f ca="1">'Reorganised Statements'!F128-'Reorganised Statements'!G128</f>
        <v>-40</v>
      </c>
      <c r="G128" s="265">
        <f ca="1">'Reorganised Statements'!G128-'Reorganised Statements'!H128</f>
        <v>3</v>
      </c>
      <c r="H128" s="141"/>
      <c r="I128" s="141"/>
      <c r="J128" s="142"/>
      <c r="K128" s="55"/>
      <c r="L128" s="1"/>
      <c r="M128" s="1"/>
      <c r="N128" s="1"/>
      <c r="O128" s="1"/>
      <c r="P128" s="1"/>
      <c r="Q128" s="1"/>
      <c r="R128" s="1"/>
    </row>
    <row r="129" spans="1:18">
      <c r="A129" s="262"/>
      <c r="B129" s="5" t="s">
        <v>350</v>
      </c>
      <c r="C129" s="5"/>
      <c r="D129" s="185">
        <f ca="1">'Reorganised Statements'!D129-'Reorganised Statements'!E129</f>
        <v>-336</v>
      </c>
      <c r="E129" s="186">
        <f ca="1">'Reorganised Statements'!E129-'Reorganised Statements'!F129</f>
        <v>150</v>
      </c>
      <c r="F129" s="186">
        <f ca="1">'Reorganised Statements'!F129-'Reorganised Statements'!G129</f>
        <v>-110</v>
      </c>
      <c r="G129" s="265">
        <f ca="1">'Reorganised Statements'!G129-'Reorganised Statements'!H129</f>
        <v>-71</v>
      </c>
      <c r="H129" s="141"/>
      <c r="I129" s="141"/>
      <c r="J129" s="141"/>
      <c r="K129" s="55"/>
      <c r="L129" s="1"/>
      <c r="M129" s="1"/>
      <c r="N129" s="1"/>
      <c r="O129" s="1"/>
      <c r="P129" s="1"/>
      <c r="Q129" s="1"/>
      <c r="R129" s="1"/>
    </row>
    <row r="130" spans="1:18">
      <c r="A130" s="262"/>
      <c r="B130" s="5" t="s">
        <v>370</v>
      </c>
      <c r="C130" s="5"/>
      <c r="D130" s="185">
        <f ca="1">'Reorganised Statements'!D130-'Reorganised Statements'!E130</f>
        <v>214</v>
      </c>
      <c r="E130" s="186">
        <f ca="1">'Reorganised Statements'!E130-'Reorganised Statements'!F130</f>
        <v>-3</v>
      </c>
      <c r="F130" s="186">
        <f ca="1">'Reorganised Statements'!F130-'Reorganised Statements'!G130</f>
        <v>32</v>
      </c>
      <c r="G130" s="265">
        <f ca="1">'Reorganised Statements'!G130-'Reorganised Statements'!H130</f>
        <v>68</v>
      </c>
      <c r="H130" s="141"/>
      <c r="I130" s="141"/>
      <c r="J130" s="140"/>
      <c r="K130" s="55"/>
      <c r="L130" s="1"/>
      <c r="M130" s="1"/>
      <c r="N130" s="1"/>
      <c r="O130" s="1"/>
      <c r="P130" s="1"/>
      <c r="Q130" s="1"/>
      <c r="R130" s="1"/>
    </row>
    <row r="131" spans="1:18">
      <c r="A131" s="262"/>
      <c r="B131" s="24" t="s">
        <v>372</v>
      </c>
      <c r="C131" s="25"/>
      <c r="D131" s="187">
        <f ca="1">SUM(D128:D130)</f>
        <v>-97</v>
      </c>
      <c r="E131" s="188">
        <f t="shared" ref="E131:F131" ca="1" si="9">SUM(E128:E130)</f>
        <v>159</v>
      </c>
      <c r="F131" s="188">
        <f t="shared" ca="1" si="9"/>
        <v>-118</v>
      </c>
      <c r="G131" s="267">
        <f ca="1">SUM(G128:G130)</f>
        <v>0</v>
      </c>
      <c r="H131" s="141"/>
      <c r="I131" s="142"/>
      <c r="J131" s="141"/>
      <c r="K131" s="55"/>
      <c r="L131" s="1"/>
      <c r="M131" s="1"/>
      <c r="N131" s="1"/>
      <c r="O131" s="1"/>
      <c r="P131" s="1"/>
      <c r="Q131" s="1"/>
      <c r="R131" s="1"/>
    </row>
    <row r="132" spans="1:18">
      <c r="A132" s="262"/>
      <c r="B132" s="5"/>
      <c r="C132" s="5"/>
      <c r="D132" s="185"/>
      <c r="E132" s="186"/>
      <c r="F132" s="186"/>
      <c r="G132" s="265"/>
      <c r="H132" s="142"/>
      <c r="I132" s="141"/>
      <c r="J132" s="140"/>
      <c r="K132" s="55"/>
      <c r="L132" s="1"/>
      <c r="M132" s="1"/>
      <c r="N132" s="1"/>
      <c r="O132" s="1"/>
      <c r="P132" s="1"/>
      <c r="Q132" s="1"/>
      <c r="R132" s="1"/>
    </row>
    <row r="133" spans="1:18">
      <c r="A133" s="262"/>
      <c r="B133" s="5" t="s">
        <v>351</v>
      </c>
      <c r="C133" s="5"/>
      <c r="D133" s="185">
        <f ca="1">'Reorganised Statements'!D133-'Reorganised Statements'!E133</f>
        <v>-59</v>
      </c>
      <c r="E133" s="186">
        <f ca="1">'Reorganised Statements'!E133-'Reorganised Statements'!F133</f>
        <v>132</v>
      </c>
      <c r="F133" s="186">
        <f ca="1">'Reorganised Statements'!F133-'Reorganised Statements'!G133</f>
        <v>53</v>
      </c>
      <c r="G133" s="265">
        <f ca="1">'Reorganised Statements'!G133-'Reorganised Statements'!H133</f>
        <v>-155</v>
      </c>
      <c r="H133" s="141"/>
      <c r="I133" s="140"/>
      <c r="J133" s="154"/>
      <c r="K133" s="55"/>
      <c r="L133" s="1"/>
      <c r="M133" s="1"/>
      <c r="N133" s="1"/>
      <c r="O133" s="1"/>
      <c r="P133" s="1"/>
      <c r="Q133" s="1"/>
      <c r="R133" s="1"/>
    </row>
    <row r="134" spans="1:18">
      <c r="A134" s="262"/>
      <c r="B134" s="5" t="s">
        <v>352</v>
      </c>
      <c r="C134" s="5"/>
      <c r="D134" s="185" t="e">
        <f>'Reorganised Statements'!D139-'Reorganised Statements'!E139</f>
        <v>#DIV/0!</v>
      </c>
      <c r="E134" s="186" t="e">
        <f>'Reorganised Statements'!E139-'Reorganised Statements'!F139</f>
        <v>#DIV/0!</v>
      </c>
      <c r="F134" s="186" t="e">
        <f>'Reorganised Statements'!F139-'Reorganised Statements'!G139</f>
        <v>#DIV/0!</v>
      </c>
      <c r="G134" s="265" t="e">
        <f>'Reorganised Statements'!G139-'Reorganised Statements'!H139</f>
        <v>#DIV/0!</v>
      </c>
      <c r="H134" s="140"/>
      <c r="I134" s="141"/>
      <c r="J134" s="141"/>
      <c r="K134" s="55"/>
    </row>
    <row r="135" spans="1:18">
      <c r="A135" s="262"/>
      <c r="B135" s="24" t="s">
        <v>373</v>
      </c>
      <c r="C135" s="25"/>
      <c r="D135" s="187">
        <f ca="1">SUM(D131,D133:D134)</f>
        <v>54</v>
      </c>
      <c r="E135" s="188">
        <f t="shared" ref="E135:G135" ca="1" si="10">SUM(E131,E133:E134)</f>
        <v>71</v>
      </c>
      <c r="F135" s="188">
        <f t="shared" ca="1" si="10"/>
        <v>25</v>
      </c>
      <c r="G135" s="267">
        <f t="shared" ca="1" si="10"/>
        <v>81</v>
      </c>
      <c r="H135" s="141"/>
      <c r="I135" s="140"/>
      <c r="J135" s="141"/>
      <c r="K135" s="55"/>
    </row>
    <row r="136" spans="1:18">
      <c r="A136" s="262"/>
      <c r="B136" s="5"/>
      <c r="C136" s="5"/>
      <c r="D136" s="185"/>
      <c r="E136" s="186"/>
      <c r="F136" s="186"/>
      <c r="G136" s="265"/>
      <c r="H136" s="140"/>
      <c r="I136" s="154"/>
      <c r="J136" s="141"/>
      <c r="K136" s="55"/>
    </row>
    <row r="137" spans="1:18">
      <c r="A137" s="262"/>
      <c r="B137" s="5" t="s">
        <v>353</v>
      </c>
      <c r="C137" s="5"/>
      <c r="D137" s="185">
        <f>('Reorganised Statements'!D123+'Reorganised Statements'!D124)-('Reorganised Statements'!E123+'Reorganised Statements'!E124)+'Reorganised Statements'!E190</f>
        <v>-197</v>
      </c>
      <c r="E137" s="186">
        <f>('Reorganised Statements'!E123+'Reorganised Statements'!E124)-('Reorganised Statements'!F123+'Reorganised Statements'!F124)+'Reorganised Statements'!F190</f>
        <v>87</v>
      </c>
      <c r="F137" s="186">
        <f>('Reorganised Statements'!F123+'Reorganised Statements'!F124)-('Reorganised Statements'!G123+'Reorganised Statements'!G124)+'Reorganised Statements'!G190</f>
        <v>-67</v>
      </c>
      <c r="G137" s="265">
        <f>('Reorganised Statements'!G123+'Reorganised Statements'!G124)-('Reorganised Statements'!H123+'Reorganised Statements'!H124)+'Reorganised Statements'!H190</f>
        <v>498</v>
      </c>
      <c r="H137" s="154"/>
      <c r="I137" s="141"/>
      <c r="J137" s="141"/>
      <c r="K137" s="55"/>
    </row>
    <row r="138" spans="1:18">
      <c r="A138" s="262"/>
      <c r="B138" s="5" t="s">
        <v>354</v>
      </c>
      <c r="C138" s="5"/>
      <c r="D138" s="185">
        <v>648</v>
      </c>
      <c r="E138" s="186">
        <v>444</v>
      </c>
      <c r="F138" s="186">
        <v>623</v>
      </c>
      <c r="G138" s="265">
        <v>511</v>
      </c>
      <c r="H138" s="141"/>
      <c r="I138" s="141"/>
      <c r="J138" s="142"/>
      <c r="K138" s="55"/>
    </row>
    <row r="139" spans="1:18">
      <c r="A139" s="262"/>
      <c r="B139" s="5" t="s">
        <v>355</v>
      </c>
      <c r="C139" s="5"/>
      <c r="D139" s="185" t="e">
        <f>'Reorganised Statements'!D148-'Reorganised Statements'!E148</f>
        <v>#DIV/0!</v>
      </c>
      <c r="E139" s="185" t="e">
        <f>'Reorganised Statements'!E148-'Reorganised Statements'!F148</f>
        <v>#DIV/0!</v>
      </c>
      <c r="F139" s="185" t="e">
        <f>'Reorganised Statements'!F148-'Reorganised Statements'!G148</f>
        <v>#DIV/0!</v>
      </c>
      <c r="G139" s="268" t="e">
        <f>'Reorganised Statements'!G148-'Reorganised Statements'!H148</f>
        <v>#DIV/0!</v>
      </c>
      <c r="H139" s="141"/>
      <c r="I139" s="141"/>
      <c r="J139" s="141"/>
      <c r="K139" s="55"/>
    </row>
    <row r="140" spans="1:18">
      <c r="A140" s="262"/>
      <c r="B140" s="5" t="s">
        <v>356</v>
      </c>
      <c r="C140" s="5"/>
      <c r="D140" s="185">
        <f>'Reorganised Statements'!D147-'Reorganised Statements'!E147</f>
        <v>-879</v>
      </c>
      <c r="E140" s="185">
        <f>'Reorganised Statements'!E147-'Reorganised Statements'!F147</f>
        <v>233</v>
      </c>
      <c r="F140" s="185">
        <f>'Reorganised Statements'!F147-'Reorganised Statements'!G147</f>
        <v>313</v>
      </c>
      <c r="G140" s="268">
        <f>'Reorganised Statements'!G147-'Reorganised Statements'!H147</f>
        <v>-190</v>
      </c>
      <c r="H140" s="141"/>
      <c r="I140" s="141"/>
      <c r="J140" s="141"/>
      <c r="K140" s="55"/>
    </row>
    <row r="141" spans="1:18">
      <c r="A141" s="262"/>
      <c r="B141" s="5" t="s">
        <v>369</v>
      </c>
      <c r="C141" s="5"/>
      <c r="D141" s="185" t="e">
        <f>'Reorganised Statements'!D146-'Reorganised Statements'!E146</f>
        <v>#DIV/0!</v>
      </c>
      <c r="E141" s="185" t="e">
        <f>'Reorganised Statements'!E146-'Reorganised Statements'!F146</f>
        <v>#DIV/0!</v>
      </c>
      <c r="F141" s="185" t="e">
        <f>'Reorganised Statements'!F146-'Reorganised Statements'!G146</f>
        <v>#DIV/0!</v>
      </c>
      <c r="G141" s="268" t="e">
        <f>'Reorganised Statements'!G146-'Reorganised Statements'!H146</f>
        <v>#DIV/0!</v>
      </c>
      <c r="H141" s="141"/>
      <c r="I141" s="142"/>
      <c r="J141" s="140"/>
      <c r="K141" s="55"/>
    </row>
    <row r="142" spans="1:18">
      <c r="A142" s="262"/>
      <c r="B142" s="5" t="s">
        <v>357</v>
      </c>
      <c r="C142" s="5"/>
      <c r="D142" s="185">
        <v>20</v>
      </c>
      <c r="E142" s="186">
        <v>-91</v>
      </c>
      <c r="F142" s="186">
        <v>11</v>
      </c>
      <c r="G142" s="265">
        <v>-3</v>
      </c>
      <c r="H142" s="142"/>
      <c r="I142" s="141"/>
      <c r="J142" s="140"/>
      <c r="K142" s="55"/>
    </row>
    <row r="143" spans="1:18">
      <c r="A143" s="262"/>
      <c r="B143" s="18" t="s">
        <v>358</v>
      </c>
      <c r="C143" s="20"/>
      <c r="D143" s="189">
        <f ca="1">D126+D135+SUM(D137:D142)</f>
        <v>32.18562874251495</v>
      </c>
      <c r="E143" s="189">
        <f t="shared" ref="E143:G143" ca="1" si="11">E126+E135+SUM(E137:E142)</f>
        <v>765.33333333333326</v>
      </c>
      <c r="F143" s="189">
        <f t="shared" ca="1" si="11"/>
        <v>31.600000000000023</v>
      </c>
      <c r="G143" s="269">
        <f t="shared" ca="1" si="11"/>
        <v>229.51807228915663</v>
      </c>
      <c r="H143" s="141"/>
      <c r="I143" s="141"/>
      <c r="J143" s="140"/>
      <c r="K143" s="55"/>
    </row>
    <row r="144" spans="1:18">
      <c r="A144" s="262"/>
      <c r="B144" s="5" t="s">
        <v>359</v>
      </c>
      <c r="C144" s="5"/>
      <c r="D144" s="193">
        <f ca="1">-D143/D123</f>
        <v>-7.2653789486489734E-2</v>
      </c>
      <c r="E144" s="193">
        <f t="shared" ref="E144:G144" ca="1" si="12">E143/E123</f>
        <v>1.0779342723004695</v>
      </c>
      <c r="F144" s="193">
        <f t="shared" ca="1" si="12"/>
        <v>5.3741496598639492E-2</v>
      </c>
      <c r="G144" s="270">
        <f t="shared" ca="1" si="12"/>
        <v>0.33408744146893249</v>
      </c>
      <c r="H144" s="141"/>
      <c r="I144" s="140"/>
      <c r="J144" s="140"/>
      <c r="K144" s="55"/>
    </row>
    <row r="145" spans="1:11">
      <c r="A145" s="262"/>
      <c r="B145" s="5"/>
      <c r="C145" s="5"/>
      <c r="D145" s="185"/>
      <c r="E145" s="186"/>
      <c r="F145" s="186"/>
      <c r="G145" s="265"/>
      <c r="H145" s="140"/>
      <c r="I145" s="140"/>
      <c r="J145" s="141"/>
      <c r="K145" s="55"/>
    </row>
    <row r="146" spans="1:11">
      <c r="A146" s="262"/>
      <c r="B146" s="5" t="s">
        <v>360</v>
      </c>
      <c r="C146" s="5"/>
      <c r="D146" s="185" t="e">
        <f>('Reorganised Statements'!D125-'Reorganised Statements'!E125)+'Reorganised Statements'!E217</f>
        <v>#DIV/0!</v>
      </c>
      <c r="E146" s="185" t="e">
        <f>('Reorganised Statements'!E125-'Reorganised Statements'!F125)+'Reorganised Statements'!F217</f>
        <v>#DIV/0!</v>
      </c>
      <c r="F146" s="185" t="e">
        <f>('Reorganised Statements'!F125-'Reorganised Statements'!G125)+'Reorganised Statements'!G217</f>
        <v>#DIV/0!</v>
      </c>
      <c r="G146" s="185" t="e">
        <f>('Reorganised Statements'!G125-'Reorganised Statements'!H125)+'Reorganised Statements'!H217</f>
        <v>#DIV/0!</v>
      </c>
      <c r="H146" s="140"/>
      <c r="I146" s="140"/>
      <c r="J146" s="141"/>
      <c r="K146" s="55"/>
    </row>
    <row r="147" spans="1:11">
      <c r="A147" s="262"/>
      <c r="B147" s="5" t="s">
        <v>361</v>
      </c>
      <c r="C147" s="5"/>
      <c r="D147" s="185">
        <f>'Reorganised Statements'!D157-'Reorganised Statements'!E157</f>
        <v>-523</v>
      </c>
      <c r="E147" s="185">
        <f>'Reorganised Statements'!E157-'Reorganised Statements'!F157</f>
        <v>356</v>
      </c>
      <c r="F147" s="185">
        <f>'Reorganised Statements'!F157-'Reorganised Statements'!G157</f>
        <v>123</v>
      </c>
      <c r="G147" s="268">
        <f>'Reorganised Statements'!G157-'Reorganised Statements'!H157</f>
        <v>-190</v>
      </c>
      <c r="H147" s="140"/>
      <c r="I147" s="140"/>
      <c r="J147" s="141"/>
      <c r="K147" s="55"/>
    </row>
    <row r="148" spans="1:11">
      <c r="A148" s="262"/>
      <c r="B148" s="5" t="s">
        <v>378</v>
      </c>
      <c r="C148" s="5"/>
      <c r="D148" s="185" t="e">
        <f>-D125</f>
        <v>#DIV/0!</v>
      </c>
      <c r="E148" s="185" t="e">
        <f t="shared" ref="E148:G148" si="13">-E125</f>
        <v>#DIV/0!</v>
      </c>
      <c r="F148" s="185" t="e">
        <f t="shared" si="13"/>
        <v>#DIV/0!</v>
      </c>
      <c r="G148" s="268" t="e">
        <f t="shared" si="13"/>
        <v>#DIV/0!</v>
      </c>
      <c r="H148" s="141"/>
      <c r="I148" s="141"/>
      <c r="J148" s="141"/>
      <c r="K148" s="55"/>
    </row>
    <row r="149" spans="1:11">
      <c r="A149" s="262"/>
      <c r="B149" s="18" t="s">
        <v>362</v>
      </c>
      <c r="C149" s="20"/>
      <c r="D149" s="189">
        <f ca="1">D143+D146+D147+D148</f>
        <v>-22.000000000000021</v>
      </c>
      <c r="E149" s="190">
        <f t="shared" ref="E149:G149" ca="1" si="14">E143+E146+E147+E148</f>
        <v>847.99999999999989</v>
      </c>
      <c r="F149" s="190">
        <f t="shared" ca="1" si="14"/>
        <v>-232.99999999999997</v>
      </c>
      <c r="G149" s="271">
        <f t="shared" ca="1" si="14"/>
        <v>71</v>
      </c>
      <c r="H149" s="141"/>
      <c r="I149" s="141"/>
      <c r="J149" s="141"/>
      <c r="K149" s="55"/>
    </row>
    <row r="150" spans="1:11">
      <c r="A150" s="262"/>
      <c r="B150" s="5" t="s">
        <v>363</v>
      </c>
      <c r="C150" s="5"/>
      <c r="D150" s="185"/>
      <c r="E150" s="186"/>
      <c r="F150" s="186"/>
      <c r="G150" s="265"/>
      <c r="H150" s="141"/>
      <c r="I150" s="141"/>
      <c r="J150" s="141"/>
      <c r="K150" s="55"/>
    </row>
    <row r="151" spans="1:11">
      <c r="A151" s="262"/>
      <c r="B151" s="5"/>
      <c r="C151" s="5"/>
      <c r="D151" s="191"/>
      <c r="E151" s="192"/>
      <c r="F151" s="192"/>
      <c r="G151" s="272"/>
      <c r="H151" s="141"/>
      <c r="I151" s="141"/>
      <c r="J151" s="141"/>
      <c r="K151" s="55"/>
    </row>
    <row r="152" spans="1:11">
      <c r="A152" s="262"/>
      <c r="B152" s="5" t="s">
        <v>364</v>
      </c>
      <c r="C152" s="5"/>
      <c r="D152" s="192">
        <f ca="1">('Reorganised Statements'!D153-'Reorganised Statements'!E153)-'Reorganised Statements'!E232</f>
        <v>-212</v>
      </c>
      <c r="E152" s="192">
        <f ca="1">('Reorganised Statements'!E153-'Reorganised Statements'!F153)-'Reorganised Statements'!F232</f>
        <v>-559</v>
      </c>
      <c r="F152" s="192">
        <f ca="1">('Reorganised Statements'!F153-'Reorganised Statements'!G153)-'Reorganised Statements'!G232</f>
        <v>166</v>
      </c>
      <c r="G152" s="272">
        <f ca="1">('Reorganised Statements'!G153-'Reorganised Statements'!H153)-'Reorganised Statements'!H232</f>
        <v>-261</v>
      </c>
      <c r="H152" s="141"/>
      <c r="I152" s="141"/>
      <c r="J152" s="141"/>
      <c r="K152" s="55"/>
    </row>
    <row r="153" spans="1:11">
      <c r="A153" s="262"/>
      <c r="B153" s="8" t="s">
        <v>365</v>
      </c>
      <c r="C153" s="5"/>
      <c r="D153" s="191">
        <f ca="1">D149+D152</f>
        <v>-234.00000000000003</v>
      </c>
      <c r="E153" s="191">
        <f t="shared" ref="E153:G153" ca="1" si="15">E149+E152</f>
        <v>288.99999999999989</v>
      </c>
      <c r="F153" s="191">
        <f t="shared" ca="1" si="15"/>
        <v>-66.999999999999972</v>
      </c>
      <c r="G153" s="273">
        <f t="shared" ca="1" si="15"/>
        <v>-190</v>
      </c>
      <c r="H153" s="141"/>
      <c r="I153" s="141"/>
      <c r="J153" s="141"/>
      <c r="K153" s="55"/>
    </row>
    <row r="154" spans="1:11">
      <c r="A154" s="262"/>
      <c r="B154" s="5"/>
      <c r="C154" s="5"/>
      <c r="D154" s="191"/>
      <c r="E154" s="192"/>
      <c r="F154" s="192"/>
      <c r="G154" s="272"/>
      <c r="H154" s="141"/>
      <c r="I154" s="141"/>
      <c r="J154" s="141"/>
      <c r="K154" s="55"/>
    </row>
    <row r="155" spans="1:11">
      <c r="A155" s="262"/>
      <c r="B155" s="180" t="s">
        <v>366</v>
      </c>
      <c r="C155" s="5"/>
      <c r="D155" s="191">
        <v>636</v>
      </c>
      <c r="E155" s="192">
        <v>402</v>
      </c>
      <c r="F155" s="192">
        <v>691</v>
      </c>
      <c r="G155" s="272">
        <v>624</v>
      </c>
      <c r="H155" s="141"/>
      <c r="I155" s="141"/>
      <c r="J155" s="141"/>
      <c r="K155" s="55"/>
    </row>
    <row r="156" spans="1:11">
      <c r="A156" s="262"/>
      <c r="B156" s="180" t="s">
        <v>367</v>
      </c>
      <c r="C156" s="5"/>
      <c r="D156" s="191">
        <v>402</v>
      </c>
      <c r="E156" s="192">
        <v>691</v>
      </c>
      <c r="F156" s="192">
        <v>624</v>
      </c>
      <c r="G156" s="272">
        <v>434</v>
      </c>
      <c r="H156" s="141"/>
      <c r="I156" s="141"/>
      <c r="J156" s="141"/>
      <c r="K156" s="55"/>
    </row>
    <row r="157" spans="1:11" ht="15" thickBot="1">
      <c r="A157" s="274"/>
      <c r="B157" s="275" t="s">
        <v>368</v>
      </c>
      <c r="C157" s="275"/>
      <c r="D157" s="276">
        <f>D156-D155</f>
        <v>-234</v>
      </c>
      <c r="E157" s="276">
        <f t="shared" ref="E157:G157" si="16">E156-E155</f>
        <v>289</v>
      </c>
      <c r="F157" s="276">
        <f t="shared" si="16"/>
        <v>-67</v>
      </c>
      <c r="G157" s="277">
        <f t="shared" si="16"/>
        <v>-190</v>
      </c>
      <c r="H157" s="141"/>
      <c r="I157" s="141"/>
      <c r="J157" s="141"/>
      <c r="K157" s="55"/>
    </row>
    <row r="158" spans="1:11" ht="15" thickBot="1">
      <c r="A158" s="543"/>
      <c r="B158" s="543"/>
      <c r="C158" s="543"/>
      <c r="D158" s="543"/>
      <c r="E158" s="543"/>
      <c r="F158" s="543"/>
      <c r="G158" s="543"/>
      <c r="H158" s="141"/>
      <c r="I158" s="141"/>
      <c r="J158" s="141"/>
      <c r="K158" s="55"/>
    </row>
    <row r="159" spans="1:11" ht="15" thickBot="1">
      <c r="A159" s="543"/>
      <c r="B159" s="278" t="s">
        <v>379</v>
      </c>
      <c r="C159" s="279"/>
      <c r="D159" s="279" t="str">
        <f ca="1">IF(D153=D157,"Correct","Incorrect")</f>
        <v>Correct</v>
      </c>
      <c r="E159" s="279" t="str">
        <f t="shared" ref="E159:G159" ca="1" si="17">IF(E153=E157,"Correct","Incorrect")</f>
        <v>Correct</v>
      </c>
      <c r="F159" s="279" t="str">
        <f t="shared" ca="1" si="17"/>
        <v>Correct</v>
      </c>
      <c r="G159" s="280" t="str">
        <f t="shared" ca="1" si="17"/>
        <v>Correct</v>
      </c>
      <c r="H159" s="141"/>
      <c r="I159" s="141"/>
      <c r="J159" s="141"/>
      <c r="K159" s="55"/>
    </row>
    <row r="160" spans="1:11">
      <c r="A160" s="1"/>
      <c r="B160" s="1"/>
      <c r="C160" s="14"/>
      <c r="D160" s="5"/>
      <c r="E160" s="5"/>
      <c r="F160" s="141"/>
      <c r="G160" s="141"/>
      <c r="H160" s="141"/>
      <c r="I160" s="141"/>
      <c r="J160" s="55"/>
      <c r="K160" s="55"/>
    </row>
    <row r="161" spans="1:11">
      <c r="A161" s="1"/>
      <c r="B161" s="1"/>
      <c r="C161" s="5"/>
      <c r="D161" s="5"/>
      <c r="E161" s="5"/>
      <c r="F161" s="141"/>
      <c r="G161" s="141"/>
      <c r="H161" s="141"/>
      <c r="I161" s="141"/>
      <c r="J161" s="55"/>
      <c r="K161" s="55"/>
    </row>
    <row r="162" spans="1:11">
      <c r="A162" s="1"/>
      <c r="B162" s="1"/>
      <c r="C162" s="14"/>
      <c r="D162" s="5"/>
      <c r="E162" s="5"/>
      <c r="F162" s="141"/>
      <c r="G162" s="141"/>
      <c r="H162" s="141"/>
      <c r="I162" s="141"/>
      <c r="J162" s="55"/>
      <c r="K162" s="55"/>
    </row>
    <row r="163" spans="1:11">
      <c r="A163" s="1"/>
      <c r="B163" s="1"/>
      <c r="C163" s="14"/>
      <c r="D163" s="110"/>
      <c r="E163" s="110"/>
      <c r="F163" s="141"/>
      <c r="G163" s="141"/>
      <c r="H163" s="141"/>
      <c r="I163" s="55"/>
      <c r="J163" s="55"/>
      <c r="K163" s="55"/>
    </row>
    <row r="164" spans="1:11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>
      <c r="A183" s="1"/>
      <c r="B183" s="1"/>
      <c r="C183" s="55"/>
      <c r="D183" s="55"/>
      <c r="E183" s="55"/>
      <c r="F183" s="55"/>
      <c r="G183" s="55"/>
      <c r="H183" s="55"/>
    </row>
    <row r="184" spans="1:14">
      <c r="A184" s="1"/>
      <c r="B184" s="1"/>
    </row>
    <row r="185" spans="1:14">
      <c r="A185" s="1"/>
    </row>
    <row r="186" spans="1:14">
      <c r="A186" s="1"/>
    </row>
    <row r="187" spans="1:14">
      <c r="A187" s="1"/>
      <c r="K187" s="1"/>
    </row>
    <row r="188" spans="1:14">
      <c r="A188" s="1"/>
      <c r="J188" s="1"/>
      <c r="K188" s="1"/>
    </row>
    <row r="189" spans="1:14">
      <c r="A189" s="1"/>
      <c r="J189" s="1"/>
      <c r="K189" s="1"/>
    </row>
    <row r="190" spans="1:14">
      <c r="A190" s="1"/>
      <c r="J190" s="1"/>
      <c r="K190" s="1"/>
    </row>
    <row r="191" spans="1:14">
      <c r="A191" s="1"/>
      <c r="I191" s="130"/>
      <c r="J191" s="1"/>
      <c r="K191" s="1"/>
      <c r="L191" s="1"/>
      <c r="M191" s="1"/>
      <c r="N191" s="1"/>
    </row>
    <row r="192" spans="1:14">
      <c r="A192" s="1"/>
      <c r="C192" s="5"/>
      <c r="D192" s="130"/>
      <c r="E192" s="130"/>
      <c r="F192" s="130"/>
      <c r="G192" s="130"/>
      <c r="H192" s="130"/>
      <c r="I192" s="130"/>
      <c r="J192" s="1"/>
      <c r="K192" s="1"/>
      <c r="L192" s="1"/>
      <c r="M192" s="1"/>
      <c r="N192" s="1"/>
    </row>
    <row r="193" spans="1:14">
      <c r="A193" s="1"/>
      <c r="C193" s="5"/>
      <c r="D193" s="130"/>
      <c r="E193" s="130"/>
      <c r="F193" s="130"/>
      <c r="G193" s="130"/>
      <c r="H193" s="130"/>
      <c r="I193" s="130"/>
      <c r="J193" s="1"/>
      <c r="K193" s="1"/>
      <c r="L193" s="1"/>
      <c r="M193" s="1"/>
      <c r="N193" s="1"/>
    </row>
    <row r="194" spans="1:14">
      <c r="A194" s="1"/>
      <c r="C194" s="5"/>
      <c r="D194" s="130"/>
      <c r="E194" s="130"/>
      <c r="F194" s="130"/>
      <c r="G194" s="130"/>
      <c r="H194" s="130"/>
      <c r="I194" s="130"/>
      <c r="J194" s="1"/>
      <c r="K194" s="1"/>
      <c r="L194" s="1"/>
      <c r="M194" s="1"/>
      <c r="N194" s="1"/>
    </row>
    <row r="195" spans="1:14">
      <c r="A195" s="1"/>
      <c r="C195" s="5"/>
      <c r="D195" s="130"/>
      <c r="E195" s="130"/>
      <c r="F195" s="130"/>
      <c r="G195" s="130"/>
      <c r="H195" s="130"/>
      <c r="I195" s="130"/>
      <c r="J195" s="1"/>
      <c r="K195" s="1"/>
      <c r="L195" s="1"/>
      <c r="M195" s="1"/>
      <c r="N195" s="1"/>
    </row>
    <row r="196" spans="1:14">
      <c r="A196" s="1"/>
      <c r="C196" s="130"/>
      <c r="D196" s="130"/>
      <c r="E196" s="130"/>
      <c r="F196" s="130"/>
      <c r="G196" s="130"/>
      <c r="H196" s="130"/>
      <c r="I196" s="130"/>
      <c r="J196" s="1"/>
      <c r="K196" s="1"/>
      <c r="L196" s="1"/>
      <c r="M196" s="1"/>
      <c r="N196" s="1"/>
    </row>
    <row r="197" spans="1:14">
      <c r="A197" s="1"/>
      <c r="C197" s="110"/>
      <c r="D197" s="133"/>
      <c r="E197" s="130"/>
      <c r="F197" s="130"/>
      <c r="G197" s="130"/>
      <c r="H197" s="130"/>
      <c r="I197" s="130"/>
      <c r="J197" s="1"/>
      <c r="K197" s="1"/>
      <c r="L197" s="1"/>
      <c r="M197" s="1"/>
      <c r="N197" s="1"/>
    </row>
    <row r="198" spans="1:14">
      <c r="A198" s="1"/>
      <c r="C198" s="5"/>
      <c r="D198" s="130"/>
      <c r="E198" s="130"/>
      <c r="F198" s="130"/>
      <c r="G198" s="130"/>
      <c r="H198" s="130"/>
      <c r="I198" s="130"/>
      <c r="J198" s="1"/>
      <c r="K198" s="172"/>
      <c r="L198" s="1"/>
      <c r="M198" s="1"/>
      <c r="N198" s="1"/>
    </row>
    <row r="199" spans="1:14">
      <c r="A199" s="1"/>
      <c r="C199" s="137"/>
      <c r="D199" s="137"/>
      <c r="E199" s="130"/>
      <c r="F199" s="130"/>
      <c r="G199" s="130"/>
      <c r="H199" s="130"/>
      <c r="I199" s="130"/>
      <c r="J199" s="1"/>
      <c r="K199" s="1"/>
      <c r="L199" s="1"/>
      <c r="M199" s="1"/>
      <c r="N199" s="1"/>
    </row>
    <row r="200" spans="1:14">
      <c r="A200" s="1"/>
      <c r="C200" s="5"/>
      <c r="D200" s="130"/>
      <c r="E200" s="130"/>
      <c r="F200" s="130"/>
      <c r="G200" s="130"/>
      <c r="H200" s="130"/>
      <c r="I200" s="130"/>
      <c r="J200" s="1"/>
      <c r="K200" s="1"/>
      <c r="L200" s="1"/>
      <c r="M200" s="1"/>
      <c r="N200" s="1"/>
    </row>
    <row r="201" spans="1:14">
      <c r="A201" s="1"/>
      <c r="C201" s="137"/>
      <c r="D201" s="137"/>
      <c r="E201" s="130"/>
      <c r="F201" s="130"/>
      <c r="G201" s="130"/>
      <c r="H201" s="130"/>
      <c r="I201" s="130"/>
      <c r="J201" s="1"/>
      <c r="K201" s="1"/>
      <c r="L201" s="1"/>
      <c r="M201" s="1"/>
      <c r="N201" s="1"/>
    </row>
    <row r="202" spans="1:14">
      <c r="A202" s="1"/>
      <c r="C202" s="110"/>
      <c r="D202" s="130"/>
      <c r="E202" s="130"/>
      <c r="F202" s="130"/>
      <c r="G202" s="130"/>
      <c r="H202" s="130"/>
      <c r="I202" s="130"/>
      <c r="J202" s="1"/>
      <c r="K202" s="1"/>
      <c r="L202" s="1"/>
      <c r="M202" s="1"/>
      <c r="N202" s="1"/>
    </row>
    <row r="203" spans="1:14">
      <c r="A203" s="1"/>
      <c r="C203" s="5"/>
      <c r="D203" s="130"/>
      <c r="E203" s="130"/>
      <c r="F203" s="130"/>
      <c r="G203" s="130"/>
      <c r="H203" s="130"/>
      <c r="I203" s="130"/>
      <c r="J203" s="1"/>
      <c r="K203" s="1"/>
      <c r="L203" s="1"/>
      <c r="M203" s="1"/>
      <c r="N203" s="1"/>
    </row>
    <row r="204" spans="1:14">
      <c r="A204" s="1"/>
      <c r="C204" s="130"/>
      <c r="D204" s="130"/>
      <c r="E204" s="130"/>
      <c r="F204" s="130"/>
      <c r="G204" s="130"/>
      <c r="H204" s="130"/>
      <c r="I204" s="135"/>
      <c r="J204" s="172"/>
      <c r="K204" s="1"/>
      <c r="L204" s="1"/>
      <c r="M204" s="1"/>
      <c r="N204" s="1"/>
    </row>
    <row r="205" spans="1:14">
      <c r="A205" s="1"/>
      <c r="C205" s="135"/>
      <c r="D205" s="135"/>
      <c r="E205" s="135"/>
      <c r="F205" s="135"/>
      <c r="G205" s="135"/>
      <c r="H205" s="135"/>
      <c r="I205" s="130"/>
      <c r="J205" s="1"/>
      <c r="K205" s="1"/>
      <c r="L205" s="1"/>
      <c r="M205" s="1"/>
      <c r="N205" s="1"/>
    </row>
    <row r="206" spans="1:14" ht="24.6">
      <c r="A206" s="1"/>
      <c r="C206" s="134"/>
      <c r="D206" s="130"/>
      <c r="E206" s="130"/>
      <c r="F206" s="130"/>
      <c r="G206" s="130"/>
      <c r="H206" s="130"/>
      <c r="I206" s="130"/>
      <c r="J206" s="1"/>
      <c r="K206" s="1"/>
      <c r="L206" s="1"/>
      <c r="M206" s="1"/>
      <c r="N206" s="1"/>
    </row>
    <row r="207" spans="1:14">
      <c r="A207" s="1"/>
      <c r="C207" s="1"/>
      <c r="D207" s="130"/>
      <c r="E207" s="130"/>
      <c r="F207" s="130"/>
      <c r="G207" s="130"/>
      <c r="H207" s="130"/>
      <c r="I207" s="130"/>
      <c r="J207" s="1"/>
      <c r="K207" s="1"/>
      <c r="L207" s="1"/>
      <c r="M207" s="1"/>
      <c r="N207" s="1"/>
    </row>
    <row r="208" spans="1:14">
      <c r="A208" s="1"/>
      <c r="C208" s="5"/>
      <c r="D208" s="130"/>
      <c r="E208" s="130"/>
      <c r="F208" s="130"/>
      <c r="G208" s="130"/>
      <c r="H208" s="130"/>
      <c r="I208" s="130"/>
      <c r="J208" s="1"/>
      <c r="K208" s="1"/>
      <c r="L208" s="1"/>
      <c r="M208" s="1"/>
      <c r="N208" s="1"/>
    </row>
    <row r="209" spans="1:14">
      <c r="A209" s="1"/>
      <c r="C209" s="5"/>
      <c r="D209" s="130"/>
      <c r="E209" s="130"/>
      <c r="F209" s="130"/>
      <c r="G209" s="130"/>
      <c r="H209" s="130"/>
      <c r="I209" s="130"/>
      <c r="J209" s="1"/>
      <c r="K209" s="1"/>
      <c r="L209" s="1"/>
      <c r="M209" s="1"/>
      <c r="N209" s="1"/>
    </row>
    <row r="210" spans="1:14">
      <c r="A210" s="1"/>
      <c r="C210" s="110"/>
      <c r="D210" s="130"/>
      <c r="E210" s="130"/>
      <c r="F210" s="139"/>
      <c r="G210" s="130"/>
      <c r="H210" s="130"/>
      <c r="I210" s="130"/>
      <c r="J210" s="1"/>
      <c r="K210" s="1"/>
      <c r="L210" s="1"/>
      <c r="M210" s="1"/>
      <c r="N210" s="1"/>
    </row>
    <row r="211" spans="1:14">
      <c r="A211" s="1"/>
      <c r="C211" s="130"/>
      <c r="D211" s="130"/>
      <c r="E211" s="130"/>
      <c r="F211" s="130"/>
      <c r="G211" s="139"/>
      <c r="H211" s="139"/>
      <c r="I211" s="130"/>
      <c r="J211" s="1"/>
      <c r="K211" s="1"/>
      <c r="L211" s="1"/>
      <c r="M211" s="1"/>
      <c r="N211" s="1"/>
    </row>
    <row r="212" spans="1:14">
      <c r="A212" s="1"/>
      <c r="C212" s="130"/>
      <c r="D212" s="130"/>
      <c r="E212" s="130"/>
      <c r="F212" s="130"/>
      <c r="G212" s="130"/>
      <c r="H212" s="130"/>
      <c r="I212" s="130"/>
      <c r="J212" s="1"/>
      <c r="K212" s="1"/>
      <c r="L212" s="1"/>
      <c r="M212" s="1"/>
      <c r="N212" s="1"/>
    </row>
    <row r="213" spans="1:14">
      <c r="A213" s="1"/>
      <c r="C213" s="110"/>
      <c r="D213" s="130"/>
      <c r="E213" s="130"/>
      <c r="F213" s="130"/>
      <c r="G213" s="130"/>
      <c r="H213" s="130"/>
      <c r="I213" s="130"/>
      <c r="J213" s="1"/>
      <c r="K213" s="1"/>
      <c r="L213" s="1"/>
      <c r="M213" s="1"/>
      <c r="N213" s="1"/>
    </row>
    <row r="214" spans="1:14">
      <c r="A214" s="1"/>
      <c r="C214" s="5"/>
      <c r="D214" s="130"/>
      <c r="E214" s="130"/>
      <c r="F214" s="130"/>
      <c r="G214" s="130"/>
      <c r="H214" s="130"/>
      <c r="I214" s="130"/>
      <c r="J214" s="1"/>
      <c r="K214" s="1"/>
      <c r="L214" s="1"/>
      <c r="M214" s="1"/>
      <c r="N214" s="1"/>
    </row>
    <row r="215" spans="1:14">
      <c r="A215" s="1"/>
      <c r="C215" s="130"/>
      <c r="D215" s="130"/>
      <c r="E215" s="130"/>
      <c r="F215" s="130"/>
      <c r="G215" s="130"/>
      <c r="H215" s="130"/>
      <c r="I215" s="130"/>
      <c r="J215" s="1"/>
      <c r="K215" s="1"/>
      <c r="L215" s="1"/>
      <c r="M215" s="1"/>
      <c r="N215" s="1"/>
    </row>
    <row r="216" spans="1:14">
      <c r="A216" s="1"/>
      <c r="C216" s="130"/>
      <c r="D216" s="130"/>
      <c r="E216" s="130"/>
      <c r="F216" s="130"/>
      <c r="G216" s="130"/>
      <c r="H216" s="130"/>
      <c r="I216" s="130"/>
      <c r="J216" s="1"/>
      <c r="K216" s="1"/>
      <c r="L216" s="1"/>
      <c r="M216" s="1"/>
      <c r="N216" s="1"/>
    </row>
    <row r="217" spans="1:14">
      <c r="A217" s="1"/>
      <c r="C217" s="130"/>
      <c r="D217" s="130"/>
      <c r="E217" s="130"/>
      <c r="F217" s="130"/>
      <c r="G217" s="130"/>
      <c r="H217" s="130"/>
      <c r="I217" s="29"/>
      <c r="J217" s="1"/>
      <c r="K217" s="1"/>
      <c r="L217" s="1"/>
      <c r="M217" s="1"/>
      <c r="N217" s="1"/>
    </row>
    <row r="218" spans="1:14">
      <c r="A218" s="1"/>
      <c r="C218" s="130"/>
      <c r="D218" s="130"/>
      <c r="E218" s="31"/>
      <c r="F218" s="29"/>
      <c r="G218" s="29"/>
      <c r="H218" s="29"/>
      <c r="I218" s="130"/>
      <c r="J218" s="1"/>
      <c r="K218" s="1"/>
      <c r="L218" s="1"/>
      <c r="M218" s="1"/>
      <c r="N218" s="1"/>
    </row>
    <row r="219" spans="1:14">
      <c r="A219" s="1"/>
      <c r="C219" s="5"/>
      <c r="D219" s="130"/>
      <c r="E219" s="130"/>
      <c r="F219" s="130"/>
      <c r="G219" s="130"/>
      <c r="H219" s="130"/>
      <c r="I219" s="138"/>
      <c r="J219" s="1"/>
      <c r="K219" s="1"/>
      <c r="L219" s="1"/>
      <c r="M219" s="1"/>
      <c r="N219" s="1"/>
    </row>
    <row r="220" spans="1:14">
      <c r="A220" s="1"/>
      <c r="C220" s="5"/>
      <c r="D220" s="130"/>
      <c r="E220" s="138"/>
      <c r="F220" s="138"/>
      <c r="G220" s="138"/>
      <c r="H220" s="138"/>
      <c r="I220" s="130"/>
      <c r="J220" s="1"/>
      <c r="K220" s="1"/>
      <c r="L220" s="1"/>
      <c r="M220" s="1"/>
      <c r="N220" s="1"/>
    </row>
    <row r="221" spans="1:14">
      <c r="A221" s="1"/>
      <c r="C221" s="130"/>
      <c r="D221" s="130"/>
      <c r="E221" s="130"/>
      <c r="F221" s="130"/>
      <c r="G221" s="130"/>
      <c r="H221" s="130"/>
      <c r="I221" s="130"/>
      <c r="J221" s="1"/>
      <c r="K221" s="1"/>
      <c r="L221" s="1"/>
      <c r="M221" s="1"/>
      <c r="N221" s="1"/>
    </row>
    <row r="222" spans="1:14">
      <c r="A222" s="1"/>
      <c r="C222" s="5"/>
      <c r="D222" s="130"/>
      <c r="E222" s="130"/>
      <c r="F222" s="130"/>
      <c r="G222" s="130"/>
      <c r="H222" s="130"/>
      <c r="I222" s="130"/>
      <c r="J222" s="1"/>
      <c r="K222" s="1"/>
      <c r="L222" s="1"/>
      <c r="M222" s="1"/>
      <c r="N222" s="1"/>
    </row>
    <row r="223" spans="1:14">
      <c r="A223" s="1"/>
      <c r="C223" s="130"/>
      <c r="D223" s="130"/>
      <c r="E223" s="130"/>
      <c r="F223" s="130"/>
      <c r="G223" s="130"/>
      <c r="H223" s="130"/>
      <c r="I223" s="130"/>
      <c r="J223" s="1"/>
      <c r="K223" s="1"/>
      <c r="L223" s="1"/>
      <c r="M223" s="1"/>
      <c r="N223" s="1"/>
    </row>
    <row r="224" spans="1:14">
      <c r="A224" s="1"/>
      <c r="C224" s="130"/>
      <c r="D224" s="130"/>
      <c r="E224" s="130"/>
      <c r="F224" s="130"/>
      <c r="G224" s="130"/>
      <c r="H224" s="130"/>
      <c r="I224" s="130"/>
      <c r="J224" s="1"/>
      <c r="K224" s="1"/>
      <c r="L224" s="1"/>
      <c r="M224" s="1"/>
      <c r="N224" s="1"/>
    </row>
    <row r="225" spans="1:14">
      <c r="A225" s="1"/>
      <c r="C225" s="1"/>
      <c r="D225" s="130"/>
      <c r="E225" s="130"/>
      <c r="F225" s="130"/>
      <c r="G225" s="130"/>
      <c r="H225" s="130"/>
      <c r="I225" s="130"/>
      <c r="J225" s="1"/>
      <c r="K225" s="1"/>
      <c r="L225" s="1"/>
      <c r="M225" s="1"/>
      <c r="N225" s="1"/>
    </row>
    <row r="226" spans="1:14">
      <c r="A226" s="1"/>
      <c r="C226" s="130"/>
      <c r="D226" s="130"/>
      <c r="E226" s="130"/>
      <c r="F226" s="130"/>
      <c r="G226" s="130"/>
      <c r="H226" s="130"/>
      <c r="I226" s="130"/>
      <c r="J226" s="1"/>
      <c r="K226" s="1"/>
      <c r="L226" s="1"/>
      <c r="M226" s="1"/>
      <c r="N226" s="1"/>
    </row>
    <row r="227" spans="1:14">
      <c r="A227" s="1"/>
      <c r="C227" s="130"/>
      <c r="D227" s="130"/>
      <c r="E227" s="130"/>
      <c r="F227" s="130"/>
      <c r="G227" s="130"/>
      <c r="H227" s="130"/>
      <c r="I227" s="130"/>
      <c r="J227" s="1"/>
      <c r="K227" s="1"/>
      <c r="L227" s="1"/>
      <c r="M227" s="1"/>
      <c r="N227" s="1"/>
    </row>
    <row r="228" spans="1:14">
      <c r="A228" s="1"/>
      <c r="B228" s="1"/>
      <c r="C228" s="130"/>
      <c r="D228" s="130"/>
      <c r="E228" s="130"/>
      <c r="F228" s="130"/>
      <c r="G228" s="130"/>
      <c r="H228" s="130"/>
      <c r="I228" s="130"/>
      <c r="J228" s="1"/>
      <c r="K228" s="1"/>
      <c r="L228" s="1"/>
      <c r="M228" s="1"/>
      <c r="N228" s="1"/>
    </row>
    <row r="229" spans="1:14">
      <c r="A229" s="1"/>
      <c r="B229" s="1"/>
      <c r="C229" s="130"/>
      <c r="D229" s="130"/>
      <c r="E229" s="130"/>
      <c r="F229" s="130"/>
      <c r="G229" s="130"/>
      <c r="H229" s="130"/>
      <c r="I229" s="130"/>
      <c r="J229" s="1"/>
      <c r="K229" s="1"/>
      <c r="L229" s="1"/>
      <c r="M229" s="1"/>
      <c r="N229" s="1"/>
    </row>
    <row r="230" spans="1:14">
      <c r="A230" s="1"/>
      <c r="B230" s="1"/>
      <c r="C230" s="130"/>
      <c r="D230" s="130"/>
      <c r="E230" s="130"/>
      <c r="F230" s="130"/>
      <c r="G230" s="130"/>
      <c r="H230" s="130"/>
      <c r="I230" s="130"/>
      <c r="J230" s="1"/>
      <c r="K230" s="1"/>
      <c r="L230" s="1"/>
      <c r="M230" s="1"/>
      <c r="N230" s="1"/>
    </row>
    <row r="231" spans="1:14">
      <c r="A231" s="1"/>
      <c r="B231" s="1"/>
      <c r="C231" s="130"/>
      <c r="D231" s="130"/>
      <c r="E231" s="130"/>
      <c r="F231" s="130"/>
      <c r="G231" s="130"/>
      <c r="H231" s="130"/>
      <c r="I231" s="130"/>
      <c r="J231" s="1"/>
      <c r="K231" s="1"/>
      <c r="L231" s="1"/>
      <c r="M231" s="1"/>
      <c r="N231" s="1"/>
    </row>
    <row r="232" spans="1:14">
      <c r="A232" s="1"/>
      <c r="B232" s="1"/>
      <c r="C232" s="130"/>
      <c r="D232" s="130"/>
      <c r="E232" s="130"/>
      <c r="F232" s="130"/>
      <c r="G232" s="130"/>
      <c r="H232" s="130"/>
      <c r="I232" s="130"/>
      <c r="J232" s="1"/>
      <c r="K232" s="1"/>
      <c r="L232" s="1"/>
      <c r="M232" s="1"/>
      <c r="N232" s="1"/>
    </row>
    <row r="233" spans="1:14">
      <c r="A233" s="1"/>
      <c r="B233" s="1"/>
      <c r="C233" s="136"/>
      <c r="D233" s="130"/>
      <c r="E233" s="130"/>
      <c r="F233" s="130"/>
      <c r="G233" s="130"/>
      <c r="H233" s="130"/>
      <c r="I233" s="130"/>
      <c r="J233" s="1"/>
      <c r="K233" s="1"/>
      <c r="L233" s="1"/>
      <c r="M233" s="1"/>
      <c r="N233" s="1"/>
    </row>
    <row r="234" spans="1:14">
      <c r="A234" s="1"/>
      <c r="B234" s="1"/>
      <c r="C234" s="136"/>
      <c r="D234" s="130"/>
      <c r="E234" s="130"/>
      <c r="F234" s="130"/>
      <c r="G234" s="130"/>
      <c r="H234" s="130"/>
      <c r="I234" s="130"/>
      <c r="J234" s="1"/>
      <c r="K234" s="1"/>
      <c r="L234" s="1"/>
      <c r="M234" s="1"/>
      <c r="N234" s="1"/>
    </row>
    <row r="235" spans="1:14">
      <c r="A235" s="1"/>
      <c r="B235" s="1"/>
      <c r="C235" s="130"/>
      <c r="D235" s="130"/>
      <c r="E235" s="130"/>
      <c r="F235" s="130"/>
      <c r="G235" s="130"/>
      <c r="H235" s="130"/>
      <c r="I235" s="130"/>
      <c r="J235" s="130"/>
      <c r="K235" s="1"/>
      <c r="L235" s="1"/>
      <c r="M235" s="1"/>
      <c r="N235" s="1"/>
    </row>
    <row r="236" spans="1:14">
      <c r="A236" s="1"/>
      <c r="B236" s="1"/>
      <c r="C236" s="130"/>
      <c r="D236" s="130"/>
      <c r="E236" s="130"/>
      <c r="F236" s="130"/>
      <c r="G236" s="130"/>
      <c r="H236" s="130"/>
      <c r="I236" s="130"/>
      <c r="J236" s="1"/>
      <c r="K236" s="1"/>
      <c r="L236" s="1"/>
      <c r="M236" s="1"/>
      <c r="N236" s="1"/>
    </row>
    <row r="237" spans="1:14">
      <c r="A237" s="1"/>
      <c r="B237" s="1"/>
      <c r="C237" s="130"/>
      <c r="D237" s="130"/>
      <c r="E237" s="130"/>
      <c r="F237" s="130"/>
      <c r="G237" s="130"/>
      <c r="H237" s="130"/>
      <c r="I237" s="130"/>
      <c r="J237" s="1"/>
      <c r="K237" s="1"/>
      <c r="L237" s="1"/>
      <c r="M237" s="1"/>
      <c r="N237" s="1"/>
    </row>
    <row r="238" spans="1:14">
      <c r="A238" s="1"/>
      <c r="B238" s="1"/>
      <c r="C238" s="130"/>
      <c r="D238" s="130"/>
      <c r="E238" s="130"/>
      <c r="F238" s="130"/>
      <c r="G238" s="130"/>
      <c r="H238" s="130"/>
      <c r="I238" s="130"/>
      <c r="J238" s="1"/>
      <c r="K238" s="1"/>
      <c r="L238" s="1"/>
      <c r="M238" s="1"/>
      <c r="N238" s="1"/>
    </row>
    <row r="239" spans="1:14">
      <c r="A239" s="1"/>
      <c r="B239" s="1"/>
      <c r="C239" s="130"/>
      <c r="D239" s="130"/>
      <c r="E239" s="130"/>
      <c r="F239" s="130"/>
      <c r="G239" s="130"/>
      <c r="H239" s="130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30"/>
      <c r="J240" s="1"/>
      <c r="K240" s="1"/>
      <c r="L240" s="1"/>
      <c r="M240" s="1"/>
      <c r="N240" s="1"/>
    </row>
    <row r="241" spans="1:14">
      <c r="A241" s="1"/>
      <c r="B241" s="1"/>
      <c r="C241" s="1"/>
      <c r="D241" s="130"/>
      <c r="E241" s="130"/>
      <c r="F241" s="130"/>
      <c r="G241" s="130"/>
      <c r="H241" s="130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</row>
    <row r="243" spans="1:14">
      <c r="A243" s="1"/>
      <c r="B243" s="1"/>
      <c r="C243" s="1"/>
      <c r="D243" s="1"/>
      <c r="E243" s="1"/>
      <c r="F243" s="1"/>
      <c r="G243" s="1"/>
      <c r="H243" s="1"/>
    </row>
    <row r="244" spans="1:14">
      <c r="A244" s="1"/>
      <c r="B244" s="1"/>
      <c r="C244" s="1"/>
      <c r="D244" s="1"/>
      <c r="E244" s="1"/>
      <c r="F244" s="1"/>
      <c r="G244" s="1"/>
      <c r="H244" s="1"/>
    </row>
    <row r="245" spans="1:14">
      <c r="A245" s="1"/>
      <c r="B245" s="1"/>
      <c r="C245" s="1"/>
      <c r="D245" s="1"/>
      <c r="E245" s="1"/>
      <c r="F245" s="1"/>
      <c r="G245" s="1"/>
      <c r="H245" s="1"/>
    </row>
    <row r="246" spans="1:14">
      <c r="A246" s="1"/>
      <c r="B246" s="1"/>
      <c r="C246" s="1"/>
      <c r="D246" s="1"/>
      <c r="E246" s="1"/>
      <c r="F246" s="1"/>
      <c r="G246" s="1"/>
      <c r="H246" s="1"/>
    </row>
    <row r="247" spans="1:14">
      <c r="A247" s="1"/>
      <c r="B247" s="1"/>
      <c r="C247" s="1"/>
      <c r="D247" s="1"/>
      <c r="E247" s="1"/>
      <c r="F247" s="1"/>
      <c r="G247" s="1"/>
      <c r="H247" s="1"/>
    </row>
    <row r="248" spans="1:14">
      <c r="A248" s="1"/>
      <c r="B248" s="1"/>
      <c r="C248" s="1"/>
      <c r="D248" s="1"/>
      <c r="E248" s="1"/>
      <c r="F248" s="1"/>
      <c r="G248" s="1"/>
      <c r="H248" s="1"/>
    </row>
    <row r="249" spans="1:14">
      <c r="A249" s="1"/>
      <c r="B249" s="1"/>
      <c r="C249" s="1"/>
      <c r="D249" s="1"/>
      <c r="E249" s="1"/>
      <c r="F249" s="1"/>
      <c r="G249" s="1"/>
      <c r="H249" s="1"/>
    </row>
    <row r="250" spans="1:14">
      <c r="A250" s="1"/>
      <c r="B250" s="1"/>
      <c r="C250" s="1"/>
      <c r="D250" s="1"/>
      <c r="E250" s="1"/>
      <c r="F250" s="1"/>
      <c r="G250" s="1"/>
      <c r="H250" s="1"/>
    </row>
    <row r="251" spans="1:14">
      <c r="A251" s="1"/>
      <c r="B251" s="1"/>
      <c r="C251" s="1"/>
      <c r="D251" s="1"/>
      <c r="E251" s="1"/>
      <c r="F251" s="1"/>
      <c r="G251" s="1"/>
      <c r="H251" s="1"/>
    </row>
    <row r="252" spans="1:14">
      <c r="A252" s="1"/>
      <c r="B252" s="1"/>
      <c r="C252" s="1"/>
      <c r="D252" s="1"/>
      <c r="E252" s="1"/>
      <c r="F252" s="1"/>
      <c r="G252" s="1"/>
      <c r="H252" s="1"/>
    </row>
    <row r="253" spans="1:14">
      <c r="A253" s="1"/>
      <c r="B253" s="1"/>
      <c r="C253" s="1"/>
      <c r="D253" s="1"/>
      <c r="E253" s="1"/>
      <c r="F253" s="1"/>
      <c r="G253" s="1"/>
      <c r="H253" s="1"/>
    </row>
    <row r="254" spans="1:14">
      <c r="A254" s="1"/>
      <c r="B254" s="1"/>
      <c r="C254" s="1"/>
      <c r="D254" s="1"/>
      <c r="E254" s="1"/>
      <c r="F254" s="1"/>
      <c r="G254" s="1"/>
      <c r="H254" s="1"/>
    </row>
    <row r="255" spans="1:14">
      <c r="A255" s="1"/>
      <c r="B255" s="1"/>
      <c r="C255" s="1"/>
      <c r="D255" s="1"/>
      <c r="E255" s="1"/>
      <c r="F255" s="1"/>
      <c r="G255" s="1"/>
      <c r="H255" s="1"/>
    </row>
    <row r="256" spans="1:14">
      <c r="A256" s="1"/>
      <c r="B256" s="1"/>
      <c r="C256" s="1"/>
      <c r="D256" s="1"/>
      <c r="E256" s="1"/>
      <c r="F256" s="1"/>
      <c r="G256" s="1"/>
      <c r="H256" s="1"/>
    </row>
    <row r="257" spans="1:8">
      <c r="A257" s="1"/>
      <c r="B257" s="1"/>
      <c r="C257" s="1"/>
      <c r="D257" s="1"/>
      <c r="E257" s="1"/>
      <c r="F257" s="1"/>
      <c r="G257" s="1"/>
      <c r="H257" s="1"/>
    </row>
    <row r="258" spans="1:8">
      <c r="A258" s="1"/>
      <c r="B258" s="1"/>
      <c r="C258" s="1"/>
      <c r="D258" s="1"/>
      <c r="E258" s="1"/>
      <c r="F258" s="1"/>
      <c r="G258" s="1"/>
      <c r="H258" s="1"/>
    </row>
    <row r="259" spans="1:8">
      <c r="A259" s="1"/>
      <c r="B259" s="1"/>
      <c r="C259" s="1"/>
      <c r="D259" s="1"/>
      <c r="E259" s="1"/>
      <c r="F259" s="1"/>
      <c r="G259" s="1"/>
      <c r="H259" s="1"/>
    </row>
    <row r="260" spans="1:8">
      <c r="A260" s="1"/>
      <c r="B260" s="1"/>
      <c r="C260" s="1"/>
      <c r="D260" s="1"/>
      <c r="E260" s="1"/>
      <c r="F260" s="1"/>
      <c r="G260" s="1"/>
      <c r="H260" s="1"/>
    </row>
    <row r="261" spans="1:8">
      <c r="A261" s="1"/>
      <c r="B261" s="1"/>
      <c r="C261" s="1"/>
      <c r="D261" s="1"/>
      <c r="E261" s="1"/>
      <c r="F261" s="1"/>
      <c r="G261" s="1"/>
      <c r="H261" s="1"/>
    </row>
    <row r="262" spans="1:8">
      <c r="A262" s="1"/>
      <c r="B262" s="1"/>
      <c r="C262" s="1"/>
      <c r="D262" s="1"/>
      <c r="E262" s="1"/>
      <c r="F262" s="1"/>
      <c r="G262" s="1"/>
      <c r="H262" s="1"/>
    </row>
    <row r="263" spans="1:8">
      <c r="A263" s="1"/>
      <c r="B263" s="1"/>
      <c r="C263" s="1"/>
      <c r="D263" s="1"/>
      <c r="E263" s="1"/>
      <c r="F263" s="1"/>
      <c r="G263" s="1"/>
      <c r="H263" s="1"/>
    </row>
    <row r="264" spans="1:8">
      <c r="A264" s="1"/>
      <c r="B264" s="1"/>
      <c r="C264" s="1"/>
      <c r="D264" s="1"/>
      <c r="E264" s="1"/>
      <c r="F264" s="1"/>
      <c r="G264" s="1"/>
      <c r="H264" s="1"/>
    </row>
    <row r="265" spans="1:8">
      <c r="A265" s="1"/>
      <c r="B265" s="1"/>
      <c r="C265" s="1"/>
      <c r="D265" s="1"/>
      <c r="E265" s="1"/>
      <c r="F265" s="1"/>
      <c r="G265" s="1"/>
      <c r="H265" s="1"/>
    </row>
    <row r="266" spans="1:8">
      <c r="A266" s="1"/>
      <c r="B266" s="1"/>
      <c r="C266" s="1"/>
      <c r="D266" s="1"/>
      <c r="E266" s="1"/>
      <c r="F266" s="1"/>
      <c r="G266" s="1"/>
      <c r="H266" s="1"/>
    </row>
    <row r="267" spans="1:8">
      <c r="A267" s="1"/>
      <c r="B267" s="1"/>
      <c r="C267" s="1"/>
      <c r="D267" s="1"/>
      <c r="E267" s="1"/>
      <c r="F267" s="1"/>
      <c r="G267" s="1"/>
      <c r="H267" s="1"/>
    </row>
    <row r="268" spans="1:8">
      <c r="A268" s="1"/>
      <c r="B268" s="1"/>
      <c r="C268" s="1"/>
      <c r="D268" s="1"/>
      <c r="E268" s="1"/>
      <c r="F268" s="1"/>
      <c r="G268" s="1"/>
      <c r="H268" s="1"/>
    </row>
    <row r="269" spans="1:8">
      <c r="A269" s="1"/>
      <c r="B269" s="1"/>
      <c r="C269" s="1"/>
      <c r="D269" s="1"/>
      <c r="E269" s="1"/>
      <c r="F269" s="1"/>
      <c r="G269" s="1"/>
      <c r="H269" s="1"/>
    </row>
    <row r="270" spans="1:8">
      <c r="A270" s="1"/>
      <c r="B270" s="1"/>
      <c r="C270" s="1"/>
      <c r="D270" s="1"/>
      <c r="E270" s="1"/>
      <c r="F270" s="1"/>
      <c r="G270" s="1"/>
      <c r="H270" s="1"/>
    </row>
    <row r="271" spans="1:8">
      <c r="A271" s="1"/>
      <c r="B271" s="1"/>
      <c r="C271" s="1"/>
      <c r="D271" s="1"/>
      <c r="E271" s="1"/>
      <c r="F271" s="1"/>
      <c r="G271" s="1"/>
      <c r="H271" s="1"/>
    </row>
    <row r="272" spans="1:8">
      <c r="A272" s="1"/>
      <c r="B272" s="1"/>
      <c r="C272" s="1"/>
      <c r="D272" s="1"/>
      <c r="E272" s="1"/>
      <c r="F272" s="1"/>
      <c r="G272" s="1"/>
      <c r="H272" s="1"/>
    </row>
    <row r="273" spans="1:8">
      <c r="A273" s="1"/>
      <c r="B273" s="1"/>
      <c r="C273" s="1"/>
      <c r="D273" s="1"/>
      <c r="E273" s="1"/>
      <c r="F273" s="1"/>
      <c r="G273" s="1"/>
      <c r="H273" s="1"/>
    </row>
    <row r="274" spans="1:8">
      <c r="A274" s="1"/>
      <c r="B274" s="1"/>
      <c r="C274" s="1"/>
      <c r="D274" s="1"/>
      <c r="E274" s="1"/>
      <c r="F274" s="1"/>
      <c r="G274" s="1"/>
      <c r="H274" s="1"/>
    </row>
    <row r="275" spans="1:8">
      <c r="A275" s="1"/>
      <c r="B275" s="1"/>
      <c r="C275" s="1"/>
      <c r="D275" s="1"/>
      <c r="E275" s="1"/>
      <c r="F275" s="1"/>
      <c r="G275" s="1"/>
      <c r="H275" s="1"/>
    </row>
    <row r="276" spans="1:8">
      <c r="A276" s="1"/>
      <c r="B276" s="1"/>
      <c r="C276" s="1"/>
      <c r="D276" s="1"/>
      <c r="E276" s="1"/>
      <c r="F276" s="1"/>
      <c r="G276" s="1"/>
      <c r="H276" s="1"/>
    </row>
    <row r="277" spans="1:8">
      <c r="A277" s="1"/>
      <c r="B277" s="1"/>
      <c r="C277" s="1"/>
      <c r="D277" s="1"/>
      <c r="E277" s="1"/>
      <c r="F277" s="1"/>
      <c r="G277" s="1"/>
      <c r="H277" s="1"/>
    </row>
    <row r="278" spans="1:8">
      <c r="A278" s="1"/>
      <c r="B278" s="1"/>
      <c r="C278" s="1"/>
      <c r="D278" s="1"/>
      <c r="E278" s="1"/>
      <c r="F278" s="1"/>
      <c r="G278" s="1"/>
      <c r="H278" s="1"/>
    </row>
    <row r="279" spans="1:8">
      <c r="A279" s="1"/>
      <c r="B279" s="1"/>
      <c r="C279" s="1"/>
      <c r="D279" s="1"/>
      <c r="E279" s="1"/>
      <c r="F279" s="1"/>
      <c r="G279" s="1"/>
      <c r="H279" s="1"/>
    </row>
    <row r="280" spans="1:8">
      <c r="A280" s="1"/>
      <c r="B280" s="1"/>
      <c r="C280" s="1"/>
      <c r="D280" s="1"/>
      <c r="E280" s="1"/>
      <c r="F280" s="1"/>
      <c r="G280" s="1"/>
      <c r="H280" s="1"/>
    </row>
    <row r="281" spans="1:8">
      <c r="A281" s="1"/>
      <c r="B281" s="1"/>
      <c r="C281" s="1"/>
      <c r="D281" s="1"/>
      <c r="E281" s="1"/>
      <c r="F281" s="1"/>
      <c r="G281" s="1"/>
      <c r="H281" s="1"/>
    </row>
    <row r="282" spans="1:8">
      <c r="A282" s="1"/>
      <c r="B282" s="1"/>
      <c r="C282" s="1"/>
      <c r="D282" s="1"/>
      <c r="E282" s="1"/>
      <c r="F282" s="1"/>
      <c r="G282" s="1"/>
      <c r="H282" s="1"/>
    </row>
    <row r="283" spans="1:8">
      <c r="A283" s="1"/>
      <c r="B283" s="1"/>
      <c r="C283" s="1"/>
      <c r="D283" s="1"/>
      <c r="E283" s="1"/>
      <c r="F283" s="1"/>
      <c r="G283" s="1"/>
      <c r="H283" s="1"/>
    </row>
    <row r="284" spans="1:8">
      <c r="A284" s="1"/>
      <c r="B284" s="1"/>
      <c r="C284" s="1"/>
      <c r="D284" s="1"/>
      <c r="E284" s="1"/>
      <c r="F284" s="1"/>
      <c r="G284" s="1"/>
      <c r="H284" s="1"/>
    </row>
    <row r="285" spans="1:8">
      <c r="A285" s="1"/>
      <c r="B285" s="1"/>
      <c r="C285" s="1"/>
      <c r="D285" s="1"/>
      <c r="E285" s="1"/>
      <c r="F285" s="1"/>
      <c r="G285" s="1"/>
      <c r="H285" s="1"/>
    </row>
    <row r="286" spans="1:8">
      <c r="A286" s="1"/>
      <c r="B286" s="1"/>
      <c r="C286" s="1"/>
      <c r="D286" s="1"/>
      <c r="E286" s="1"/>
      <c r="F286" s="1"/>
      <c r="G286" s="1"/>
      <c r="H286" s="1"/>
    </row>
    <row r="287" spans="1:8">
      <c r="A287" s="1"/>
      <c r="B287" s="1"/>
      <c r="C287" s="1"/>
      <c r="D287" s="1"/>
      <c r="E287" s="1"/>
      <c r="F287" s="1"/>
      <c r="G287" s="1"/>
      <c r="H287" s="1"/>
    </row>
    <row r="288" spans="1:8">
      <c r="A288" s="1"/>
      <c r="B288" s="1"/>
      <c r="C288" s="1"/>
      <c r="D288" s="1"/>
      <c r="E288" s="1"/>
      <c r="F288" s="1"/>
      <c r="G288" s="1"/>
      <c r="H288" s="1"/>
    </row>
    <row r="289" spans="1:8">
      <c r="A289" s="1"/>
      <c r="B289" s="1"/>
      <c r="C289" s="1"/>
      <c r="D289" s="1"/>
      <c r="E289" s="1"/>
      <c r="F289" s="1"/>
      <c r="G289" s="1"/>
      <c r="H289" s="1"/>
    </row>
    <row r="290" spans="1:8">
      <c r="A290" s="1"/>
      <c r="B290" s="1"/>
      <c r="C290" s="1"/>
      <c r="D290" s="1"/>
      <c r="E290" s="1"/>
      <c r="F290" s="1"/>
      <c r="G290" s="1"/>
      <c r="H290" s="1"/>
    </row>
    <row r="291" spans="1:8">
      <c r="A291" s="1"/>
      <c r="B291" s="1"/>
      <c r="C291" s="1"/>
      <c r="D291" s="1"/>
      <c r="E291" s="1"/>
      <c r="F291" s="1"/>
      <c r="G291" s="1"/>
      <c r="H291" s="1"/>
    </row>
    <row r="292" spans="1:8">
      <c r="A292" s="1"/>
      <c r="B292" s="1"/>
      <c r="C292" s="1"/>
      <c r="D292" s="1"/>
      <c r="E292" s="1"/>
      <c r="F292" s="1"/>
      <c r="G292" s="1"/>
      <c r="H292" s="1"/>
    </row>
    <row r="293" spans="1:8">
      <c r="A293" s="1"/>
      <c r="B293" s="1"/>
      <c r="C293" s="1"/>
      <c r="D293" s="1"/>
      <c r="E293" s="1"/>
      <c r="F293" s="1"/>
      <c r="G293" s="1"/>
      <c r="H293" s="1"/>
    </row>
    <row r="294" spans="1:8">
      <c r="A294" s="1"/>
      <c r="B294" s="1"/>
      <c r="C294" s="1"/>
      <c r="D294" s="1"/>
      <c r="E294" s="1"/>
      <c r="F294" s="1"/>
      <c r="G294" s="1"/>
      <c r="H294" s="1"/>
    </row>
    <row r="295" spans="1:8">
      <c r="A295" s="1"/>
      <c r="B295" s="1"/>
      <c r="C295" s="1"/>
      <c r="D295" s="1"/>
      <c r="E295" s="1"/>
      <c r="F295" s="1"/>
      <c r="G295" s="1"/>
      <c r="H295" s="1"/>
    </row>
    <row r="296" spans="1:8">
      <c r="A296" s="1"/>
      <c r="B296" s="1"/>
      <c r="C296" s="1"/>
      <c r="D296" s="1"/>
      <c r="E296" s="1"/>
      <c r="F296" s="1"/>
      <c r="G296" s="1"/>
      <c r="H296" s="1"/>
    </row>
    <row r="297" spans="1:8">
      <c r="A297" s="1"/>
      <c r="B297" s="1"/>
      <c r="C297" s="1"/>
      <c r="D297" s="1"/>
      <c r="E297" s="1"/>
      <c r="F297" s="1"/>
      <c r="G297" s="1"/>
      <c r="H297" s="1"/>
    </row>
    <row r="298" spans="1:8">
      <c r="A298" s="1"/>
      <c r="B298" s="1"/>
      <c r="C298" s="1"/>
      <c r="D298" s="1"/>
      <c r="E298" s="1"/>
      <c r="F298" s="1"/>
      <c r="G298" s="1"/>
      <c r="H298" s="1"/>
    </row>
    <row r="299" spans="1:8">
      <c r="A299" s="1"/>
      <c r="B299" s="1"/>
      <c r="C299" s="1"/>
      <c r="D299" s="1"/>
      <c r="E299" s="1"/>
      <c r="F299" s="1"/>
      <c r="G299" s="1"/>
      <c r="H299" s="1"/>
    </row>
    <row r="300" spans="1:8">
      <c r="A300" s="1"/>
      <c r="B300" s="1"/>
      <c r="C300" s="1"/>
      <c r="D300" s="1"/>
      <c r="E300" s="1"/>
      <c r="F300" s="1"/>
      <c r="G300" s="1"/>
      <c r="H300" s="1"/>
    </row>
    <row r="301" spans="1:8">
      <c r="A301" s="1"/>
      <c r="B301" s="1"/>
      <c r="C301" s="1"/>
      <c r="D301" s="1"/>
      <c r="E301" s="1"/>
      <c r="F301" s="1"/>
      <c r="G301" s="1"/>
      <c r="H301" s="1"/>
    </row>
    <row r="302" spans="1:8">
      <c r="A302" s="1"/>
      <c r="B302" s="1"/>
      <c r="C302" s="1"/>
      <c r="D302" s="1"/>
      <c r="E302" s="1"/>
      <c r="F302" s="1"/>
      <c r="G302" s="1"/>
      <c r="H302" s="1"/>
    </row>
    <row r="303" spans="1:8">
      <c r="A303" s="1"/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  <row r="305" spans="1:8">
      <c r="A305" s="1"/>
      <c r="B305" s="1"/>
      <c r="C305" s="1"/>
      <c r="D305" s="1"/>
      <c r="E305" s="1"/>
      <c r="F305" s="1"/>
      <c r="G305" s="1"/>
      <c r="H305" s="1"/>
    </row>
    <row r="306" spans="1:8">
      <c r="A306" s="1"/>
      <c r="B306" s="1"/>
      <c r="C306" s="1"/>
      <c r="D306" s="1"/>
      <c r="E306" s="1"/>
      <c r="F306" s="1"/>
      <c r="G306" s="1"/>
      <c r="H306" s="1"/>
    </row>
    <row r="307" spans="1:8">
      <c r="A307" s="1"/>
      <c r="B307" s="1"/>
      <c r="C307" s="1"/>
      <c r="D307" s="1"/>
      <c r="E307" s="1"/>
      <c r="F307" s="1"/>
      <c r="G307" s="1"/>
      <c r="H307" s="1"/>
    </row>
    <row r="308" spans="1:8">
      <c r="A308" s="1"/>
      <c r="B308" s="1"/>
      <c r="C308" s="1"/>
      <c r="D308" s="1"/>
      <c r="E308" s="1"/>
      <c r="F308" s="1"/>
      <c r="G308" s="1"/>
      <c r="H308" s="1"/>
    </row>
    <row r="309" spans="1:8">
      <c r="A309" s="1"/>
      <c r="B309" s="1"/>
      <c r="C309" s="1"/>
      <c r="D309" s="1"/>
      <c r="E309" s="1"/>
      <c r="F309" s="1"/>
      <c r="G309" s="1"/>
      <c r="H309" s="1"/>
    </row>
    <row r="310" spans="1:8">
      <c r="A310" s="1"/>
      <c r="B310" s="1"/>
      <c r="C310" s="1"/>
      <c r="D310" s="1"/>
      <c r="E310" s="1"/>
      <c r="F310" s="1"/>
      <c r="G310" s="1"/>
      <c r="H310" s="1"/>
    </row>
    <row r="311" spans="1:8">
      <c r="A311" s="1"/>
      <c r="B311" s="1"/>
      <c r="C311" s="1"/>
      <c r="D311" s="1"/>
      <c r="E311" s="1"/>
      <c r="F311" s="1"/>
      <c r="G311" s="1"/>
      <c r="H311" s="1"/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  <row r="318" spans="1:8">
      <c r="A318" s="1"/>
      <c r="B318" s="1"/>
      <c r="C318" s="1"/>
      <c r="D318" s="1"/>
      <c r="E318" s="1"/>
      <c r="F318" s="1"/>
      <c r="G318" s="1"/>
      <c r="H318" s="1"/>
    </row>
    <row r="319" spans="1:8">
      <c r="A319" s="1"/>
      <c r="B319" s="1"/>
      <c r="C319" s="1"/>
      <c r="D319" s="1"/>
      <c r="E319" s="1"/>
      <c r="F319" s="1"/>
      <c r="G319" s="1"/>
      <c r="H319" s="1"/>
    </row>
    <row r="320" spans="1:8">
      <c r="A320" s="1"/>
      <c r="B320" s="1"/>
      <c r="C320" s="1"/>
      <c r="D320" s="1"/>
      <c r="E320" s="1"/>
      <c r="F320" s="1"/>
      <c r="G320" s="1"/>
      <c r="H320" s="1"/>
    </row>
    <row r="321" spans="1:8">
      <c r="A321" s="1"/>
      <c r="B321" s="1"/>
      <c r="C321" s="1"/>
      <c r="D321" s="1"/>
      <c r="E321" s="1"/>
      <c r="F321" s="1"/>
      <c r="G321" s="1"/>
      <c r="H321" s="1"/>
    </row>
    <row r="322" spans="1:8">
      <c r="A322" s="1"/>
      <c r="B322" s="1"/>
      <c r="C322" s="1"/>
      <c r="D322" s="1"/>
      <c r="E322" s="1"/>
      <c r="F322" s="1"/>
      <c r="G322" s="1"/>
      <c r="H322" s="1"/>
    </row>
    <row r="323" spans="1:8">
      <c r="A323" s="1"/>
      <c r="B323" s="1"/>
      <c r="C323" s="1"/>
      <c r="D323" s="1"/>
      <c r="E323" s="1"/>
      <c r="F323" s="1"/>
      <c r="G323" s="1"/>
      <c r="H323" s="1"/>
    </row>
    <row r="324" spans="1:8">
      <c r="A324" s="1"/>
      <c r="B324" s="1"/>
      <c r="C324" s="1"/>
      <c r="D324" s="1"/>
      <c r="E324" s="1"/>
      <c r="F324" s="1"/>
      <c r="G324" s="1"/>
      <c r="H324" s="1"/>
    </row>
    <row r="325" spans="1:8">
      <c r="A325" s="1"/>
      <c r="B325" s="1"/>
      <c r="C325" s="1"/>
      <c r="D325" s="1"/>
      <c r="E325" s="1"/>
      <c r="F325" s="1"/>
      <c r="G325" s="1"/>
      <c r="H325" s="1"/>
    </row>
    <row r="326" spans="1:8">
      <c r="A326" s="1"/>
      <c r="B326" s="1"/>
      <c r="C326" s="1"/>
      <c r="D326" s="1"/>
      <c r="E326" s="1"/>
      <c r="F326" s="1"/>
      <c r="G326" s="1"/>
      <c r="H326" s="1"/>
    </row>
    <row r="327" spans="1:8">
      <c r="A327" s="1"/>
      <c r="B327" s="1"/>
      <c r="C327" s="1"/>
      <c r="D327" s="1"/>
      <c r="E327" s="1"/>
      <c r="F327" s="1"/>
      <c r="G327" s="1"/>
      <c r="H327" s="1"/>
    </row>
    <row r="328" spans="1:8">
      <c r="A328" s="1"/>
      <c r="B328" s="1"/>
      <c r="C328" s="1"/>
      <c r="D328" s="1"/>
      <c r="E328" s="1"/>
      <c r="F328" s="1"/>
      <c r="G328" s="1"/>
      <c r="H328" s="1"/>
    </row>
    <row r="329" spans="1:8">
      <c r="A329" s="1"/>
      <c r="B329" s="1"/>
      <c r="C329" s="1"/>
      <c r="D329" s="1"/>
      <c r="E329" s="1"/>
      <c r="F329" s="1"/>
      <c r="G329" s="1"/>
      <c r="H329" s="1"/>
    </row>
    <row r="330" spans="1:8">
      <c r="A330" s="1"/>
      <c r="B330" s="1"/>
      <c r="C330" s="1"/>
      <c r="D330" s="1"/>
      <c r="E330" s="1"/>
      <c r="F330" s="1"/>
      <c r="G330" s="1"/>
      <c r="H330" s="1"/>
    </row>
    <row r="331" spans="1:8">
      <c r="A331" s="1"/>
      <c r="B331" s="1"/>
      <c r="C331" s="1"/>
      <c r="D331" s="1"/>
      <c r="E331" s="1"/>
      <c r="F331" s="1"/>
      <c r="G331" s="1"/>
      <c r="H331" s="1"/>
    </row>
    <row r="332" spans="1:8">
      <c r="A332" s="1"/>
      <c r="B332" s="1"/>
      <c r="C332" s="1"/>
      <c r="D332" s="1"/>
      <c r="E332" s="1"/>
      <c r="F332" s="1"/>
      <c r="G332" s="1"/>
      <c r="H332" s="1"/>
    </row>
    <row r="333" spans="1:8">
      <c r="A333" s="1"/>
      <c r="B333" s="1"/>
      <c r="C333" s="1"/>
      <c r="D333" s="1"/>
      <c r="E333" s="1"/>
      <c r="F333" s="1"/>
      <c r="G333" s="1"/>
      <c r="H333" s="1"/>
    </row>
    <row r="334" spans="1:8">
      <c r="A334" s="1"/>
      <c r="B334" s="1"/>
      <c r="C334" s="1"/>
      <c r="D334" s="1"/>
      <c r="E334" s="1"/>
      <c r="F334" s="1"/>
      <c r="G334" s="1"/>
      <c r="H334" s="1"/>
    </row>
    <row r="335" spans="1:8">
      <c r="A335" s="1"/>
      <c r="B335" s="1"/>
      <c r="C335" s="1"/>
      <c r="D335" s="1"/>
      <c r="E335" s="1"/>
      <c r="F335" s="1"/>
      <c r="G335" s="1"/>
      <c r="H335" s="1"/>
    </row>
    <row r="336" spans="1:8">
      <c r="A336" s="1"/>
      <c r="B336" s="1"/>
      <c r="C336" s="1"/>
      <c r="D336" s="1"/>
      <c r="E336" s="1"/>
      <c r="F336" s="1"/>
      <c r="G336" s="1"/>
      <c r="H336" s="1"/>
    </row>
    <row r="337" spans="1:8">
      <c r="A337" s="1"/>
      <c r="B337" s="1"/>
      <c r="C337" s="1"/>
      <c r="D337" s="1"/>
      <c r="E337" s="1"/>
      <c r="F337" s="1"/>
      <c r="G337" s="1"/>
      <c r="H337" s="1"/>
    </row>
    <row r="338" spans="1:8">
      <c r="A338" s="1"/>
      <c r="B338" s="1"/>
      <c r="C338" s="1"/>
      <c r="D338" s="1"/>
      <c r="E338" s="1"/>
      <c r="F338" s="1"/>
      <c r="G338" s="1"/>
      <c r="H338" s="1"/>
    </row>
    <row r="339" spans="1:8">
      <c r="A339" s="1"/>
      <c r="B339" s="1"/>
      <c r="C339" s="1"/>
      <c r="D339" s="1"/>
      <c r="E339" s="1"/>
      <c r="F339" s="1"/>
      <c r="G339" s="1"/>
      <c r="H339" s="1"/>
    </row>
    <row r="340" spans="1:8">
      <c r="A340" s="1"/>
      <c r="B340" s="1"/>
      <c r="C340" s="1"/>
      <c r="D340" s="1"/>
      <c r="E340" s="1"/>
      <c r="F340" s="1"/>
      <c r="G340" s="1"/>
      <c r="H340" s="1"/>
    </row>
    <row r="341" spans="1:8">
      <c r="A341" s="1"/>
      <c r="B341" s="1"/>
      <c r="C341" s="1"/>
      <c r="D341" s="1"/>
      <c r="E341" s="1"/>
      <c r="F341" s="1"/>
      <c r="G341" s="1"/>
      <c r="H341" s="1"/>
    </row>
    <row r="342" spans="1:8">
      <c r="A342" s="1"/>
      <c r="B342" s="1"/>
      <c r="C342" s="1"/>
      <c r="D342" s="1"/>
      <c r="E342" s="1"/>
      <c r="F342" s="1"/>
      <c r="G342" s="1"/>
      <c r="H342" s="1"/>
    </row>
    <row r="343" spans="1:8">
      <c r="A343" s="1"/>
      <c r="B343" s="1"/>
      <c r="C343" s="1"/>
      <c r="D343" s="1"/>
      <c r="E343" s="1"/>
      <c r="F343" s="1"/>
      <c r="G343" s="1"/>
      <c r="H343" s="1"/>
    </row>
    <row r="344" spans="1:8">
      <c r="A344" s="1"/>
      <c r="B344" s="1"/>
      <c r="C344" s="1"/>
      <c r="D344" s="1"/>
      <c r="E344" s="1"/>
      <c r="F344" s="1"/>
      <c r="G344" s="1"/>
      <c r="H344" s="1"/>
    </row>
    <row r="345" spans="1:8">
      <c r="A345" s="1"/>
      <c r="B345" s="1"/>
      <c r="C345" s="1"/>
      <c r="D345" s="1"/>
      <c r="E345" s="1"/>
      <c r="F345" s="1"/>
      <c r="G345" s="1"/>
      <c r="H345" s="1"/>
    </row>
    <row r="346" spans="1:8">
      <c r="A346" s="1"/>
      <c r="B346" s="1"/>
      <c r="C346" s="1"/>
      <c r="D346" s="1"/>
      <c r="E346" s="1"/>
      <c r="F346" s="1"/>
      <c r="G346" s="1"/>
      <c r="H346" s="1"/>
    </row>
    <row r="347" spans="1:8">
      <c r="A347" s="1"/>
      <c r="B347" s="1"/>
      <c r="C347" s="1"/>
      <c r="D347" s="1"/>
      <c r="E347" s="1"/>
      <c r="F347" s="1"/>
      <c r="G347" s="1"/>
      <c r="H347" s="1"/>
    </row>
    <row r="348" spans="1:8">
      <c r="A348" s="1"/>
      <c r="B348" s="1"/>
      <c r="C348" s="1"/>
      <c r="D348" s="1"/>
      <c r="E348" s="1"/>
      <c r="F348" s="1"/>
      <c r="G348" s="1"/>
      <c r="H348" s="1"/>
    </row>
    <row r="349" spans="1:8">
      <c r="A349" s="1"/>
      <c r="B349" s="1"/>
      <c r="C349" s="1"/>
      <c r="D349" s="1"/>
      <c r="E349" s="1"/>
      <c r="F349" s="1"/>
      <c r="G349" s="1"/>
      <c r="H349" s="1"/>
    </row>
    <row r="350" spans="1:8">
      <c r="A350" s="1"/>
      <c r="B350" s="1"/>
      <c r="C350" s="1"/>
      <c r="D350" s="1"/>
      <c r="E350" s="1"/>
      <c r="F350" s="1"/>
      <c r="G350" s="1"/>
      <c r="H350" s="1"/>
    </row>
    <row r="351" spans="1:8">
      <c r="A351" s="1"/>
      <c r="B351" s="1"/>
      <c r="C351" s="1"/>
      <c r="D351" s="1"/>
      <c r="E351" s="1"/>
      <c r="F351" s="1"/>
      <c r="G351" s="1"/>
      <c r="H351" s="1"/>
    </row>
    <row r="352" spans="1:8">
      <c r="A352" s="1"/>
      <c r="B352" s="1"/>
      <c r="C352" s="1"/>
      <c r="D352" s="1"/>
      <c r="E352" s="1"/>
      <c r="F352" s="1"/>
      <c r="G352" s="1"/>
      <c r="H352" s="1"/>
    </row>
    <row r="353" spans="1:8">
      <c r="A353" s="1"/>
      <c r="B353" s="1"/>
      <c r="C353" s="1"/>
      <c r="D353" s="1"/>
      <c r="E353" s="1"/>
      <c r="F353" s="1"/>
      <c r="G353" s="1"/>
      <c r="H353" s="1"/>
    </row>
    <row r="354" spans="1:8">
      <c r="A354" s="1"/>
      <c r="B354" s="1"/>
      <c r="C354" s="1"/>
      <c r="D354" s="1"/>
      <c r="E354" s="1"/>
      <c r="F354" s="1"/>
      <c r="G354" s="1"/>
      <c r="H354" s="1"/>
    </row>
    <row r="355" spans="1:8">
      <c r="A355" s="1"/>
      <c r="B355" s="1"/>
      <c r="C355" s="1"/>
      <c r="D355" s="1"/>
      <c r="E355" s="1"/>
      <c r="F355" s="1"/>
      <c r="G355" s="1"/>
      <c r="H355" s="1"/>
    </row>
    <row r="356" spans="1:8">
      <c r="A356" s="1"/>
      <c r="B356" s="1"/>
      <c r="C356" s="1"/>
      <c r="D356" s="1"/>
      <c r="E356" s="1"/>
      <c r="F356" s="1"/>
      <c r="G356" s="1"/>
      <c r="H356" s="1"/>
    </row>
    <row r="357" spans="1:8">
      <c r="A357" s="1"/>
      <c r="B357" s="1"/>
      <c r="C357" s="1"/>
      <c r="D357" s="1"/>
      <c r="E357" s="1"/>
      <c r="F357" s="1"/>
      <c r="G357" s="1"/>
      <c r="H357" s="1"/>
    </row>
    <row r="358" spans="1:8">
      <c r="A358" s="1"/>
      <c r="B358" s="1"/>
      <c r="C358" s="1"/>
      <c r="D358" s="1"/>
      <c r="E358" s="1"/>
      <c r="F358" s="1"/>
      <c r="G358" s="1"/>
      <c r="H358" s="1"/>
    </row>
    <row r="359" spans="1:8">
      <c r="A359" s="1"/>
      <c r="B359" s="1"/>
      <c r="C359" s="1"/>
      <c r="D359" s="1"/>
      <c r="E359" s="1"/>
      <c r="F359" s="1"/>
      <c r="G359" s="1"/>
      <c r="H359" s="1"/>
    </row>
    <row r="360" spans="1:8">
      <c r="A360" s="1"/>
      <c r="B360" s="1"/>
      <c r="C360" s="1"/>
      <c r="D360" s="1"/>
      <c r="E360" s="1"/>
      <c r="F360" s="1"/>
      <c r="G360" s="1"/>
      <c r="H360" s="1"/>
    </row>
    <row r="361" spans="1:8">
      <c r="A361" s="1"/>
      <c r="B361" s="1"/>
      <c r="C361" s="1"/>
      <c r="D361" s="1"/>
      <c r="E361" s="1"/>
      <c r="F361" s="1"/>
      <c r="G361" s="1"/>
      <c r="H361" s="1"/>
    </row>
    <row r="362" spans="1:8">
      <c r="A362" s="1"/>
      <c r="B362" s="1"/>
      <c r="C362" s="1"/>
      <c r="D362" s="1"/>
      <c r="E362" s="1"/>
      <c r="F362" s="1"/>
      <c r="G362" s="1"/>
      <c r="H362" s="1"/>
    </row>
    <row r="363" spans="1:8">
      <c r="A363" s="1"/>
      <c r="B363" s="1"/>
      <c r="C363" s="1"/>
      <c r="D363" s="1"/>
      <c r="E363" s="1"/>
      <c r="F363" s="1"/>
      <c r="G363" s="1"/>
      <c r="H363" s="1"/>
    </row>
    <row r="364" spans="1:8">
      <c r="A364" s="1"/>
      <c r="B364" s="1"/>
      <c r="C364" s="1"/>
      <c r="D364" s="1"/>
      <c r="E364" s="1"/>
      <c r="F364" s="1"/>
      <c r="G364" s="1"/>
      <c r="H364" s="1"/>
    </row>
    <row r="365" spans="1:8">
      <c r="A365" s="1"/>
      <c r="B365" s="1"/>
      <c r="C365" s="1"/>
      <c r="D365" s="1"/>
      <c r="E365" s="1"/>
      <c r="F365" s="1"/>
      <c r="G365" s="1"/>
      <c r="H365" s="1"/>
    </row>
    <row r="366" spans="1:8">
      <c r="A366" s="1"/>
      <c r="B366" s="1"/>
      <c r="C366" s="1"/>
      <c r="D366" s="1"/>
      <c r="E366" s="1"/>
      <c r="F366" s="1"/>
      <c r="G366" s="1"/>
      <c r="H366" s="1"/>
    </row>
    <row r="367" spans="1:8">
      <c r="A367" s="1"/>
      <c r="B367" s="1"/>
      <c r="C367" s="1"/>
      <c r="D367" s="1"/>
      <c r="E367" s="1"/>
      <c r="F367" s="1"/>
      <c r="G367" s="1"/>
      <c r="H367" s="1"/>
    </row>
    <row r="368" spans="1:8">
      <c r="A368" s="1"/>
      <c r="B368" s="1"/>
      <c r="C368" s="1"/>
      <c r="D368" s="1"/>
      <c r="E368" s="1"/>
      <c r="F368" s="1"/>
      <c r="G368" s="1"/>
      <c r="H368" s="1"/>
    </row>
    <row r="369" spans="1:8">
      <c r="A369" s="1"/>
      <c r="B369" s="1"/>
      <c r="C369" s="1"/>
      <c r="D369" s="1"/>
      <c r="E369" s="1"/>
      <c r="F369" s="1"/>
      <c r="G369" s="1"/>
      <c r="H369" s="1"/>
    </row>
    <row r="370" spans="1:8">
      <c r="A370" s="1"/>
      <c r="B370" s="1"/>
      <c r="C370" s="1"/>
      <c r="D370" s="1"/>
      <c r="E370" s="1"/>
      <c r="F370" s="1"/>
      <c r="G370" s="1"/>
      <c r="H370" s="1"/>
    </row>
    <row r="371" spans="1:8">
      <c r="A371" s="1"/>
      <c r="B371" s="1"/>
      <c r="C371" s="1"/>
      <c r="D371" s="1"/>
      <c r="E371" s="1"/>
      <c r="F371" s="1"/>
      <c r="G371" s="1"/>
      <c r="H371" s="1"/>
    </row>
    <row r="372" spans="1:8">
      <c r="A372" s="1"/>
      <c r="B372" s="1"/>
      <c r="C372" s="1"/>
      <c r="D372" s="1"/>
      <c r="E372" s="1"/>
      <c r="F372" s="1"/>
      <c r="G372" s="1"/>
      <c r="H372" s="1"/>
    </row>
    <row r="373" spans="1:8">
      <c r="A373" s="1"/>
      <c r="B373" s="1"/>
      <c r="C373" s="1"/>
      <c r="D373" s="1"/>
      <c r="E373" s="1"/>
      <c r="F373" s="1"/>
      <c r="G373" s="1"/>
      <c r="H373" s="1"/>
    </row>
    <row r="374" spans="1:8">
      <c r="A374" s="1"/>
      <c r="B374" s="1"/>
      <c r="C374" s="1"/>
      <c r="D374" s="1"/>
      <c r="E374" s="1"/>
      <c r="F374" s="1"/>
      <c r="G374" s="1"/>
      <c r="H374" s="1"/>
    </row>
    <row r="375" spans="1:8">
      <c r="A375" s="1"/>
      <c r="B375" s="1"/>
      <c r="C375" s="1"/>
      <c r="D375" s="1"/>
      <c r="E375" s="1"/>
      <c r="F375" s="1"/>
      <c r="G375" s="1"/>
      <c r="H375" s="1"/>
    </row>
    <row r="376" spans="1:8">
      <c r="A376" s="1"/>
      <c r="B376" s="1"/>
      <c r="C376" s="1"/>
      <c r="D376" s="1"/>
      <c r="E376" s="1"/>
      <c r="F376" s="1"/>
      <c r="G376" s="1"/>
      <c r="H376" s="1"/>
    </row>
    <row r="377" spans="1:8">
      <c r="A377" s="1"/>
      <c r="B377" s="1"/>
      <c r="C377" s="1"/>
      <c r="D377" s="1"/>
      <c r="E377" s="1"/>
      <c r="F377" s="1"/>
      <c r="G377" s="1"/>
      <c r="H377" s="1"/>
    </row>
    <row r="378" spans="1:8">
      <c r="A378" s="1"/>
      <c r="B378" s="1"/>
      <c r="C378" s="1"/>
      <c r="D378" s="1"/>
      <c r="E378" s="1"/>
      <c r="F378" s="1"/>
      <c r="G378" s="1"/>
      <c r="H378" s="1"/>
    </row>
    <row r="379" spans="1:8">
      <c r="A379" s="1"/>
      <c r="B379" s="1"/>
      <c r="C379" s="1"/>
      <c r="D379" s="1"/>
      <c r="E379" s="1"/>
      <c r="F379" s="1"/>
      <c r="G379" s="1"/>
      <c r="H379" s="1"/>
    </row>
    <row r="380" spans="1:8">
      <c r="A380" s="1"/>
      <c r="B380" s="1"/>
      <c r="C380" s="1"/>
      <c r="D380" s="1"/>
      <c r="E380" s="1"/>
      <c r="F380" s="1"/>
      <c r="G380" s="1"/>
      <c r="H380" s="1"/>
    </row>
    <row r="381" spans="1:8">
      <c r="A381" s="1"/>
      <c r="B381" s="1"/>
      <c r="C381" s="1"/>
      <c r="D381" s="1"/>
      <c r="E381" s="1"/>
      <c r="F381" s="1"/>
      <c r="G381" s="1"/>
      <c r="H381" s="1"/>
    </row>
    <row r="382" spans="1:8">
      <c r="A382" s="1"/>
      <c r="B382" s="1"/>
      <c r="C382" s="1"/>
      <c r="D382" s="1"/>
      <c r="E382" s="1"/>
      <c r="F382" s="1"/>
      <c r="G382" s="1"/>
      <c r="H382" s="1"/>
    </row>
    <row r="383" spans="1:8">
      <c r="A383" s="1"/>
      <c r="B383" s="1"/>
      <c r="C383" s="1"/>
      <c r="D383" s="1"/>
      <c r="E383" s="1"/>
      <c r="F383" s="1"/>
      <c r="G383" s="1"/>
      <c r="H383" s="1"/>
    </row>
    <row r="384" spans="1:8">
      <c r="A384" s="1"/>
      <c r="B384" s="1"/>
      <c r="C384" s="1"/>
      <c r="D384" s="1"/>
      <c r="E384" s="1"/>
      <c r="F384" s="1"/>
      <c r="G384" s="1"/>
      <c r="H384" s="1"/>
    </row>
    <row r="385" spans="1:8">
      <c r="A385" s="1"/>
      <c r="B385" s="1"/>
      <c r="C385" s="1"/>
      <c r="D385" s="1"/>
      <c r="E385" s="1"/>
      <c r="F385" s="1"/>
      <c r="G385" s="1"/>
      <c r="H385" s="1"/>
    </row>
    <row r="386" spans="1:8">
      <c r="A386" s="1"/>
      <c r="B386" s="1"/>
      <c r="C386" s="1"/>
      <c r="D386" s="1"/>
      <c r="E386" s="1"/>
      <c r="F386" s="1"/>
      <c r="G386" s="1"/>
      <c r="H386" s="1"/>
    </row>
    <row r="387" spans="1:8">
      <c r="A387" s="1"/>
      <c r="B387" s="1"/>
      <c r="C387" s="1"/>
      <c r="D387" s="1"/>
      <c r="E387" s="1"/>
      <c r="F387" s="1"/>
      <c r="G387" s="1"/>
      <c r="H387" s="1"/>
    </row>
    <row r="388" spans="1:8">
      <c r="A388" s="1"/>
      <c r="B388" s="1"/>
      <c r="C388" s="1"/>
      <c r="D388" s="1"/>
      <c r="E388" s="1"/>
      <c r="F388" s="1"/>
      <c r="G388" s="1"/>
      <c r="H388" s="1"/>
    </row>
    <row r="389" spans="1:8">
      <c r="A389" s="1"/>
      <c r="B389" s="1"/>
      <c r="C389" s="1"/>
      <c r="D389" s="1"/>
      <c r="E389" s="1"/>
      <c r="F389" s="1"/>
      <c r="G389" s="1"/>
      <c r="H389" s="1"/>
    </row>
    <row r="390" spans="1:8">
      <c r="A390" s="1"/>
      <c r="B390" s="1"/>
      <c r="C390" s="1"/>
      <c r="D390" s="1"/>
      <c r="E390" s="1"/>
      <c r="F390" s="1"/>
      <c r="G390" s="1"/>
      <c r="H390" s="1"/>
    </row>
    <row r="391" spans="1:8">
      <c r="A391" s="1"/>
      <c r="B391" s="1"/>
      <c r="C391" s="1"/>
      <c r="D391" s="1"/>
      <c r="E391" s="1"/>
      <c r="F391" s="1"/>
      <c r="G391" s="1"/>
      <c r="H391" s="1"/>
    </row>
    <row r="392" spans="1:8">
      <c r="A392" s="1"/>
      <c r="B392" s="1"/>
      <c r="C392" s="1"/>
      <c r="D392" s="1"/>
      <c r="E392" s="1"/>
      <c r="F392" s="1"/>
      <c r="G392" s="1"/>
      <c r="H392" s="1"/>
    </row>
    <row r="393" spans="1:8">
      <c r="A393" s="1"/>
      <c r="B393" s="1"/>
      <c r="C393" s="1"/>
      <c r="D393" s="1"/>
      <c r="E393" s="1"/>
      <c r="F393" s="1"/>
      <c r="G393" s="1"/>
      <c r="H393" s="1"/>
    </row>
    <row r="394" spans="1:8">
      <c r="A394" s="1"/>
      <c r="B394" s="1"/>
      <c r="C394" s="1"/>
      <c r="D394" s="1"/>
      <c r="E394" s="1"/>
      <c r="F394" s="1"/>
      <c r="G394" s="1"/>
      <c r="H394" s="1"/>
    </row>
    <row r="395" spans="1:8">
      <c r="A395" s="1"/>
      <c r="B395" s="1"/>
      <c r="C395" s="1"/>
      <c r="D395" s="1"/>
      <c r="E395" s="1"/>
      <c r="F395" s="1"/>
      <c r="G395" s="1"/>
      <c r="H395" s="1"/>
    </row>
    <row r="396" spans="1:8">
      <c r="B396" s="1"/>
      <c r="C396" s="1"/>
      <c r="D396" s="1"/>
      <c r="E396" s="1"/>
      <c r="F396" s="1"/>
      <c r="G396" s="1"/>
      <c r="H396" s="1"/>
    </row>
    <row r="397" spans="1:8">
      <c r="B397" s="1"/>
      <c r="C397" s="1"/>
      <c r="D397" s="1"/>
      <c r="E397" s="1"/>
      <c r="F397" s="1"/>
      <c r="G397" s="1"/>
      <c r="H397" s="1"/>
    </row>
    <row r="398" spans="1:8">
      <c r="B398" s="1"/>
      <c r="C398" s="1"/>
      <c r="D398" s="1"/>
      <c r="E398" s="1"/>
      <c r="F398" s="1"/>
      <c r="G398" s="1"/>
      <c r="H398" s="1"/>
    </row>
    <row r="399" spans="1:8">
      <c r="B399" s="1"/>
      <c r="C399" s="1"/>
      <c r="D399" s="1"/>
      <c r="E399" s="1"/>
      <c r="F399" s="1"/>
      <c r="G399" s="1"/>
      <c r="H399" s="1"/>
    </row>
    <row r="400" spans="1:8">
      <c r="B400" s="1"/>
      <c r="C400" s="1"/>
      <c r="D400" s="1"/>
      <c r="E400" s="1"/>
      <c r="F400" s="1"/>
      <c r="G400" s="1"/>
      <c r="H400" s="1"/>
    </row>
    <row r="401" spans="2:8">
      <c r="B401" s="1"/>
      <c r="C401" s="1"/>
      <c r="D401" s="1"/>
      <c r="E401" s="1"/>
      <c r="F401" s="1"/>
      <c r="G401" s="1"/>
      <c r="H401" s="1"/>
    </row>
    <row r="402" spans="2:8">
      <c r="B402" s="1"/>
      <c r="C402" s="1"/>
      <c r="D402" s="1"/>
      <c r="E402" s="1"/>
      <c r="F402" s="1"/>
      <c r="G402" s="1"/>
      <c r="H402" s="1"/>
    </row>
    <row r="403" spans="2:8">
      <c r="B403" s="1"/>
      <c r="C403" s="1"/>
      <c r="D403" s="1"/>
      <c r="E403" s="1"/>
      <c r="F403" s="1"/>
      <c r="G403" s="1"/>
      <c r="H403" s="1"/>
    </row>
    <row r="404" spans="2:8">
      <c r="B404" s="1"/>
      <c r="C404" s="1"/>
      <c r="D404" s="1"/>
      <c r="E404" s="1"/>
      <c r="F404" s="1"/>
      <c r="G404" s="1"/>
      <c r="H404" s="1"/>
    </row>
    <row r="405" spans="2:8">
      <c r="B405" s="1"/>
      <c r="C405" s="1"/>
      <c r="D405" s="1"/>
      <c r="E405" s="1"/>
      <c r="F405" s="1"/>
      <c r="G405" s="1"/>
      <c r="H405" s="1"/>
    </row>
    <row r="406" spans="2:8">
      <c r="B406" s="1"/>
      <c r="C406" s="1"/>
      <c r="D406" s="1"/>
      <c r="E406" s="1"/>
      <c r="F406" s="1"/>
      <c r="G406" s="1"/>
      <c r="H406" s="1"/>
    </row>
    <row r="407" spans="2:8">
      <c r="B407" s="1"/>
      <c r="C407" s="1"/>
      <c r="D407" s="1"/>
      <c r="E407" s="1"/>
      <c r="F407" s="1"/>
      <c r="G407" s="1"/>
      <c r="H407" s="1"/>
    </row>
    <row r="408" spans="2:8">
      <c r="B408" s="1"/>
      <c r="C408" s="1"/>
      <c r="D408" s="1"/>
      <c r="E408" s="1"/>
      <c r="F408" s="1"/>
      <c r="G408" s="1"/>
      <c r="H408" s="1"/>
    </row>
    <row r="409" spans="2:8">
      <c r="B409" s="1"/>
      <c r="C409" s="1"/>
      <c r="D409" s="1"/>
      <c r="E409" s="1"/>
      <c r="F409" s="1"/>
      <c r="G409" s="1"/>
      <c r="H409" s="1"/>
    </row>
    <row r="410" spans="2:8">
      <c r="B410" s="1"/>
      <c r="C410" s="1"/>
      <c r="D410" s="1"/>
      <c r="E410" s="1"/>
      <c r="F410" s="1"/>
      <c r="G410" s="1"/>
      <c r="H410" s="1"/>
    </row>
    <row r="411" spans="2:8">
      <c r="B411" s="1"/>
      <c r="C411" s="1"/>
      <c r="D411" s="1"/>
      <c r="E411" s="1"/>
      <c r="F411" s="1"/>
      <c r="G411" s="1"/>
      <c r="H411" s="1"/>
    </row>
    <row r="412" spans="2:8">
      <c r="B412" s="1"/>
      <c r="C412" s="1"/>
      <c r="D412" s="1"/>
      <c r="E412" s="1"/>
      <c r="F412" s="1"/>
      <c r="G412" s="1"/>
      <c r="H412" s="1"/>
    </row>
    <row r="413" spans="2:8">
      <c r="B413" s="1"/>
      <c r="C413" s="1"/>
      <c r="D413" s="1"/>
      <c r="E413" s="1"/>
      <c r="F413" s="1"/>
      <c r="G413" s="1"/>
      <c r="H413" s="1"/>
    </row>
    <row r="414" spans="2:8">
      <c r="B414" s="1"/>
      <c r="C414" s="1"/>
      <c r="D414" s="1"/>
      <c r="E414" s="1"/>
      <c r="F414" s="1"/>
      <c r="G414" s="1"/>
      <c r="H414" s="1"/>
    </row>
    <row r="415" spans="2:8">
      <c r="B415" s="1"/>
      <c r="C415" s="1"/>
      <c r="D415" s="1"/>
      <c r="E415" s="1"/>
      <c r="F415" s="1"/>
      <c r="G415" s="1"/>
      <c r="H415" s="1"/>
    </row>
    <row r="416" spans="2:8">
      <c r="B416" s="1"/>
      <c r="C416" s="1"/>
      <c r="D416" s="1"/>
      <c r="E416" s="1"/>
      <c r="F416" s="1"/>
      <c r="G416" s="1"/>
      <c r="H416" s="1"/>
    </row>
    <row r="417" spans="2:8">
      <c r="B417" s="1"/>
      <c r="C417" s="1"/>
      <c r="D417" s="1"/>
      <c r="E417" s="1"/>
      <c r="F417" s="1"/>
      <c r="G417" s="1"/>
      <c r="H417" s="1"/>
    </row>
    <row r="418" spans="2:8">
      <c r="B418" s="1"/>
      <c r="C418" s="1"/>
      <c r="D418" s="1"/>
      <c r="E418" s="1"/>
      <c r="F418" s="1"/>
      <c r="G418" s="1"/>
      <c r="H418" s="1"/>
    </row>
    <row r="419" spans="2:8">
      <c r="B419" s="1"/>
      <c r="C419" s="1"/>
      <c r="D419" s="1"/>
      <c r="E419" s="1"/>
      <c r="F419" s="1"/>
      <c r="G419" s="1"/>
      <c r="H419" s="1"/>
    </row>
    <row r="420" spans="2:8">
      <c r="B420" s="1"/>
      <c r="C420" s="1"/>
      <c r="D420" s="1"/>
      <c r="E420" s="1"/>
      <c r="F420" s="1"/>
      <c r="G420" s="1"/>
      <c r="H420" s="1"/>
    </row>
    <row r="421" spans="2:8">
      <c r="B421" s="1"/>
      <c r="C421" s="1"/>
      <c r="D421" s="1"/>
      <c r="E421" s="1"/>
      <c r="F421" s="1"/>
      <c r="G421" s="1"/>
      <c r="H421" s="1"/>
    </row>
    <row r="422" spans="2:8">
      <c r="B422" s="1"/>
      <c r="C422" s="1"/>
      <c r="D422" s="1"/>
      <c r="E422" s="1"/>
      <c r="F422" s="1"/>
      <c r="G422" s="1"/>
      <c r="H422" s="1"/>
    </row>
    <row r="423" spans="2:8">
      <c r="B423" s="1"/>
      <c r="C423" s="1"/>
      <c r="D423" s="1"/>
      <c r="E423" s="1"/>
      <c r="F423" s="1"/>
      <c r="G423" s="1"/>
      <c r="H423" s="1"/>
    </row>
    <row r="424" spans="2:8">
      <c r="B424" s="1"/>
      <c r="C424" s="1"/>
      <c r="D424" s="1"/>
      <c r="E424" s="1"/>
      <c r="F424" s="1"/>
      <c r="G424" s="1"/>
      <c r="H424" s="1"/>
    </row>
    <row r="425" spans="2:8">
      <c r="B425" s="1"/>
      <c r="C425" s="1"/>
      <c r="D425" s="1"/>
      <c r="E425" s="1"/>
      <c r="F425" s="1"/>
      <c r="G425" s="1"/>
      <c r="H425" s="1"/>
    </row>
    <row r="426" spans="2:8">
      <c r="B426" s="1"/>
      <c r="C426" s="1"/>
      <c r="D426" s="1"/>
      <c r="E426" s="1"/>
      <c r="F426" s="1"/>
      <c r="G426" s="1"/>
      <c r="H426" s="1"/>
    </row>
    <row r="427" spans="2:8">
      <c r="B427" s="1"/>
      <c r="C427" s="1"/>
      <c r="D427" s="1"/>
      <c r="E427" s="1"/>
      <c r="F427" s="1"/>
      <c r="G427" s="1"/>
      <c r="H427" s="1"/>
    </row>
    <row r="428" spans="2:8">
      <c r="B428" s="1"/>
      <c r="C428" s="1"/>
      <c r="D428" s="1"/>
      <c r="E428" s="1"/>
      <c r="F428" s="1"/>
      <c r="G428" s="1"/>
      <c r="H428" s="1"/>
    </row>
    <row r="429" spans="2:8">
      <c r="B429" s="1"/>
      <c r="C429" s="1"/>
      <c r="D429" s="1"/>
      <c r="E429" s="1"/>
      <c r="F429" s="1"/>
      <c r="G429" s="1"/>
      <c r="H429" s="1"/>
    </row>
    <row r="430" spans="2:8">
      <c r="B430" s="1"/>
      <c r="C430" s="1"/>
      <c r="D430" s="1"/>
      <c r="E430" s="1"/>
      <c r="F430" s="1"/>
      <c r="G430" s="1"/>
      <c r="H430" s="1"/>
    </row>
    <row r="431" spans="2:8">
      <c r="B431" s="1"/>
      <c r="C431" s="1"/>
      <c r="D431" s="1"/>
      <c r="E431" s="1"/>
      <c r="F431" s="1"/>
      <c r="G431" s="1"/>
      <c r="H431" s="1"/>
    </row>
    <row r="432" spans="2:8">
      <c r="B432" s="1"/>
      <c r="C432" s="1"/>
      <c r="D432" s="1"/>
      <c r="E432" s="1"/>
      <c r="F432" s="1"/>
      <c r="G432" s="1"/>
      <c r="H432" s="1"/>
    </row>
    <row r="433" spans="2:8">
      <c r="B433" s="1"/>
      <c r="C433" s="1"/>
      <c r="D433" s="1"/>
      <c r="E433" s="1"/>
      <c r="F433" s="1"/>
      <c r="G433" s="1"/>
      <c r="H433" s="1"/>
    </row>
    <row r="434" spans="2:8">
      <c r="B434" s="1"/>
      <c r="C434" s="1"/>
      <c r="D434" s="1"/>
      <c r="E434" s="1"/>
      <c r="F434" s="1"/>
      <c r="G434" s="1"/>
      <c r="H434" s="1"/>
    </row>
  </sheetData>
  <mergeCells count="4">
    <mergeCell ref="C2:H2"/>
    <mergeCell ref="B1:C1"/>
    <mergeCell ref="D49:H49"/>
    <mergeCell ref="D120:G1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sheetPr codeName="Foglio5"/>
  <dimension ref="A1:L41"/>
  <sheetViews>
    <sheetView topLeftCell="A14" workbookViewId="0">
      <selection activeCell="J34" sqref="J34"/>
    </sheetView>
  </sheetViews>
  <sheetFormatPr defaultRowHeight="14.4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>
      <c r="A1" s="254"/>
      <c r="B1" s="255" t="s">
        <v>347</v>
      </c>
      <c r="C1" s="256"/>
      <c r="D1" s="257"/>
      <c r="E1" s="257"/>
      <c r="F1" s="257"/>
      <c r="G1" s="258"/>
    </row>
    <row r="2" spans="1:12">
      <c r="A2" s="259"/>
      <c r="B2" s="252"/>
      <c r="C2" s="64"/>
      <c r="D2" s="684" t="s">
        <v>163</v>
      </c>
      <c r="E2" s="684"/>
      <c r="F2" s="684"/>
      <c r="G2" s="685"/>
    </row>
    <row r="3" spans="1:12" ht="18" customHeight="1">
      <c r="A3" s="260"/>
      <c r="B3" s="253"/>
      <c r="C3" s="125" t="s">
        <v>1</v>
      </c>
      <c r="D3" s="112">
        <v>42735</v>
      </c>
      <c r="E3" s="112">
        <v>43100</v>
      </c>
      <c r="F3" s="112">
        <v>43465</v>
      </c>
      <c r="G3" s="261">
        <v>43830</v>
      </c>
    </row>
    <row r="4" spans="1:12">
      <c r="A4" s="262"/>
      <c r="B4" s="5"/>
      <c r="C4" s="5"/>
      <c r="D4" s="31"/>
      <c r="E4" s="29"/>
      <c r="F4" s="29"/>
      <c r="G4" s="263"/>
    </row>
    <row r="5" spans="1:12">
      <c r="A5" s="262"/>
      <c r="B5" s="8" t="s">
        <v>303</v>
      </c>
      <c r="C5" s="5"/>
      <c r="D5" s="183">
        <v>443</v>
      </c>
      <c r="E5" s="184">
        <v>710</v>
      </c>
      <c r="F5" s="184">
        <v>588</v>
      </c>
      <c r="G5" s="264">
        <v>687</v>
      </c>
    </row>
    <row r="6" spans="1:12">
      <c r="A6" s="262"/>
      <c r="B6" s="5" t="s">
        <v>348</v>
      </c>
      <c r="C6" s="5"/>
      <c r="D6" s="185">
        <v>-122</v>
      </c>
      <c r="E6" s="186">
        <v>-192</v>
      </c>
      <c r="F6" s="186">
        <v>-157</v>
      </c>
      <c r="G6" s="265">
        <v>-189</v>
      </c>
    </row>
    <row r="7" spans="1:12">
      <c r="A7" s="262"/>
      <c r="B7" s="5" t="s">
        <v>377</v>
      </c>
      <c r="C7" s="5"/>
      <c r="D7" s="250">
        <f>-'Reorganised Statements'!E99*('Reorganised Statements'!E109/'Reorganised Statements'!E101)</f>
        <v>-39.814371257485028</v>
      </c>
      <c r="E7" s="251">
        <f>-'Reorganised Statements'!F99*('Reorganised Statements'!F109/'Reorganised Statements'!F101)</f>
        <v>-44.666666666666664</v>
      </c>
      <c r="F7" s="251">
        <f>-'Reorganised Statements'!G99*('Reorganised Statements'!G109/'Reorganised Statements'!G101)</f>
        <v>-31.400000000000002</v>
      </c>
      <c r="G7" s="266">
        <f>-'Reorganised Statements'!H99*('Reorganised Statements'!H109/'Reorganised Statements'!H101)</f>
        <v>-34.481927710843372</v>
      </c>
    </row>
    <row r="8" spans="1:12">
      <c r="A8" s="262"/>
      <c r="B8" s="24" t="s">
        <v>349</v>
      </c>
      <c r="C8" s="25"/>
      <c r="D8" s="187">
        <f>SUM(D5:D7)</f>
        <v>281.18562874251495</v>
      </c>
      <c r="E8" s="188">
        <f t="shared" ref="E8:G8" si="0">SUM(E5:E7)</f>
        <v>473.33333333333331</v>
      </c>
      <c r="F8" s="188">
        <f t="shared" si="0"/>
        <v>399.6</v>
      </c>
      <c r="G8" s="267">
        <f t="shared" si="0"/>
        <v>463.51807228915663</v>
      </c>
    </row>
    <row r="9" spans="1:12">
      <c r="A9" s="262"/>
      <c r="B9" s="5"/>
      <c r="C9" s="5"/>
      <c r="D9" s="185"/>
      <c r="E9" s="186"/>
      <c r="F9" s="186"/>
      <c r="G9" s="265"/>
    </row>
    <row r="10" spans="1:12">
      <c r="A10" s="262"/>
      <c r="B10" s="5" t="s">
        <v>371</v>
      </c>
      <c r="C10" s="5"/>
      <c r="D10" s="185">
        <f>'Reorganised Statements'!D10-'Reorganised Statements'!E10</f>
        <v>25</v>
      </c>
      <c r="E10" s="186">
        <f>'Reorganised Statements'!E10-'Reorganised Statements'!F10</f>
        <v>12</v>
      </c>
      <c r="F10" s="186">
        <f>'Reorganised Statements'!F10-'Reorganised Statements'!G10</f>
        <v>-40</v>
      </c>
      <c r="G10" s="265">
        <f>'Reorganised Statements'!G10-'Reorganised Statements'!H10</f>
        <v>3</v>
      </c>
    </row>
    <row r="11" spans="1:12">
      <c r="A11" s="262"/>
      <c r="B11" s="5" t="s">
        <v>350</v>
      </c>
      <c r="C11" s="5"/>
      <c r="D11" s="185">
        <f>'Reorganised Statements'!D11-'Reorganised Statements'!E11</f>
        <v>-336</v>
      </c>
      <c r="E11" s="186">
        <f>'Reorganised Statements'!E11-'Reorganised Statements'!F11</f>
        <v>150</v>
      </c>
      <c r="F11" s="186">
        <f>'Reorganised Statements'!F11-'Reorganised Statements'!G11</f>
        <v>-110</v>
      </c>
      <c r="G11" s="265">
        <f>'Reorganised Statements'!G11-'Reorganised Statements'!H11</f>
        <v>-71</v>
      </c>
    </row>
    <row r="12" spans="1:12">
      <c r="A12" s="262"/>
      <c r="B12" s="5" t="s">
        <v>370</v>
      </c>
      <c r="C12" s="5"/>
      <c r="D12" s="185">
        <f>'Reorganised Statements'!D12-'Reorganised Statements'!E12</f>
        <v>214</v>
      </c>
      <c r="E12" s="186">
        <f>'Reorganised Statements'!E12-'Reorganised Statements'!F12</f>
        <v>-3</v>
      </c>
      <c r="F12" s="186">
        <f>'Reorganised Statements'!F12-'Reorganised Statements'!G12</f>
        <v>32</v>
      </c>
      <c r="G12" s="265">
        <f>'Reorganised Statements'!G12-'Reorganised Statements'!H12</f>
        <v>68</v>
      </c>
    </row>
    <row r="13" spans="1:12">
      <c r="A13" s="262"/>
      <c r="B13" s="24" t="s">
        <v>372</v>
      </c>
      <c r="C13" s="25"/>
      <c r="D13" s="187">
        <f>SUM(D10:D12)</f>
        <v>-97</v>
      </c>
      <c r="E13" s="188">
        <f t="shared" ref="E13:F13" si="1">SUM(E10:E12)</f>
        <v>159</v>
      </c>
      <c r="F13" s="188">
        <f t="shared" si="1"/>
        <v>-118</v>
      </c>
      <c r="G13" s="267">
        <f>SUM(G10:G12)</f>
        <v>0</v>
      </c>
      <c r="H13" s="249"/>
      <c r="I13" s="249"/>
      <c r="J13" s="249"/>
      <c r="K13" s="249"/>
      <c r="L13" s="249"/>
    </row>
    <row r="14" spans="1:12">
      <c r="A14" s="262"/>
      <c r="B14" s="5"/>
      <c r="C14" s="5"/>
      <c r="D14" s="185"/>
      <c r="E14" s="186"/>
      <c r="F14" s="186"/>
      <c r="G14" s="265"/>
    </row>
    <row r="15" spans="1:12">
      <c r="A15" s="262"/>
      <c r="B15" s="5" t="s">
        <v>351</v>
      </c>
      <c r="C15" s="5"/>
      <c r="D15" s="185">
        <f>'Reorganised Statements'!D15-'Reorganised Statements'!E15</f>
        <v>-59</v>
      </c>
      <c r="E15" s="186">
        <f>'Reorganised Statements'!E15-'Reorganised Statements'!F15</f>
        <v>132</v>
      </c>
      <c r="F15" s="186">
        <f>'Reorganised Statements'!F15-'Reorganised Statements'!G15</f>
        <v>53</v>
      </c>
      <c r="G15" s="265">
        <f>'Reorganised Statements'!G15-'Reorganised Statements'!H15</f>
        <v>-155</v>
      </c>
    </row>
    <row r="16" spans="1:12">
      <c r="A16" s="262"/>
      <c r="B16" s="5" t="s">
        <v>352</v>
      </c>
      <c r="C16" s="5"/>
      <c r="D16" s="185">
        <f>'Reorganised Statements'!D21-'Reorganised Statements'!E21</f>
        <v>210</v>
      </c>
      <c r="E16" s="186">
        <f>'Reorganised Statements'!E21-'Reorganised Statements'!F21</f>
        <v>-220</v>
      </c>
      <c r="F16" s="186">
        <f>'Reorganised Statements'!F21-'Reorganised Statements'!G21</f>
        <v>90</v>
      </c>
      <c r="G16" s="265">
        <f>'Reorganised Statements'!G21-'Reorganised Statements'!H21</f>
        <v>236</v>
      </c>
    </row>
    <row r="17" spans="1:8">
      <c r="A17" s="262"/>
      <c r="B17" s="24" t="s">
        <v>373</v>
      </c>
      <c r="C17" s="25"/>
      <c r="D17" s="187">
        <f>SUM(D13,D15:D16)</f>
        <v>54</v>
      </c>
      <c r="E17" s="188">
        <f t="shared" ref="E17:G17" si="2">SUM(E13,E15:E16)</f>
        <v>71</v>
      </c>
      <c r="F17" s="188">
        <f t="shared" si="2"/>
        <v>25</v>
      </c>
      <c r="G17" s="267">
        <f t="shared" si="2"/>
        <v>81</v>
      </c>
    </row>
    <row r="18" spans="1:8">
      <c r="A18" s="262"/>
      <c r="B18" s="5"/>
      <c r="C18" s="5"/>
      <c r="D18" s="185"/>
      <c r="E18" s="186"/>
      <c r="F18" s="186"/>
      <c r="G18" s="265"/>
    </row>
    <row r="19" spans="1:8">
      <c r="A19" s="262"/>
      <c r="B19" s="5" t="s">
        <v>353</v>
      </c>
      <c r="C19" s="5"/>
      <c r="D19" s="185">
        <f>('Reorganised Statements'!D5+'Reorganised Statements'!D6)-('Reorganised Statements'!E5+'Reorganised Statements'!E6)+'Reorganised Statements'!E72</f>
        <v>-1066</v>
      </c>
      <c r="E19" s="186">
        <f>('Reorganised Statements'!E5+'Reorganised Statements'!E6)-('Reorganised Statements'!F5+'Reorganised Statements'!F6)+'Reorganised Statements'!F72</f>
        <v>-80</v>
      </c>
      <c r="F19" s="186">
        <f>('Reorganised Statements'!F5+'Reorganised Statements'!F6)-('Reorganised Statements'!G5+'Reorganised Statements'!G6)+'Reorganised Statements'!G72</f>
        <v>-1076</v>
      </c>
      <c r="G19" s="265">
        <f>('Reorganised Statements'!G5+'Reorganised Statements'!G6)-('Reorganised Statements'!H5+'Reorganised Statements'!H6)+'Reorganised Statements'!H72</f>
        <v>-837</v>
      </c>
    </row>
    <row r="20" spans="1:8">
      <c r="A20" s="262"/>
      <c r="B20" s="5" t="s">
        <v>354</v>
      </c>
      <c r="C20" s="5"/>
      <c r="D20" s="185">
        <v>648</v>
      </c>
      <c r="E20" s="186">
        <v>444</v>
      </c>
      <c r="F20" s="186">
        <v>623</v>
      </c>
      <c r="G20" s="265">
        <v>511</v>
      </c>
    </row>
    <row r="21" spans="1:8">
      <c r="A21" s="262"/>
      <c r="B21" s="5" t="s">
        <v>355</v>
      </c>
      <c r="C21" s="5"/>
      <c r="D21" s="185">
        <f>'Reorganised Statements'!D30-'Reorganised Statements'!E30</f>
        <v>95</v>
      </c>
      <c r="E21" s="185">
        <f>'Reorganised Statements'!E30-'Reorganised Statements'!F30</f>
        <v>-46</v>
      </c>
      <c r="F21" s="185">
        <f>'Reorganised Statements'!F30-'Reorganised Statements'!G30</f>
        <v>17</v>
      </c>
      <c r="G21" s="268">
        <f>'Reorganised Statements'!G30-'Reorganised Statements'!H30</f>
        <v>34</v>
      </c>
      <c r="H21" s="249"/>
    </row>
    <row r="22" spans="1:8">
      <c r="A22" s="262"/>
      <c r="B22" s="5" t="s">
        <v>356</v>
      </c>
      <c r="C22" s="5"/>
      <c r="D22" s="185">
        <f>'Reorganised Statements'!D29-'Reorganised Statements'!E29</f>
        <v>33</v>
      </c>
      <c r="E22" s="185">
        <f>'Reorganised Statements'!E29-'Reorganised Statements'!F29</f>
        <v>-46</v>
      </c>
      <c r="F22" s="185">
        <f>'Reorganised Statements'!F29-'Reorganised Statements'!G29</f>
        <v>-5</v>
      </c>
      <c r="G22" s="268">
        <f>'Reorganised Statements'!G29-'Reorganised Statements'!H29</f>
        <v>-7</v>
      </c>
      <c r="H22" s="249"/>
    </row>
    <row r="23" spans="1:8">
      <c r="A23" s="262"/>
      <c r="B23" s="5" t="s">
        <v>369</v>
      </c>
      <c r="C23" s="5"/>
      <c r="D23" s="185">
        <f>'Reorganised Statements'!D28-'Reorganised Statements'!E28</f>
        <v>-33</v>
      </c>
      <c r="E23" s="185">
        <f>'Reorganised Statements'!E28-'Reorganised Statements'!F28</f>
        <v>40</v>
      </c>
      <c r="F23" s="185">
        <f>'Reorganised Statements'!F28-'Reorganised Statements'!G28</f>
        <v>37</v>
      </c>
      <c r="G23" s="268">
        <f>'Reorganised Statements'!G28-'Reorganised Statements'!H28</f>
        <v>-13</v>
      </c>
    </row>
    <row r="24" spans="1:8">
      <c r="A24" s="262"/>
      <c r="B24" s="5" t="s">
        <v>357</v>
      </c>
      <c r="C24" s="5"/>
      <c r="D24" s="185">
        <v>20</v>
      </c>
      <c r="E24" s="186">
        <v>-91</v>
      </c>
      <c r="F24" s="186">
        <v>11</v>
      </c>
      <c r="G24" s="265">
        <v>-3</v>
      </c>
    </row>
    <row r="25" spans="1:8">
      <c r="A25" s="262"/>
      <c r="B25" s="18" t="s">
        <v>358</v>
      </c>
      <c r="C25" s="20"/>
      <c r="D25" s="189">
        <f>D8+D17+SUM(D19:D24)</f>
        <v>32.18562874251495</v>
      </c>
      <c r="E25" s="189">
        <f t="shared" ref="E25:G25" si="3">E8+E17+SUM(E19:E24)</f>
        <v>765.33333333333326</v>
      </c>
      <c r="F25" s="189">
        <f t="shared" si="3"/>
        <v>31.600000000000023</v>
      </c>
      <c r="G25" s="269">
        <f t="shared" si="3"/>
        <v>229.51807228915663</v>
      </c>
    </row>
    <row r="26" spans="1:8">
      <c r="A26" s="262"/>
      <c r="B26" s="5" t="s">
        <v>359</v>
      </c>
      <c r="C26" s="5"/>
      <c r="D26" s="193">
        <f>-D25/D5</f>
        <v>-7.2653789486489734E-2</v>
      </c>
      <c r="E26" s="193">
        <f t="shared" ref="E26:G26" si="4">E25/E5</f>
        <v>1.0779342723004695</v>
      </c>
      <c r="F26" s="193">
        <f t="shared" si="4"/>
        <v>5.3741496598639492E-2</v>
      </c>
      <c r="G26" s="270">
        <f t="shared" si="4"/>
        <v>0.33408744146893249</v>
      </c>
    </row>
    <row r="27" spans="1:8">
      <c r="A27" s="262"/>
      <c r="B27" s="5"/>
      <c r="C27" s="5"/>
      <c r="D27" s="185"/>
      <c r="E27" s="186"/>
      <c r="F27" s="186"/>
      <c r="G27" s="265"/>
    </row>
    <row r="28" spans="1:8">
      <c r="A28" s="262"/>
      <c r="B28" s="5" t="s">
        <v>360</v>
      </c>
      <c r="C28" s="5"/>
      <c r="D28" s="185">
        <f>('Reorganised Statements'!D7-'Reorganised Statements'!E7)+'Reorganised Statements'!E99</f>
        <v>-108</v>
      </c>
      <c r="E28" s="185">
        <f>('Reorganised Statements'!E7-'Reorganised Statements'!F7)+'Reorganised Statements'!F99</f>
        <v>-105</v>
      </c>
      <c r="F28" s="185">
        <f>('Reorganised Statements'!F7-'Reorganised Statements'!G7)+'Reorganised Statements'!G99</f>
        <v>-36</v>
      </c>
      <c r="G28" s="185">
        <f>('Reorganised Statements'!G7-'Reorganised Statements'!H7)+'Reorganised Statements'!H99</f>
        <v>-126</v>
      </c>
    </row>
    <row r="29" spans="1:8">
      <c r="A29" s="262"/>
      <c r="B29" s="5" t="s">
        <v>361</v>
      </c>
      <c r="C29" s="5"/>
      <c r="D29" s="185">
        <f>'Reorganised Statements'!D39-'Reorganised Statements'!E39</f>
        <v>14</v>
      </c>
      <c r="E29" s="185">
        <f>'Reorganised Statements'!E39-'Reorganised Statements'!F39</f>
        <v>143</v>
      </c>
      <c r="F29" s="185">
        <f>'Reorganised Statements'!F39-'Reorganised Statements'!G39</f>
        <v>-260</v>
      </c>
      <c r="G29" s="268">
        <f>'Reorganised Statements'!G39-'Reorganised Statements'!H39</f>
        <v>-67</v>
      </c>
    </row>
    <row r="30" spans="1:8">
      <c r="A30" s="262"/>
      <c r="B30" s="5" t="s">
        <v>378</v>
      </c>
      <c r="C30" s="5"/>
      <c r="D30" s="185">
        <f>-D7</f>
        <v>39.814371257485028</v>
      </c>
      <c r="E30" s="185">
        <f t="shared" ref="E30:G30" si="5">-E7</f>
        <v>44.666666666666664</v>
      </c>
      <c r="F30" s="185">
        <f t="shared" si="5"/>
        <v>31.400000000000002</v>
      </c>
      <c r="G30" s="268">
        <f t="shared" si="5"/>
        <v>34.481927710843372</v>
      </c>
    </row>
    <row r="31" spans="1:8">
      <c r="A31" s="262"/>
      <c r="B31" s="18" t="s">
        <v>362</v>
      </c>
      <c r="C31" s="20"/>
      <c r="D31" s="189">
        <f>D25+D28+D29+D30</f>
        <v>-22.000000000000021</v>
      </c>
      <c r="E31" s="190">
        <f t="shared" ref="E31:G31" si="6">E25+E28+E29+E30</f>
        <v>847.99999999999989</v>
      </c>
      <c r="F31" s="190">
        <f t="shared" si="6"/>
        <v>-232.99999999999997</v>
      </c>
      <c r="G31" s="271">
        <f t="shared" si="6"/>
        <v>71</v>
      </c>
    </row>
    <row r="32" spans="1:8">
      <c r="A32" s="262"/>
      <c r="B32" s="5" t="s">
        <v>363</v>
      </c>
      <c r="C32" s="5"/>
      <c r="D32" s="185"/>
      <c r="E32" s="186"/>
      <c r="F32" s="186"/>
      <c r="G32" s="265"/>
    </row>
    <row r="33" spans="1:8">
      <c r="A33" s="262"/>
      <c r="B33" s="5"/>
      <c r="C33" s="5"/>
      <c r="D33" s="191"/>
      <c r="E33" s="192"/>
      <c r="F33" s="192"/>
      <c r="G33" s="272"/>
    </row>
    <row r="34" spans="1:8">
      <c r="A34" s="262"/>
      <c r="B34" s="5" t="s">
        <v>364</v>
      </c>
      <c r="C34" s="5"/>
      <c r="D34" s="192">
        <f>('Reorganised Statements'!D35-'Reorganised Statements'!E35)-'Reorganised Statements'!E114</f>
        <v>-212</v>
      </c>
      <c r="E34" s="192">
        <f>('Reorganised Statements'!E35-'Reorganised Statements'!F35)-'Reorganised Statements'!F114</f>
        <v>-559</v>
      </c>
      <c r="F34" s="192">
        <f>('Reorganised Statements'!F35-'Reorganised Statements'!G35)-'Reorganised Statements'!G114</f>
        <v>166</v>
      </c>
      <c r="G34" s="272">
        <f>('Reorganised Statements'!G35-'Reorganised Statements'!H35)-'Reorganised Statements'!H114</f>
        <v>-261</v>
      </c>
    </row>
    <row r="35" spans="1:8">
      <c r="A35" s="262"/>
      <c r="B35" s="8" t="s">
        <v>365</v>
      </c>
      <c r="C35" s="5"/>
      <c r="D35" s="191">
        <f>D31+D34</f>
        <v>-234.00000000000003</v>
      </c>
      <c r="E35" s="191">
        <f t="shared" ref="E35:G35" si="7">E31+E34</f>
        <v>288.99999999999989</v>
      </c>
      <c r="F35" s="191">
        <f t="shared" si="7"/>
        <v>-66.999999999999972</v>
      </c>
      <c r="G35" s="273">
        <f t="shared" si="7"/>
        <v>-190</v>
      </c>
    </row>
    <row r="36" spans="1:8">
      <c r="A36" s="262"/>
      <c r="B36" s="5"/>
      <c r="C36" s="5"/>
      <c r="D36" s="191"/>
      <c r="E36" s="192"/>
      <c r="F36" s="192"/>
      <c r="G36" s="272"/>
    </row>
    <row r="37" spans="1:8">
      <c r="A37" s="262"/>
      <c r="B37" s="180" t="s">
        <v>366</v>
      </c>
      <c r="C37" s="5"/>
      <c r="D37" s="191">
        <v>636</v>
      </c>
      <c r="E37" s="192">
        <v>402</v>
      </c>
      <c r="F37" s="192">
        <v>691</v>
      </c>
      <c r="G37" s="272">
        <v>624</v>
      </c>
      <c r="H37" s="249"/>
    </row>
    <row r="38" spans="1:8">
      <c r="A38" s="262"/>
      <c r="B38" s="180" t="s">
        <v>367</v>
      </c>
      <c r="C38" s="5"/>
      <c r="D38" s="191">
        <v>402</v>
      </c>
      <c r="E38" s="192">
        <v>691</v>
      </c>
      <c r="F38" s="192">
        <v>624</v>
      </c>
      <c r="G38" s="272">
        <v>434</v>
      </c>
      <c r="H38" s="249"/>
    </row>
    <row r="39" spans="1:8" ht="15" thickBot="1">
      <c r="A39" s="274"/>
      <c r="B39" s="275" t="s">
        <v>368</v>
      </c>
      <c r="C39" s="275"/>
      <c r="D39" s="276">
        <f>D38-D37</f>
        <v>-234</v>
      </c>
      <c r="E39" s="276">
        <f t="shared" ref="E39:G39" si="8">E38-E37</f>
        <v>289</v>
      </c>
      <c r="F39" s="276">
        <f t="shared" si="8"/>
        <v>-67</v>
      </c>
      <c r="G39" s="277">
        <f t="shared" si="8"/>
        <v>-190</v>
      </c>
      <c r="H39" s="249"/>
    </row>
    <row r="40" spans="1:8" ht="15" thickBot="1">
      <c r="A40" s="1"/>
      <c r="B40" s="1"/>
      <c r="C40" s="1"/>
      <c r="D40" s="1"/>
      <c r="E40" s="1"/>
      <c r="F40" s="1"/>
      <c r="G40" s="1"/>
    </row>
    <row r="41" spans="1:8" ht="15" thickBot="1">
      <c r="A41" s="1"/>
      <c r="B41" s="278" t="s">
        <v>379</v>
      </c>
      <c r="C41" s="279"/>
      <c r="D41" s="279" t="str">
        <f>IF(D35=D39,"Correct","Incorrect")</f>
        <v>Correct</v>
      </c>
      <c r="E41" s="279" t="str">
        <f t="shared" ref="E41:G41" si="9">IF(E35=E39,"Correct","Incorrect")</f>
        <v>Correct</v>
      </c>
      <c r="F41" s="279" t="str">
        <f t="shared" si="9"/>
        <v>Correct</v>
      </c>
      <c r="G41" s="280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B2C-8398-479F-9B39-083013074D33}">
  <sheetPr codeName="Foglio6"/>
  <dimension ref="A1:L168"/>
  <sheetViews>
    <sheetView topLeftCell="A82" workbookViewId="0">
      <selection activeCell="B173" sqref="B173"/>
    </sheetView>
  </sheetViews>
  <sheetFormatPr defaultRowHeight="14.4"/>
  <cols>
    <col min="1" max="1" width="53.5546875" customWidth="1"/>
    <col min="3" max="3" width="15.6640625" customWidth="1"/>
    <col min="4" max="4" width="18.44140625" customWidth="1"/>
    <col min="5" max="5" width="12.88671875" customWidth="1"/>
    <col min="6" max="6" width="15.109375" customWidth="1"/>
    <col min="7" max="7" width="13.109375" customWidth="1"/>
  </cols>
  <sheetData>
    <row r="1" spans="1:12" ht="25.8">
      <c r="A1" s="680" t="s">
        <v>314</v>
      </c>
      <c r="B1" s="681"/>
      <c r="C1" s="129"/>
      <c r="D1" s="129"/>
      <c r="E1" s="129"/>
      <c r="F1" s="129"/>
      <c r="G1" s="311"/>
      <c r="H1" s="1"/>
      <c r="I1" s="1"/>
      <c r="J1" s="1"/>
      <c r="K1" s="1"/>
      <c r="L1" s="1"/>
    </row>
    <row r="2" spans="1:12">
      <c r="A2" s="312"/>
      <c r="B2" s="678" t="s">
        <v>158</v>
      </c>
      <c r="C2" s="678"/>
      <c r="D2" s="678"/>
      <c r="E2" s="678"/>
      <c r="F2" s="678"/>
      <c r="G2" s="679"/>
      <c r="H2" s="1"/>
      <c r="I2" s="1"/>
      <c r="J2" s="1"/>
      <c r="K2" s="1"/>
      <c r="L2" s="1"/>
    </row>
    <row r="3" spans="1:12">
      <c r="A3" s="260"/>
      <c r="B3" s="126" t="s">
        <v>1</v>
      </c>
      <c r="C3" s="128">
        <v>42369</v>
      </c>
      <c r="D3" s="128">
        <v>42735</v>
      </c>
      <c r="E3" s="128">
        <v>43100</v>
      </c>
      <c r="F3" s="128">
        <v>43465</v>
      </c>
      <c r="G3" s="313">
        <v>43830</v>
      </c>
      <c r="H3" s="1"/>
      <c r="I3" s="1"/>
      <c r="J3" s="1"/>
      <c r="K3" s="1"/>
      <c r="L3" s="1"/>
    </row>
    <row r="4" spans="1:12">
      <c r="A4" s="314"/>
      <c r="B4" s="5"/>
      <c r="C4" s="31"/>
      <c r="D4" s="29"/>
      <c r="E4" s="29"/>
      <c r="F4" s="29"/>
      <c r="G4" s="263"/>
      <c r="H4" s="1"/>
      <c r="I4" s="1"/>
      <c r="J4" s="1"/>
      <c r="K4" s="1"/>
      <c r="L4" s="1"/>
    </row>
    <row r="5" spans="1:12">
      <c r="A5" s="315" t="s">
        <v>327</v>
      </c>
      <c r="B5" s="141"/>
      <c r="C5" s="151">
        <v>5067</v>
      </c>
      <c r="D5" s="143">
        <v>5129</v>
      </c>
      <c r="E5" s="143">
        <v>4606</v>
      </c>
      <c r="F5" s="143">
        <v>4620</v>
      </c>
      <c r="G5" s="316">
        <v>4869</v>
      </c>
      <c r="H5" s="1"/>
      <c r="I5" s="1"/>
      <c r="J5" s="1"/>
      <c r="K5" s="1"/>
      <c r="L5" s="1"/>
    </row>
    <row r="6" spans="1:12">
      <c r="A6" s="315" t="s">
        <v>328</v>
      </c>
      <c r="B6" s="141"/>
      <c r="C6" s="151">
        <v>1348</v>
      </c>
      <c r="D6" s="143">
        <v>1704</v>
      </c>
      <c r="E6" s="143">
        <v>1863</v>
      </c>
      <c r="F6" s="143">
        <v>2302</v>
      </c>
      <c r="G6" s="316">
        <v>2379</v>
      </c>
      <c r="H6" s="1"/>
      <c r="I6" s="1"/>
      <c r="J6" s="1"/>
      <c r="K6" s="1"/>
      <c r="L6" s="1"/>
    </row>
    <row r="7" spans="1:12">
      <c r="A7" s="315" t="s">
        <v>323</v>
      </c>
      <c r="B7" s="141"/>
      <c r="C7" s="151">
        <v>137</v>
      </c>
      <c r="D7" s="143">
        <v>136</v>
      </c>
      <c r="E7" s="143">
        <v>107</v>
      </c>
      <c r="F7" s="143">
        <v>45</v>
      </c>
      <c r="G7" s="316">
        <v>65</v>
      </c>
      <c r="H7" s="1"/>
      <c r="I7" s="1"/>
      <c r="J7" s="1"/>
      <c r="K7" s="1"/>
      <c r="L7" s="1"/>
    </row>
    <row r="8" spans="1:12">
      <c r="A8" s="325" t="s">
        <v>527</v>
      </c>
      <c r="B8" s="142"/>
      <c r="C8" s="152">
        <v>-57</v>
      </c>
      <c r="D8" s="144">
        <v>-56</v>
      </c>
      <c r="E8" s="144">
        <v>-36</v>
      </c>
      <c r="F8" s="144">
        <v>-22</v>
      </c>
      <c r="G8" s="337">
        <v>-20</v>
      </c>
      <c r="H8" s="1"/>
      <c r="I8" s="1"/>
      <c r="J8" s="1"/>
      <c r="K8" s="1"/>
      <c r="L8" s="1"/>
    </row>
    <row r="9" spans="1:12">
      <c r="A9" s="317" t="s">
        <v>329</v>
      </c>
      <c r="B9" s="318"/>
      <c r="C9" s="146">
        <f>SUM(C5:C8)</f>
        <v>6495</v>
      </c>
      <c r="D9" s="146">
        <f t="shared" ref="D9:G9" si="0">SUM(D5:D8)</f>
        <v>6913</v>
      </c>
      <c r="E9" s="146">
        <f t="shared" si="0"/>
        <v>6540</v>
      </c>
      <c r="F9" s="146">
        <f t="shared" si="0"/>
        <v>6945</v>
      </c>
      <c r="G9" s="319">
        <f t="shared" si="0"/>
        <v>7293</v>
      </c>
      <c r="H9" s="1"/>
      <c r="I9" s="1"/>
      <c r="J9" s="1"/>
      <c r="K9" s="1"/>
      <c r="L9" s="1"/>
    </row>
    <row r="10" spans="1:12">
      <c r="A10" s="315"/>
      <c r="B10" s="141"/>
      <c r="C10" s="151"/>
      <c r="D10" s="143"/>
      <c r="E10" s="143"/>
      <c r="F10" s="143"/>
      <c r="G10" s="316"/>
      <c r="H10" s="1"/>
      <c r="I10" s="1"/>
      <c r="J10" s="1"/>
      <c r="K10" s="1"/>
      <c r="L10" s="1"/>
    </row>
    <row r="11" spans="1:12">
      <c r="A11" s="315" t="s">
        <v>318</v>
      </c>
      <c r="B11" s="141"/>
      <c r="C11" s="151">
        <v>184</v>
      </c>
      <c r="D11" s="143">
        <v>159</v>
      </c>
      <c r="E11" s="143">
        <v>147</v>
      </c>
      <c r="F11" s="143">
        <v>187</v>
      </c>
      <c r="G11" s="316">
        <v>184</v>
      </c>
      <c r="H11" s="1"/>
      <c r="I11" s="1"/>
      <c r="J11" s="1"/>
      <c r="K11" s="1"/>
      <c r="L11" s="1"/>
    </row>
    <row r="12" spans="1:12">
      <c r="A12" s="315" t="s">
        <v>319</v>
      </c>
      <c r="B12" s="141"/>
      <c r="C12" s="151">
        <v>1485</v>
      </c>
      <c r="D12" s="143">
        <v>1821</v>
      </c>
      <c r="E12" s="143">
        <v>1671</v>
      </c>
      <c r="F12" s="143">
        <v>1781</v>
      </c>
      <c r="G12" s="316">
        <v>1852</v>
      </c>
      <c r="H12" s="1"/>
      <c r="I12" s="1"/>
      <c r="J12" s="1"/>
      <c r="K12" s="1"/>
      <c r="L12" s="1"/>
    </row>
    <row r="13" spans="1:12">
      <c r="A13" s="315" t="s">
        <v>324</v>
      </c>
      <c r="B13" s="141"/>
      <c r="C13" s="151">
        <v>-1170</v>
      </c>
      <c r="D13" s="143">
        <v>-1384</v>
      </c>
      <c r="E13" s="143">
        <v>-1381</v>
      </c>
      <c r="F13" s="143">
        <v>-1413</v>
      </c>
      <c r="G13" s="316">
        <v>-1481</v>
      </c>
      <c r="H13" s="1"/>
      <c r="I13" s="1"/>
      <c r="J13" s="1"/>
      <c r="K13" s="1"/>
      <c r="L13" s="1"/>
    </row>
    <row r="14" spans="1:12">
      <c r="A14" s="320" t="s">
        <v>330</v>
      </c>
      <c r="B14" s="321"/>
      <c r="C14" s="159">
        <f>SUM(C11:C13)</f>
        <v>499</v>
      </c>
      <c r="D14" s="159">
        <f t="shared" ref="D14:G14" si="1">SUM(D11:D13)</f>
        <v>596</v>
      </c>
      <c r="E14" s="159">
        <f t="shared" si="1"/>
        <v>437</v>
      </c>
      <c r="F14" s="159">
        <f t="shared" si="1"/>
        <v>555</v>
      </c>
      <c r="G14" s="484">
        <f t="shared" si="1"/>
        <v>555</v>
      </c>
      <c r="H14" s="1"/>
      <c r="I14" s="1"/>
      <c r="J14" s="1"/>
      <c r="K14" s="1"/>
      <c r="L14" s="1"/>
    </row>
    <row r="15" spans="1:12">
      <c r="A15" s="323"/>
      <c r="B15" s="140"/>
      <c r="C15" s="150"/>
      <c r="D15" s="145"/>
      <c r="E15" s="145"/>
      <c r="F15" s="145"/>
      <c r="G15" s="324"/>
      <c r="H15" s="1"/>
      <c r="I15" s="1"/>
      <c r="J15" s="1"/>
      <c r="K15" s="1"/>
      <c r="L15" s="1"/>
    </row>
    <row r="16" spans="1:12">
      <c r="A16" s="315" t="s">
        <v>11</v>
      </c>
      <c r="B16" s="141"/>
      <c r="C16" s="143">
        <f>SUM(C17:C23)</f>
        <v>465</v>
      </c>
      <c r="D16" s="143">
        <f t="shared" ref="D16:G16" si="2">SUM(D17:D23)</f>
        <v>473</v>
      </c>
      <c r="E16" s="143">
        <f t="shared" si="2"/>
        <v>555</v>
      </c>
      <c r="F16" s="143">
        <f t="shared" si="2"/>
        <v>486</v>
      </c>
      <c r="G16" s="316">
        <f t="shared" si="2"/>
        <v>653</v>
      </c>
      <c r="H16" s="1"/>
      <c r="I16" s="1"/>
      <c r="J16" s="1"/>
      <c r="K16" s="1"/>
      <c r="L16" s="1"/>
    </row>
    <row r="17" spans="1:12">
      <c r="A17" s="315" t="s">
        <v>320</v>
      </c>
      <c r="B17" s="141"/>
      <c r="C17" s="151">
        <v>183</v>
      </c>
      <c r="D17" s="143">
        <v>389</v>
      </c>
      <c r="E17" s="143">
        <v>216</v>
      </c>
      <c r="F17" s="143">
        <v>313</v>
      </c>
      <c r="G17" s="316">
        <v>567</v>
      </c>
      <c r="H17" s="1"/>
      <c r="I17" s="1"/>
      <c r="J17" s="1"/>
      <c r="K17" s="1"/>
      <c r="L17" s="1"/>
    </row>
    <row r="18" spans="1:12">
      <c r="A18" s="315" t="s">
        <v>321</v>
      </c>
      <c r="B18" s="141"/>
      <c r="C18" s="151">
        <v>171</v>
      </c>
      <c r="D18" s="143">
        <v>218</v>
      </c>
      <c r="E18" s="143">
        <v>8</v>
      </c>
      <c r="F18" s="143">
        <v>16</v>
      </c>
      <c r="G18" s="316">
        <v>10</v>
      </c>
      <c r="H18" s="1"/>
      <c r="I18" s="1"/>
      <c r="J18" s="1"/>
      <c r="K18" s="1"/>
      <c r="L18" s="1"/>
    </row>
    <row r="19" spans="1:12">
      <c r="A19" s="325" t="s">
        <v>527</v>
      </c>
      <c r="B19" s="142"/>
      <c r="C19" s="152">
        <v>-171</v>
      </c>
      <c r="D19" s="144">
        <v>-218</v>
      </c>
      <c r="E19" s="144">
        <v>-8</v>
      </c>
      <c r="F19" s="144">
        <v>-16</v>
      </c>
      <c r="G19" s="337">
        <v>-10</v>
      </c>
      <c r="H19" s="1"/>
      <c r="I19" s="1"/>
      <c r="J19" s="1"/>
      <c r="K19" s="1"/>
      <c r="L19" s="1"/>
    </row>
    <row r="20" spans="1:12" ht="15.6" customHeight="1">
      <c r="A20" s="326" t="s">
        <v>31</v>
      </c>
      <c r="B20" s="153"/>
      <c r="C20" s="151">
        <v>6</v>
      </c>
      <c r="D20" s="143">
        <v>12</v>
      </c>
      <c r="E20" s="143">
        <v>8</v>
      </c>
      <c r="F20" s="143">
        <v>20</v>
      </c>
      <c r="G20" s="316">
        <v>25</v>
      </c>
      <c r="H20" s="1"/>
      <c r="I20" s="1"/>
      <c r="J20" s="1"/>
      <c r="K20" s="1"/>
      <c r="L20" s="1"/>
    </row>
    <row r="21" spans="1:12" ht="19.2" customHeight="1">
      <c r="A21" s="485" t="s">
        <v>527</v>
      </c>
      <c r="B21" s="486"/>
      <c r="C21" s="152">
        <v>0</v>
      </c>
      <c r="D21" s="144">
        <v>-4</v>
      </c>
      <c r="E21" s="144">
        <v>0</v>
      </c>
      <c r="F21" s="144">
        <v>-8</v>
      </c>
      <c r="G21" s="337">
        <v>-2</v>
      </c>
      <c r="H21" s="1"/>
      <c r="I21" s="1"/>
      <c r="J21" s="1"/>
      <c r="K21" s="1"/>
      <c r="L21" s="1"/>
    </row>
    <row r="22" spans="1:12">
      <c r="A22" s="315" t="s">
        <v>75</v>
      </c>
      <c r="B22" s="141"/>
      <c r="C22" s="151">
        <v>71</v>
      </c>
      <c r="D22" s="143">
        <v>70</v>
      </c>
      <c r="E22" s="143">
        <v>107</v>
      </c>
      <c r="F22" s="143">
        <v>49</v>
      </c>
      <c r="G22" s="316">
        <v>63</v>
      </c>
      <c r="H22" s="1"/>
      <c r="I22" s="1"/>
      <c r="J22" s="1"/>
      <c r="K22" s="1"/>
      <c r="L22" s="1"/>
    </row>
    <row r="23" spans="1:12" ht="17.399999999999999" customHeight="1">
      <c r="A23" s="326" t="s">
        <v>322</v>
      </c>
      <c r="B23" s="141"/>
      <c r="C23" s="151">
        <v>205</v>
      </c>
      <c r="D23" s="143">
        <v>6</v>
      </c>
      <c r="E23" s="143">
        <v>224</v>
      </c>
      <c r="F23" s="143">
        <v>112</v>
      </c>
      <c r="G23" s="316">
        <v>0</v>
      </c>
      <c r="H23" s="1"/>
      <c r="I23" s="1"/>
      <c r="J23" s="1"/>
      <c r="K23" s="1"/>
      <c r="L23" s="1"/>
    </row>
    <row r="24" spans="1:12">
      <c r="A24" s="315" t="s">
        <v>342</v>
      </c>
      <c r="B24" s="141"/>
      <c r="C24" s="151">
        <f>SUM(C25:C28)</f>
        <v>-656</v>
      </c>
      <c r="D24" s="151">
        <f t="shared" ref="D24:G24" si="3">SUM(D25:D28)</f>
        <v>-874</v>
      </c>
      <c r="E24" s="151">
        <f t="shared" si="3"/>
        <v>-650</v>
      </c>
      <c r="F24" s="151">
        <f t="shared" si="3"/>
        <v>-749</v>
      </c>
      <c r="G24" s="327">
        <f t="shared" si="3"/>
        <v>-990</v>
      </c>
      <c r="H24" s="1"/>
      <c r="I24" s="1"/>
      <c r="J24" s="1"/>
      <c r="K24" s="1"/>
      <c r="L24" s="1"/>
    </row>
    <row r="25" spans="1:12">
      <c r="A25" s="315" t="s">
        <v>120</v>
      </c>
      <c r="B25" s="141"/>
      <c r="C25" s="151">
        <v>-72</v>
      </c>
      <c r="D25" s="143">
        <v>-90</v>
      </c>
      <c r="E25" s="143">
        <v>-125</v>
      </c>
      <c r="F25" s="143">
        <v>-134</v>
      </c>
      <c r="G25" s="316">
        <v>-140</v>
      </c>
      <c r="H25" s="1"/>
      <c r="I25" s="1"/>
      <c r="J25" s="1"/>
      <c r="K25" s="1"/>
      <c r="L25" s="1"/>
    </row>
    <row r="26" spans="1:12">
      <c r="A26" s="315" t="s">
        <v>153</v>
      </c>
      <c r="B26" s="141"/>
      <c r="C26" s="151">
        <v>-43</v>
      </c>
      <c r="D26" s="143">
        <v>-33</v>
      </c>
      <c r="E26" s="143">
        <v>-4</v>
      </c>
      <c r="F26" s="143">
        <v>-34</v>
      </c>
      <c r="G26" s="316">
        <v>-6</v>
      </c>
      <c r="H26" s="1"/>
      <c r="I26" s="1"/>
      <c r="J26" s="1"/>
      <c r="K26" s="1"/>
      <c r="L26" s="1"/>
    </row>
    <row r="27" spans="1:12">
      <c r="A27" s="315" t="s">
        <v>325</v>
      </c>
      <c r="B27" s="141"/>
      <c r="C27" s="151">
        <v>-521</v>
      </c>
      <c r="D27" s="143">
        <v>-744</v>
      </c>
      <c r="E27" s="143">
        <v>-521</v>
      </c>
      <c r="F27" s="143">
        <v>-581</v>
      </c>
      <c r="G27" s="316">
        <v>-844</v>
      </c>
      <c r="H27" s="1"/>
      <c r="I27" s="1"/>
      <c r="J27" s="1"/>
      <c r="K27" s="1"/>
      <c r="L27" s="1"/>
    </row>
    <row r="28" spans="1:12">
      <c r="A28" s="315" t="s">
        <v>376</v>
      </c>
      <c r="B28" s="141"/>
      <c r="C28" s="151">
        <v>-20</v>
      </c>
      <c r="D28" s="143">
        <v>-7</v>
      </c>
      <c r="E28" s="143">
        <v>0</v>
      </c>
      <c r="F28" s="143">
        <v>0</v>
      </c>
      <c r="G28" s="316">
        <v>0</v>
      </c>
      <c r="H28" s="1"/>
      <c r="I28" s="1"/>
      <c r="J28" s="1"/>
      <c r="K28" s="1"/>
      <c r="L28" s="1"/>
    </row>
    <row r="29" spans="1:12">
      <c r="A29" s="317" t="s">
        <v>331</v>
      </c>
      <c r="B29" s="318"/>
      <c r="C29" s="156">
        <f>C14+C16+C24</f>
        <v>308</v>
      </c>
      <c r="D29" s="156">
        <f t="shared" ref="D29:G29" si="4">D14+D16+D24</f>
        <v>195</v>
      </c>
      <c r="E29" s="156">
        <f t="shared" si="4"/>
        <v>342</v>
      </c>
      <c r="F29" s="156">
        <f t="shared" si="4"/>
        <v>292</v>
      </c>
      <c r="G29" s="328">
        <f t="shared" si="4"/>
        <v>218</v>
      </c>
      <c r="H29" s="1"/>
      <c r="I29" s="1"/>
      <c r="J29" s="1"/>
      <c r="K29" s="1"/>
      <c r="L29" s="1"/>
    </row>
    <row r="30" spans="1:12">
      <c r="A30" s="315"/>
      <c r="B30" s="141"/>
      <c r="C30" s="151"/>
      <c r="D30" s="143"/>
      <c r="E30" s="143"/>
      <c r="F30" s="143"/>
      <c r="G30" s="316"/>
      <c r="H30" s="1"/>
      <c r="I30" s="1"/>
      <c r="J30" s="1"/>
      <c r="K30" s="1"/>
      <c r="L30" s="1"/>
    </row>
    <row r="31" spans="1:12">
      <c r="A31" s="315" t="s">
        <v>375</v>
      </c>
      <c r="B31" s="141"/>
      <c r="C31" s="151">
        <v>308</v>
      </c>
      <c r="D31" s="143">
        <v>341</v>
      </c>
      <c r="E31" s="143">
        <v>301</v>
      </c>
      <c r="F31" s="143">
        <v>264</v>
      </c>
      <c r="G31" s="316">
        <v>277</v>
      </c>
      <c r="H31" s="1"/>
      <c r="I31" s="1"/>
      <c r="J31" s="1"/>
      <c r="K31" s="1"/>
      <c r="L31" s="1"/>
    </row>
    <row r="32" spans="1:12">
      <c r="A32" s="315" t="s">
        <v>113</v>
      </c>
      <c r="B32" s="141"/>
      <c r="C32" s="151">
        <v>-332</v>
      </c>
      <c r="D32" s="143">
        <v>-365</v>
      </c>
      <c r="E32" s="143">
        <v>-319</v>
      </c>
      <c r="F32" s="143">
        <v>-314</v>
      </c>
      <c r="G32" s="316">
        <v>-307</v>
      </c>
      <c r="H32" s="1"/>
      <c r="I32" s="1"/>
      <c r="J32" s="1"/>
      <c r="K32" s="1"/>
      <c r="L32" s="1"/>
    </row>
    <row r="33" spans="1:12">
      <c r="A33" s="315" t="s">
        <v>326</v>
      </c>
      <c r="B33" s="141"/>
      <c r="C33" s="151">
        <v>-576</v>
      </c>
      <c r="D33" s="143">
        <v>-671</v>
      </c>
      <c r="E33" s="143">
        <v>-625</v>
      </c>
      <c r="F33" s="143">
        <v>-642</v>
      </c>
      <c r="G33" s="316">
        <v>-676</v>
      </c>
      <c r="H33" s="1"/>
      <c r="I33" s="1"/>
      <c r="J33" s="1"/>
      <c r="K33" s="1"/>
      <c r="L33" s="1"/>
    </row>
    <row r="34" spans="1:12">
      <c r="A34" s="329" t="s">
        <v>332</v>
      </c>
      <c r="B34" s="330"/>
      <c r="C34" s="155">
        <f>C9+C29+C31+C32+C33</f>
        <v>6203</v>
      </c>
      <c r="D34" s="155">
        <f t="shared" ref="D34:G34" si="5">D9+D29+D31+D32+D33</f>
        <v>6413</v>
      </c>
      <c r="E34" s="155">
        <f t="shared" si="5"/>
        <v>6239</v>
      </c>
      <c r="F34" s="155">
        <f t="shared" si="5"/>
        <v>6545</v>
      </c>
      <c r="G34" s="331">
        <f t="shared" si="5"/>
        <v>6805</v>
      </c>
      <c r="H34" s="1"/>
      <c r="I34" s="1"/>
      <c r="J34" s="1"/>
      <c r="K34" s="1"/>
      <c r="L34" s="1"/>
    </row>
    <row r="35" spans="1:12">
      <c r="A35" s="315"/>
      <c r="B35" s="141"/>
      <c r="C35" s="151"/>
      <c r="D35" s="143"/>
      <c r="E35" s="143"/>
      <c r="F35" s="143"/>
      <c r="G35" s="316"/>
      <c r="H35" s="1"/>
      <c r="I35" s="1"/>
      <c r="J35" s="1"/>
      <c r="K35" s="1"/>
      <c r="L35" s="1"/>
    </row>
    <row r="36" spans="1:12">
      <c r="A36" s="315"/>
      <c r="B36" s="141"/>
      <c r="C36" s="151"/>
      <c r="D36" s="143"/>
      <c r="E36" s="143"/>
      <c r="F36" s="143"/>
      <c r="G36" s="316"/>
      <c r="H36" s="1"/>
      <c r="I36" s="1"/>
      <c r="J36" s="1"/>
      <c r="K36" s="1"/>
      <c r="L36" s="1"/>
    </row>
    <row r="37" spans="1:12">
      <c r="A37" s="315"/>
      <c r="B37" s="141"/>
      <c r="C37" s="151"/>
      <c r="D37" s="143"/>
      <c r="E37" s="143"/>
      <c r="F37" s="143"/>
      <c r="G37" s="316"/>
      <c r="H37" s="1"/>
      <c r="I37" s="1"/>
      <c r="J37" s="1"/>
      <c r="K37" s="1"/>
      <c r="L37" s="1"/>
    </row>
    <row r="38" spans="1:12">
      <c r="A38" s="332" t="s">
        <v>339</v>
      </c>
      <c r="B38" s="333"/>
      <c r="C38" s="157">
        <v>-3259</v>
      </c>
      <c r="D38" s="158">
        <v>-3279</v>
      </c>
      <c r="E38" s="158">
        <v>-3013</v>
      </c>
      <c r="F38" s="158">
        <v>-3523</v>
      </c>
      <c r="G38" s="356">
        <v>-3651</v>
      </c>
      <c r="H38" s="1"/>
      <c r="I38" s="1"/>
      <c r="J38" s="1"/>
      <c r="K38" s="1"/>
      <c r="L38" s="1"/>
    </row>
    <row r="39" spans="1:12">
      <c r="A39" s="315"/>
      <c r="B39" s="141"/>
      <c r="C39" s="151"/>
      <c r="D39" s="143"/>
      <c r="E39" s="143"/>
      <c r="F39" s="143"/>
      <c r="G39" s="316"/>
      <c r="H39" s="1"/>
      <c r="I39" s="1"/>
      <c r="J39" s="1"/>
      <c r="K39" s="1"/>
      <c r="L39" s="1"/>
    </row>
    <row r="40" spans="1:12">
      <c r="A40" s="315" t="s">
        <v>105</v>
      </c>
      <c r="B40" s="141"/>
      <c r="C40" s="151">
        <v>-3089</v>
      </c>
      <c r="D40" s="143">
        <v>-3436</v>
      </c>
      <c r="E40" s="143">
        <v>-3501</v>
      </c>
      <c r="F40" s="143">
        <v>-2984</v>
      </c>
      <c r="G40" s="316">
        <v>-3307</v>
      </c>
      <c r="H40" s="1"/>
      <c r="I40" s="1"/>
      <c r="J40" s="1"/>
      <c r="K40" s="1"/>
      <c r="L40" s="1"/>
    </row>
    <row r="41" spans="1:12">
      <c r="A41" s="315" t="s">
        <v>528</v>
      </c>
      <c r="B41" s="141"/>
      <c r="C41" s="151">
        <v>-27</v>
      </c>
      <c r="D41" s="143">
        <v>-19</v>
      </c>
      <c r="E41" s="143">
        <v>-23</v>
      </c>
      <c r="F41" s="143">
        <v>-14</v>
      </c>
      <c r="G41" s="316">
        <v>-9</v>
      </c>
      <c r="H41" s="1"/>
      <c r="I41" s="1"/>
      <c r="J41" s="1"/>
      <c r="K41" s="1"/>
      <c r="L41" s="1"/>
    </row>
    <row r="42" spans="1:12">
      <c r="A42" s="315" t="s">
        <v>529</v>
      </c>
      <c r="B42" s="141"/>
      <c r="C42" s="143">
        <v>57</v>
      </c>
      <c r="D42" s="143">
        <v>60</v>
      </c>
      <c r="E42" s="143">
        <v>36</v>
      </c>
      <c r="F42" s="143">
        <v>30</v>
      </c>
      <c r="G42" s="316">
        <v>22</v>
      </c>
      <c r="H42" s="1"/>
      <c r="I42" s="1"/>
      <c r="J42" s="1"/>
      <c r="K42" s="1"/>
      <c r="L42" s="1"/>
    </row>
    <row r="43" spans="1:12">
      <c r="A43" s="315" t="s">
        <v>150</v>
      </c>
      <c r="B43" s="141"/>
      <c r="C43" s="151">
        <v>-692</v>
      </c>
      <c r="D43" s="143">
        <v>-359</v>
      </c>
      <c r="E43" s="143">
        <v>-437</v>
      </c>
      <c r="F43" s="143">
        <v>-694</v>
      </c>
      <c r="G43" s="316">
        <v>-304</v>
      </c>
      <c r="H43" s="1"/>
      <c r="I43" s="1"/>
      <c r="J43" s="1"/>
      <c r="K43" s="1"/>
      <c r="L43" s="1"/>
    </row>
    <row r="44" spans="1:12">
      <c r="A44" s="334" t="s">
        <v>338</v>
      </c>
      <c r="B44" s="335"/>
      <c r="C44" s="162">
        <f>C40+C41+C42+C43</f>
        <v>-3751</v>
      </c>
      <c r="D44" s="162">
        <v>-3754</v>
      </c>
      <c r="E44" s="162">
        <v>-3925</v>
      </c>
      <c r="F44" s="162">
        <v>-3662</v>
      </c>
      <c r="G44" s="487">
        <v>-3598</v>
      </c>
      <c r="H44" s="1"/>
      <c r="I44" s="1"/>
      <c r="J44" s="1"/>
      <c r="K44" s="1"/>
      <c r="L44" s="1"/>
    </row>
    <row r="45" spans="1:12">
      <c r="A45" s="325"/>
      <c r="B45" s="142"/>
      <c r="C45" s="152"/>
      <c r="D45" s="144"/>
      <c r="E45" s="144"/>
      <c r="F45" s="144"/>
      <c r="G45" s="337"/>
      <c r="H45" s="1"/>
      <c r="I45" s="1"/>
      <c r="J45" s="1"/>
      <c r="K45" s="1"/>
      <c r="L45" s="1"/>
    </row>
    <row r="46" spans="1:12">
      <c r="A46" s="325" t="s">
        <v>530</v>
      </c>
      <c r="B46" s="142"/>
      <c r="C46" s="144">
        <v>171</v>
      </c>
      <c r="D46" s="144">
        <v>218</v>
      </c>
      <c r="E46" s="144">
        <v>8</v>
      </c>
      <c r="F46" s="144">
        <v>16</v>
      </c>
      <c r="G46" s="337">
        <v>10</v>
      </c>
      <c r="H46" s="1"/>
      <c r="I46" s="1"/>
      <c r="J46" s="1"/>
      <c r="K46" s="1"/>
      <c r="L46" s="1"/>
    </row>
    <row r="47" spans="1:12">
      <c r="A47" s="315" t="s">
        <v>77</v>
      </c>
      <c r="B47" s="141"/>
      <c r="C47" s="151">
        <v>636</v>
      </c>
      <c r="D47" s="143">
        <v>402</v>
      </c>
      <c r="E47" s="143">
        <v>691</v>
      </c>
      <c r="F47" s="143">
        <v>624</v>
      </c>
      <c r="G47" s="316">
        <v>434</v>
      </c>
      <c r="H47" s="1"/>
      <c r="I47" s="1"/>
      <c r="J47" s="1"/>
      <c r="K47" s="1"/>
      <c r="L47" s="1"/>
    </row>
    <row r="48" spans="1:12">
      <c r="A48" s="317" t="s">
        <v>333</v>
      </c>
      <c r="B48" s="318"/>
      <c r="C48" s="146">
        <f>C44+C46+C47</f>
        <v>-2944</v>
      </c>
      <c r="D48" s="146">
        <f t="shared" ref="D48:G48" si="6">D44+D46+D47</f>
        <v>-3134</v>
      </c>
      <c r="E48" s="146">
        <f t="shared" si="6"/>
        <v>-3226</v>
      </c>
      <c r="F48" s="146">
        <f t="shared" si="6"/>
        <v>-3022</v>
      </c>
      <c r="G48" s="319">
        <f t="shared" si="6"/>
        <v>-3154</v>
      </c>
      <c r="H48" s="1"/>
      <c r="I48" s="1"/>
      <c r="J48" s="1"/>
      <c r="K48" s="1"/>
      <c r="L48" s="1"/>
    </row>
    <row r="49" spans="1:12">
      <c r="A49" s="315"/>
      <c r="B49" s="141"/>
      <c r="C49" s="151"/>
      <c r="D49" s="143"/>
      <c r="E49" s="143"/>
      <c r="F49" s="143"/>
      <c r="G49" s="316"/>
      <c r="H49" s="1"/>
      <c r="I49" s="1"/>
      <c r="J49" s="1"/>
      <c r="K49" s="1"/>
      <c r="L49" s="1"/>
    </row>
    <row r="50" spans="1:12">
      <c r="A50" s="329" t="s">
        <v>332</v>
      </c>
      <c r="B50" s="330"/>
      <c r="C50" s="155">
        <f>C38+C48</f>
        <v>-6203</v>
      </c>
      <c r="D50" s="155">
        <f t="shared" ref="D50:G50" si="7">D38+D48</f>
        <v>-6413</v>
      </c>
      <c r="E50" s="155">
        <f t="shared" si="7"/>
        <v>-6239</v>
      </c>
      <c r="F50" s="155">
        <f t="shared" si="7"/>
        <v>-6545</v>
      </c>
      <c r="G50" s="331">
        <f t="shared" si="7"/>
        <v>-6805</v>
      </c>
      <c r="H50" s="1"/>
      <c r="I50" s="1"/>
      <c r="J50" s="1"/>
      <c r="K50" s="1"/>
      <c r="L50" s="1"/>
    </row>
    <row r="51" spans="1:12" ht="15" thickBot="1">
      <c r="A51" s="488" t="s">
        <v>345</v>
      </c>
      <c r="B51" s="489"/>
      <c r="C51" s="490">
        <f>C34+C50</f>
        <v>0</v>
      </c>
      <c r="D51" s="490">
        <f t="shared" ref="D51:G51" si="8">D34+D50</f>
        <v>0</v>
      </c>
      <c r="E51" s="490">
        <f t="shared" si="8"/>
        <v>0</v>
      </c>
      <c r="F51" s="490">
        <f t="shared" si="8"/>
        <v>0</v>
      </c>
      <c r="G51" s="491">
        <f t="shared" si="8"/>
        <v>0</v>
      </c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thickBot="1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24.6">
      <c r="A54" s="342" t="s">
        <v>302</v>
      </c>
      <c r="B54" s="343"/>
      <c r="C54" s="343"/>
      <c r="D54" s="343"/>
      <c r="E54" s="343"/>
      <c r="F54" s="343"/>
      <c r="G54" s="344"/>
      <c r="H54" s="1"/>
      <c r="I54" s="1"/>
      <c r="J54" s="1"/>
      <c r="K54" s="1"/>
      <c r="L54" s="1"/>
    </row>
    <row r="55" spans="1:12">
      <c r="A55" s="345"/>
      <c r="B55" s="111"/>
      <c r="C55" s="682" t="s">
        <v>163</v>
      </c>
      <c r="D55" s="682"/>
      <c r="E55" s="682"/>
      <c r="F55" s="682"/>
      <c r="G55" s="683"/>
      <c r="H55" s="1"/>
      <c r="I55" s="1"/>
      <c r="J55" s="1"/>
      <c r="K55" s="1"/>
      <c r="L55" s="1"/>
    </row>
    <row r="56" spans="1:12">
      <c r="A56" s="260"/>
      <c r="B56" s="125" t="s">
        <v>1</v>
      </c>
      <c r="C56" s="112">
        <v>42369</v>
      </c>
      <c r="D56" s="112">
        <v>42735</v>
      </c>
      <c r="E56" s="112">
        <v>43100</v>
      </c>
      <c r="F56" s="112">
        <v>43465</v>
      </c>
      <c r="G56" s="261">
        <v>43830</v>
      </c>
      <c r="H56" s="1"/>
      <c r="I56" s="1"/>
      <c r="J56" s="1"/>
      <c r="K56" s="1"/>
      <c r="L56" s="1"/>
    </row>
    <row r="57" spans="1:12">
      <c r="A57" s="262"/>
      <c r="B57" s="55"/>
      <c r="C57" s="48"/>
      <c r="D57" s="49"/>
      <c r="E57" s="49"/>
      <c r="F57" s="49"/>
      <c r="G57" s="492"/>
      <c r="H57" s="1"/>
      <c r="I57" s="1"/>
      <c r="J57" s="1"/>
      <c r="K57" s="1"/>
      <c r="L57" s="1"/>
    </row>
    <row r="58" spans="1:12">
      <c r="A58" s="314" t="s">
        <v>344</v>
      </c>
      <c r="B58" s="55"/>
      <c r="C58" s="150">
        <f>SUM(C61:C62)</f>
        <v>4921</v>
      </c>
      <c r="D58" s="145">
        <f t="shared" ref="D58:G58" si="9">SUM(D61:D62)</f>
        <v>4860</v>
      </c>
      <c r="E58" s="145">
        <f t="shared" si="9"/>
        <v>5796</v>
      </c>
      <c r="F58" s="145">
        <f t="shared" si="9"/>
        <v>6494</v>
      </c>
      <c r="G58" s="324">
        <f t="shared" si="9"/>
        <v>7324</v>
      </c>
      <c r="H58" s="1"/>
      <c r="I58" s="1"/>
      <c r="J58" s="1"/>
      <c r="K58" s="1"/>
      <c r="L58" s="1"/>
    </row>
    <row r="59" spans="1:12">
      <c r="A59" s="180" t="s">
        <v>167</v>
      </c>
      <c r="B59" s="55"/>
      <c r="C59" s="151">
        <v>3947</v>
      </c>
      <c r="D59" s="143">
        <v>3734</v>
      </c>
      <c r="E59" s="143">
        <v>4633</v>
      </c>
      <c r="F59" s="143">
        <v>5268</v>
      </c>
      <c r="G59" s="316">
        <v>6046</v>
      </c>
      <c r="H59" s="1"/>
      <c r="I59" s="1"/>
      <c r="J59" s="1"/>
      <c r="K59" s="1"/>
      <c r="L59" s="1"/>
    </row>
    <row r="60" spans="1:12">
      <c r="A60" s="180" t="s">
        <v>169</v>
      </c>
      <c r="B60" s="55"/>
      <c r="C60" s="151">
        <v>785</v>
      </c>
      <c r="D60" s="143">
        <v>847</v>
      </c>
      <c r="E60" s="143">
        <v>957</v>
      </c>
      <c r="F60" s="143">
        <v>1003</v>
      </c>
      <c r="G60" s="316">
        <v>1076</v>
      </c>
      <c r="H60" s="1"/>
      <c r="I60" s="1"/>
      <c r="J60" s="1"/>
      <c r="K60" s="1"/>
      <c r="L60" s="1"/>
    </row>
    <row r="61" spans="1:12">
      <c r="A61" s="493" t="s">
        <v>171</v>
      </c>
      <c r="B61" s="55"/>
      <c r="C61" s="152">
        <f>SUM(C59:C60)</f>
        <v>4732</v>
      </c>
      <c r="D61" s="144">
        <f>SUM(D59:D60)</f>
        <v>4581</v>
      </c>
      <c r="E61" s="144">
        <f>SUM(E59:E60)</f>
        <v>5590</v>
      </c>
      <c r="F61" s="144">
        <f>SUM(F59:F60)</f>
        <v>6271</v>
      </c>
      <c r="G61" s="337">
        <f>SUM(G59:G60)</f>
        <v>7122</v>
      </c>
      <c r="H61" s="1"/>
      <c r="I61" s="1"/>
      <c r="J61" s="1"/>
      <c r="K61" s="1"/>
      <c r="L61" s="1"/>
    </row>
    <row r="62" spans="1:12">
      <c r="A62" s="180" t="s">
        <v>173</v>
      </c>
      <c r="B62" s="55"/>
      <c r="C62" s="151">
        <v>189</v>
      </c>
      <c r="D62" s="143">
        <v>279</v>
      </c>
      <c r="E62" s="143">
        <v>206</v>
      </c>
      <c r="F62" s="143">
        <v>223</v>
      </c>
      <c r="G62" s="316">
        <v>202</v>
      </c>
      <c r="H62" s="1"/>
      <c r="I62" s="1"/>
      <c r="J62" s="1"/>
      <c r="K62" s="1"/>
      <c r="L62" s="1"/>
    </row>
    <row r="63" spans="1:12">
      <c r="A63" s="180"/>
      <c r="B63" s="55"/>
      <c r="C63" s="151"/>
      <c r="D63" s="151"/>
      <c r="E63" s="143"/>
      <c r="F63" s="143"/>
      <c r="G63" s="316"/>
      <c r="H63" s="1"/>
      <c r="I63" s="1"/>
      <c r="J63" s="1"/>
      <c r="K63" s="1"/>
      <c r="L63" s="1"/>
    </row>
    <row r="64" spans="1:12">
      <c r="A64" s="180" t="s">
        <v>177</v>
      </c>
      <c r="B64" s="55"/>
      <c r="C64" s="151">
        <v>-2286</v>
      </c>
      <c r="D64" s="151">
        <v>-2101</v>
      </c>
      <c r="E64" s="143">
        <v>-2831</v>
      </c>
      <c r="F64" s="143">
        <v>-3346</v>
      </c>
      <c r="G64" s="316">
        <v>-4004</v>
      </c>
      <c r="H64" s="1"/>
      <c r="I64" s="1"/>
      <c r="J64" s="1"/>
      <c r="K64" s="1"/>
      <c r="L64" s="1"/>
    </row>
    <row r="65" spans="1:12">
      <c r="A65" s="180" t="s">
        <v>179</v>
      </c>
      <c r="B65" s="55"/>
      <c r="C65" s="151">
        <v>-706</v>
      </c>
      <c r="D65" s="151">
        <v>-758</v>
      </c>
      <c r="E65" s="143">
        <v>-850</v>
      </c>
      <c r="F65" s="143">
        <v>-986</v>
      </c>
      <c r="G65" s="316">
        <v>-1152</v>
      </c>
      <c r="H65" s="1"/>
      <c r="I65" s="1"/>
      <c r="J65" s="1"/>
      <c r="K65" s="1"/>
      <c r="L65" s="1"/>
    </row>
    <row r="66" spans="1:12">
      <c r="A66" s="180" t="s">
        <v>183</v>
      </c>
      <c r="B66" s="55"/>
      <c r="C66" s="151">
        <v>-252</v>
      </c>
      <c r="D66" s="151">
        <v>-243</v>
      </c>
      <c r="E66" s="143">
        <v>-281</v>
      </c>
      <c r="F66" s="143">
        <v>-266</v>
      </c>
      <c r="G66" s="316">
        <v>-234</v>
      </c>
      <c r="H66" s="1"/>
      <c r="I66" s="1"/>
      <c r="J66" s="1"/>
      <c r="K66" s="1"/>
      <c r="L66" s="1"/>
    </row>
    <row r="67" spans="1:12">
      <c r="A67" s="180" t="s">
        <v>334</v>
      </c>
      <c r="B67" s="55"/>
      <c r="C67" s="151">
        <f>-SUM(C72:C73)</f>
        <v>-629</v>
      </c>
      <c r="D67" s="151">
        <f>-SUM(D72:D73)</f>
        <v>-596</v>
      </c>
      <c r="E67" s="143">
        <f>-SUM(E72:E73)</f>
        <v>-635</v>
      </c>
      <c r="F67" s="143">
        <f>-SUM(F72:F73)</f>
        <v>-665</v>
      </c>
      <c r="G67" s="316">
        <f>-SUM(G72:G73)</f>
        <v>-700</v>
      </c>
      <c r="H67" s="1"/>
      <c r="I67" s="1"/>
      <c r="J67" s="1"/>
      <c r="K67" s="1"/>
      <c r="L67" s="1"/>
    </row>
    <row r="68" spans="1:12">
      <c r="A68" s="180" t="s">
        <v>187</v>
      </c>
      <c r="B68" s="55"/>
      <c r="C68" s="151">
        <v>441</v>
      </c>
      <c r="D68" s="151">
        <v>433</v>
      </c>
      <c r="E68" s="143">
        <v>471</v>
      </c>
      <c r="F68" s="143">
        <v>494</v>
      </c>
      <c r="G68" s="316">
        <v>527</v>
      </c>
      <c r="H68" s="1"/>
      <c r="I68" s="1"/>
      <c r="J68" s="1"/>
      <c r="K68" s="1"/>
      <c r="L68" s="1"/>
    </row>
    <row r="69" spans="1:12">
      <c r="A69" s="180" t="s">
        <v>189</v>
      </c>
      <c r="B69" s="55"/>
      <c r="C69" s="151">
        <v>163</v>
      </c>
      <c r="D69" s="151">
        <v>146</v>
      </c>
      <c r="E69" s="143">
        <v>160</v>
      </c>
      <c r="F69" s="143">
        <v>173</v>
      </c>
      <c r="G69" s="316">
        <v>179</v>
      </c>
      <c r="H69" s="1"/>
      <c r="I69" s="1"/>
      <c r="J69" s="1"/>
      <c r="K69" s="1"/>
      <c r="L69" s="1"/>
    </row>
    <row r="70" spans="1:12">
      <c r="A70" s="180" t="s">
        <v>191</v>
      </c>
      <c r="B70" s="55"/>
      <c r="C70" s="151">
        <v>25</v>
      </c>
      <c r="D70" s="151">
        <v>26</v>
      </c>
      <c r="E70" s="143">
        <v>29</v>
      </c>
      <c r="F70" s="143">
        <v>31</v>
      </c>
      <c r="G70" s="316">
        <v>31</v>
      </c>
      <c r="H70" s="1"/>
      <c r="I70" s="1"/>
      <c r="J70" s="1"/>
      <c r="K70" s="1"/>
      <c r="L70" s="1"/>
    </row>
    <row r="71" spans="1:12">
      <c r="A71" s="180" t="s">
        <v>192</v>
      </c>
      <c r="B71" s="55"/>
      <c r="C71" s="151">
        <v>27</v>
      </c>
      <c r="D71" s="151">
        <v>36</v>
      </c>
      <c r="E71" s="143">
        <v>27</v>
      </c>
      <c r="F71" s="143">
        <v>33</v>
      </c>
      <c r="G71" s="316">
        <v>42</v>
      </c>
      <c r="H71" s="1"/>
      <c r="I71" s="1"/>
      <c r="J71" s="1"/>
      <c r="K71" s="1"/>
      <c r="L71" s="1"/>
    </row>
    <row r="72" spans="1:12">
      <c r="A72" s="493" t="s">
        <v>194</v>
      </c>
      <c r="B72" s="55"/>
      <c r="C72" s="152">
        <f>SUM(C68:C71)</f>
        <v>656</v>
      </c>
      <c r="D72" s="152">
        <f>SUM(D68:D71)</f>
        <v>641</v>
      </c>
      <c r="E72" s="144">
        <f>SUM(E68:E71)</f>
        <v>687</v>
      </c>
      <c r="F72" s="144">
        <f t="shared" ref="F72" si="10">SUM(F68:F71)</f>
        <v>731</v>
      </c>
      <c r="G72" s="337">
        <f>SUM(G68:G71)</f>
        <v>779</v>
      </c>
      <c r="H72" s="1"/>
      <c r="I72" s="1"/>
      <c r="J72" s="1"/>
      <c r="K72" s="1"/>
      <c r="L72" s="1"/>
    </row>
    <row r="73" spans="1:12">
      <c r="A73" s="180" t="s">
        <v>196</v>
      </c>
      <c r="B73" s="55"/>
      <c r="C73" s="151">
        <v>-27</v>
      </c>
      <c r="D73" s="151">
        <v>-45</v>
      </c>
      <c r="E73" s="143">
        <v>-52</v>
      </c>
      <c r="F73" s="143">
        <v>-66</v>
      </c>
      <c r="G73" s="316">
        <v>-79</v>
      </c>
      <c r="H73" s="1"/>
      <c r="I73" s="1"/>
      <c r="J73" s="1"/>
      <c r="K73" s="1"/>
      <c r="L73" s="1"/>
    </row>
    <row r="74" spans="1:12">
      <c r="A74" s="494" t="s">
        <v>343</v>
      </c>
      <c r="B74" s="304"/>
      <c r="C74" s="159">
        <f>SUM(C64:C67)</f>
        <v>-3873</v>
      </c>
      <c r="D74" s="159">
        <f>SUM(D64:D67)</f>
        <v>-3698</v>
      </c>
      <c r="E74" s="160">
        <f>SUM(E64:E67)</f>
        <v>-4597</v>
      </c>
      <c r="F74" s="160">
        <f>SUM(F64:F67)</f>
        <v>-5263</v>
      </c>
      <c r="G74" s="322">
        <f>SUM(G64:G67)</f>
        <v>-6090</v>
      </c>
      <c r="H74" s="1"/>
      <c r="I74" s="1"/>
      <c r="J74" s="1"/>
      <c r="K74" s="1"/>
      <c r="L74" s="1"/>
    </row>
    <row r="75" spans="1:12">
      <c r="A75" s="314"/>
      <c r="B75" s="55"/>
      <c r="C75" s="151"/>
      <c r="D75" s="151"/>
      <c r="E75" s="143"/>
      <c r="F75" s="143"/>
      <c r="G75" s="316"/>
      <c r="H75" s="1"/>
      <c r="I75" s="1"/>
      <c r="J75" s="1"/>
      <c r="K75" s="1"/>
      <c r="L75" s="1"/>
    </row>
    <row r="76" spans="1:12">
      <c r="A76" s="350" t="s">
        <v>306</v>
      </c>
      <c r="B76" s="495"/>
      <c r="C76" s="156">
        <f>SUM(C58,C74)</f>
        <v>1048</v>
      </c>
      <c r="D76" s="156">
        <f>SUM(D58,D74)</f>
        <v>1162</v>
      </c>
      <c r="E76" s="146">
        <f>SUM(E58,E74)</f>
        <v>1199</v>
      </c>
      <c r="F76" s="146">
        <f>SUM(F58,F74)</f>
        <v>1231</v>
      </c>
      <c r="G76" s="319">
        <f>SUM(G58,G74)</f>
        <v>1234</v>
      </c>
      <c r="H76" s="1"/>
      <c r="I76" s="1"/>
      <c r="J76" s="1"/>
      <c r="K76" s="1"/>
      <c r="L76" s="1"/>
    </row>
    <row r="77" spans="1:12">
      <c r="A77" s="180"/>
      <c r="B77" s="55"/>
      <c r="C77" s="243"/>
      <c r="D77" s="243"/>
      <c r="E77" s="147"/>
      <c r="F77" s="147"/>
      <c r="G77" s="496"/>
      <c r="H77" s="1"/>
      <c r="I77" s="1"/>
      <c r="J77" s="1"/>
      <c r="K77" s="1"/>
      <c r="L77" s="1"/>
    </row>
    <row r="78" spans="1:12">
      <c r="A78" s="180" t="s">
        <v>335</v>
      </c>
      <c r="B78" s="55"/>
      <c r="C78" s="151">
        <f>-SUM(C79:C81)</f>
        <v>-754</v>
      </c>
      <c r="D78" s="151">
        <f t="shared" ref="D78:G78" si="11">-SUM(D79:D81)</f>
        <v>-648</v>
      </c>
      <c r="E78" s="143">
        <f t="shared" si="11"/>
        <v>-444</v>
      </c>
      <c r="F78" s="143">
        <f t="shared" si="11"/>
        <v>-623</v>
      </c>
      <c r="G78" s="316">
        <f t="shared" si="11"/>
        <v>-511</v>
      </c>
      <c r="H78" s="1"/>
      <c r="I78" s="1"/>
      <c r="J78" s="1"/>
      <c r="K78" s="1"/>
      <c r="L78" s="1"/>
    </row>
    <row r="79" spans="1:12">
      <c r="A79" s="180" t="s">
        <v>202</v>
      </c>
      <c r="B79" s="55"/>
      <c r="C79" s="151">
        <v>54</v>
      </c>
      <c r="D79" s="151">
        <v>55</v>
      </c>
      <c r="E79" s="143">
        <v>72</v>
      </c>
      <c r="F79" s="143">
        <v>91</v>
      </c>
      <c r="G79" s="316">
        <v>123</v>
      </c>
      <c r="H79" s="1"/>
      <c r="I79" s="1"/>
      <c r="J79" s="1"/>
      <c r="K79" s="1"/>
      <c r="L79" s="1"/>
    </row>
    <row r="80" spans="1:12">
      <c r="A80" s="180" t="s">
        <v>204</v>
      </c>
      <c r="B80" s="55"/>
      <c r="C80" s="151">
        <v>341</v>
      </c>
      <c r="D80" s="151">
        <v>348</v>
      </c>
      <c r="E80" s="143">
        <v>338</v>
      </c>
      <c r="F80" s="143">
        <v>372</v>
      </c>
      <c r="G80" s="316">
        <v>379</v>
      </c>
      <c r="H80" s="1"/>
      <c r="I80" s="1"/>
      <c r="J80" s="1"/>
      <c r="K80" s="1"/>
      <c r="L80" s="1"/>
    </row>
    <row r="81" spans="1:12">
      <c r="A81" s="180" t="s">
        <v>206</v>
      </c>
      <c r="B81" s="55"/>
      <c r="C81" s="151">
        <v>359</v>
      </c>
      <c r="D81" s="151">
        <v>245</v>
      </c>
      <c r="E81" s="143">
        <v>34</v>
      </c>
      <c r="F81" s="143">
        <v>160</v>
      </c>
      <c r="G81" s="316">
        <v>9</v>
      </c>
      <c r="H81" s="1"/>
      <c r="I81" s="1"/>
      <c r="J81" s="1"/>
      <c r="K81" s="1"/>
      <c r="L81" s="1"/>
    </row>
    <row r="82" spans="1:12">
      <c r="A82" s="180" t="s">
        <v>459</v>
      </c>
      <c r="B82" s="55"/>
      <c r="C82" s="152">
        <f>-SUM(C83:C84)</f>
        <v>-79</v>
      </c>
      <c r="D82" s="152">
        <f t="shared" ref="D82:G82" si="12">-SUM(D83:D84)</f>
        <v>-71</v>
      </c>
      <c r="E82" s="144">
        <f t="shared" si="12"/>
        <v>-45</v>
      </c>
      <c r="F82" s="144">
        <f t="shared" si="12"/>
        <v>-20</v>
      </c>
      <c r="G82" s="337">
        <f t="shared" si="12"/>
        <v>-36</v>
      </c>
      <c r="H82" s="1"/>
      <c r="I82" s="1"/>
      <c r="J82" s="1"/>
      <c r="K82" s="1"/>
      <c r="L82" s="1"/>
    </row>
    <row r="83" spans="1:12">
      <c r="A83" s="180" t="s">
        <v>210</v>
      </c>
      <c r="B83" s="55"/>
      <c r="C83" s="151">
        <v>57</v>
      </c>
      <c r="D83" s="151">
        <v>50</v>
      </c>
      <c r="E83" s="143">
        <v>10</v>
      </c>
      <c r="F83" s="143">
        <v>-5</v>
      </c>
      <c r="G83" s="316">
        <v>21</v>
      </c>
      <c r="H83" s="1"/>
      <c r="I83" s="1"/>
      <c r="J83" s="1"/>
      <c r="K83" s="1"/>
      <c r="L83" s="1"/>
    </row>
    <row r="84" spans="1:12" ht="14.4" customHeight="1">
      <c r="A84" s="497" t="s">
        <v>212</v>
      </c>
      <c r="B84" s="55"/>
      <c r="C84" s="151">
        <v>22</v>
      </c>
      <c r="D84" s="151">
        <v>21</v>
      </c>
      <c r="E84" s="143">
        <v>35</v>
      </c>
      <c r="F84" s="143">
        <v>25</v>
      </c>
      <c r="G84" s="316">
        <v>15</v>
      </c>
      <c r="H84" s="1"/>
      <c r="I84" s="1"/>
      <c r="J84" s="1"/>
      <c r="K84" s="1"/>
      <c r="L84" s="1"/>
    </row>
    <row r="85" spans="1:12">
      <c r="A85" s="314"/>
      <c r="B85" s="55"/>
      <c r="C85" s="150"/>
      <c r="D85" s="151"/>
      <c r="E85" s="145"/>
      <c r="F85" s="145"/>
      <c r="G85" s="324"/>
      <c r="H85" s="1"/>
      <c r="I85" s="1"/>
      <c r="J85" s="1"/>
      <c r="K85" s="1"/>
      <c r="L85" s="1"/>
    </row>
    <row r="86" spans="1:12">
      <c r="A86" s="350" t="s">
        <v>303</v>
      </c>
      <c r="B86" s="495"/>
      <c r="C86" s="156">
        <f>SUM(C76,C78,C82)</f>
        <v>215</v>
      </c>
      <c r="D86" s="156">
        <f>SUM(D76,D78,D82)</f>
        <v>443</v>
      </c>
      <c r="E86" s="146">
        <f>SUM(E76,E78,E82)</f>
        <v>710</v>
      </c>
      <c r="F86" s="146">
        <f>SUM(F76,F78,F82)</f>
        <v>588</v>
      </c>
      <c r="G86" s="319">
        <f>SUM(G76,G78,G82)</f>
        <v>687</v>
      </c>
      <c r="H86" s="1"/>
      <c r="I86" s="1"/>
      <c r="J86" s="1"/>
      <c r="K86" s="1"/>
      <c r="L86" s="1"/>
    </row>
    <row r="87" spans="1:12">
      <c r="A87" s="314"/>
      <c r="B87" s="55"/>
      <c r="C87" s="150"/>
      <c r="D87" s="151"/>
      <c r="E87" s="145"/>
      <c r="F87" s="145"/>
      <c r="G87" s="324"/>
      <c r="H87" s="1"/>
      <c r="I87" s="1"/>
      <c r="J87" s="1"/>
      <c r="K87" s="1"/>
      <c r="L87" s="1"/>
    </row>
    <row r="88" spans="1:12">
      <c r="A88" s="180" t="s">
        <v>217</v>
      </c>
      <c r="B88" s="55"/>
      <c r="C88" s="151">
        <v>1</v>
      </c>
      <c r="D88" s="151">
        <v>52</v>
      </c>
      <c r="E88" s="143">
        <v>0</v>
      </c>
      <c r="F88" s="143">
        <v>14</v>
      </c>
      <c r="G88" s="316">
        <v>4</v>
      </c>
      <c r="H88" s="1"/>
      <c r="I88" s="1"/>
      <c r="J88" s="1"/>
      <c r="K88" s="1"/>
      <c r="L88" s="1"/>
    </row>
    <row r="89" spans="1:12">
      <c r="A89" s="180" t="s">
        <v>219</v>
      </c>
      <c r="B89" s="55"/>
      <c r="C89" s="151">
        <f>SUM(C93,-C102,C103)</f>
        <v>-138</v>
      </c>
      <c r="D89" s="151">
        <f t="shared" ref="D89:G89" si="13">SUM(D93,-D102,D103)</f>
        <v>-161</v>
      </c>
      <c r="E89" s="143">
        <f t="shared" si="13"/>
        <v>-134</v>
      </c>
      <c r="F89" s="143">
        <f t="shared" si="13"/>
        <v>-112</v>
      </c>
      <c r="G89" s="316">
        <f t="shared" si="13"/>
        <v>-110</v>
      </c>
      <c r="H89" s="1"/>
      <c r="I89" s="1"/>
      <c r="J89" s="1"/>
      <c r="K89" s="1"/>
      <c r="L89" s="1"/>
    </row>
    <row r="90" spans="1:12">
      <c r="A90" s="180" t="s">
        <v>221</v>
      </c>
      <c r="B90" s="55"/>
      <c r="C90" s="151"/>
      <c r="D90" s="151"/>
      <c r="E90" s="143"/>
      <c r="F90" s="143"/>
      <c r="G90" s="316"/>
      <c r="H90" s="1"/>
      <c r="I90" s="1"/>
      <c r="J90" s="1"/>
      <c r="K90" s="1"/>
      <c r="L90" s="1"/>
    </row>
    <row r="91" spans="1:12">
      <c r="A91" s="180" t="s">
        <v>223</v>
      </c>
      <c r="B91" s="55"/>
      <c r="C91" s="151"/>
      <c r="D91" s="151"/>
      <c r="E91" s="143"/>
      <c r="F91" s="143">
        <v>0</v>
      </c>
      <c r="G91" s="316">
        <v>4</v>
      </c>
      <c r="H91" s="1"/>
      <c r="I91" s="1"/>
      <c r="J91" s="1"/>
      <c r="K91" s="1"/>
      <c r="L91" s="1"/>
    </row>
    <row r="92" spans="1:12">
      <c r="A92" s="180" t="s">
        <v>224</v>
      </c>
      <c r="B92" s="55"/>
      <c r="C92" s="151"/>
      <c r="D92" s="151"/>
      <c r="E92" s="143"/>
      <c r="F92" s="143">
        <v>16</v>
      </c>
      <c r="G92" s="316">
        <v>12</v>
      </c>
      <c r="H92" s="1"/>
      <c r="I92" s="1"/>
      <c r="J92" s="1"/>
      <c r="K92" s="1"/>
      <c r="L92" s="1"/>
    </row>
    <row r="93" spans="1:12">
      <c r="A93" s="180" t="s">
        <v>225</v>
      </c>
      <c r="B93" s="55"/>
      <c r="C93" s="151">
        <v>28</v>
      </c>
      <c r="D93" s="151">
        <v>34</v>
      </c>
      <c r="E93" s="143">
        <v>19</v>
      </c>
      <c r="F93" s="143">
        <f t="shared" ref="F93" si="14">SUM(F91:F92)</f>
        <v>16</v>
      </c>
      <c r="G93" s="316">
        <f>SUM(G91:G92)</f>
        <v>16</v>
      </c>
      <c r="H93" s="1"/>
      <c r="I93" s="1"/>
      <c r="J93" s="1"/>
      <c r="K93" s="1"/>
      <c r="L93" s="1"/>
    </row>
    <row r="94" spans="1:12">
      <c r="A94" s="180" t="s">
        <v>226</v>
      </c>
      <c r="B94" s="55"/>
      <c r="C94" s="151"/>
      <c r="D94" s="151"/>
      <c r="E94" s="143"/>
      <c r="F94" s="143"/>
      <c r="G94" s="316"/>
      <c r="H94" s="1"/>
      <c r="I94" s="1"/>
      <c r="J94" s="1"/>
      <c r="K94" s="1"/>
      <c r="L94" s="1"/>
    </row>
    <row r="95" spans="1:12">
      <c r="A95" s="180" t="s">
        <v>228</v>
      </c>
      <c r="B95" s="55"/>
      <c r="C95" s="151">
        <v>125</v>
      </c>
      <c r="D95" s="151">
        <v>125</v>
      </c>
      <c r="E95" s="143">
        <v>104</v>
      </c>
      <c r="F95" s="143">
        <v>102</v>
      </c>
      <c r="G95" s="316">
        <v>94</v>
      </c>
      <c r="H95" s="1"/>
      <c r="I95" s="1"/>
      <c r="J95" s="1"/>
      <c r="K95" s="1"/>
      <c r="L95" s="1"/>
    </row>
    <row r="96" spans="1:12">
      <c r="A96" s="180" t="s">
        <v>230</v>
      </c>
      <c r="B96" s="55"/>
      <c r="C96" s="151">
        <v>15</v>
      </c>
      <c r="D96" s="151">
        <v>9</v>
      </c>
      <c r="E96" s="143">
        <v>9</v>
      </c>
      <c r="F96" s="143">
        <v>6</v>
      </c>
      <c r="G96" s="316">
        <v>4</v>
      </c>
      <c r="H96" s="1"/>
      <c r="I96" s="1"/>
      <c r="J96" s="1"/>
      <c r="K96" s="1"/>
      <c r="L96" s="1"/>
    </row>
    <row r="97" spans="1:12">
      <c r="A97" s="180" t="s">
        <v>232</v>
      </c>
      <c r="B97" s="55"/>
      <c r="C97" s="151">
        <v>5</v>
      </c>
      <c r="D97" s="151">
        <v>6</v>
      </c>
      <c r="E97" s="143">
        <v>8</v>
      </c>
      <c r="F97" s="143">
        <v>8</v>
      </c>
      <c r="G97" s="316">
        <v>7</v>
      </c>
      <c r="H97" s="1"/>
      <c r="I97" s="1"/>
      <c r="J97" s="1"/>
      <c r="K97" s="1"/>
      <c r="L97" s="1"/>
    </row>
    <row r="98" spans="1:12">
      <c r="A98" s="180" t="s">
        <v>234</v>
      </c>
      <c r="B98" s="55"/>
      <c r="C98" s="151">
        <v>0</v>
      </c>
      <c r="D98" s="151">
        <v>1</v>
      </c>
      <c r="E98" s="143">
        <v>2</v>
      </c>
      <c r="F98" s="143">
        <v>2</v>
      </c>
      <c r="G98" s="316">
        <v>1</v>
      </c>
      <c r="H98" s="1"/>
      <c r="I98" s="1"/>
      <c r="J98" s="1"/>
      <c r="K98" s="1"/>
      <c r="L98" s="1"/>
    </row>
    <row r="99" spans="1:12">
      <c r="A99" s="180" t="s">
        <v>236</v>
      </c>
      <c r="B99" s="55"/>
      <c r="C99" s="151">
        <v>17</v>
      </c>
      <c r="D99" s="151">
        <v>51</v>
      </c>
      <c r="E99" s="143">
        <v>35</v>
      </c>
      <c r="F99" s="143">
        <v>14</v>
      </c>
      <c r="G99" s="316">
        <v>24</v>
      </c>
      <c r="H99" s="1"/>
      <c r="I99" s="1"/>
      <c r="J99" s="1"/>
      <c r="K99" s="1"/>
      <c r="L99" s="1"/>
    </row>
    <row r="100" spans="1:12">
      <c r="A100" s="180" t="s">
        <v>238</v>
      </c>
      <c r="B100" s="55"/>
      <c r="C100" s="151">
        <v>162</v>
      </c>
      <c r="D100" s="151">
        <f>SUM(D95:D99)</f>
        <v>192</v>
      </c>
      <c r="E100" s="143">
        <f>SUM(E95:E99)</f>
        <v>158</v>
      </c>
      <c r="F100" s="143">
        <f>SUM(F95:F99)</f>
        <v>132</v>
      </c>
      <c r="G100" s="316">
        <f>SUM(G95:G99)</f>
        <v>130</v>
      </c>
      <c r="H100" s="1"/>
      <c r="I100" s="1"/>
      <c r="J100" s="1"/>
      <c r="K100" s="1"/>
      <c r="L100" s="1"/>
    </row>
    <row r="101" spans="1:12">
      <c r="A101" s="180" t="s">
        <v>240</v>
      </c>
      <c r="B101" s="55"/>
      <c r="C101" s="151">
        <v>0</v>
      </c>
      <c r="D101" s="151">
        <v>0</v>
      </c>
      <c r="E101" s="143">
        <v>0</v>
      </c>
      <c r="F101" s="143">
        <v>0</v>
      </c>
      <c r="G101" s="316">
        <v>0</v>
      </c>
      <c r="H101" s="1"/>
      <c r="I101" s="1"/>
      <c r="J101" s="1"/>
      <c r="K101" s="1"/>
      <c r="L101" s="1"/>
    </row>
    <row r="102" spans="1:12">
      <c r="A102" s="180" t="s">
        <v>242</v>
      </c>
      <c r="B102" s="55"/>
      <c r="C102" s="151">
        <f>SUM(C100:C101)</f>
        <v>162</v>
      </c>
      <c r="D102" s="151">
        <f>SUM(D100:D101)</f>
        <v>192</v>
      </c>
      <c r="E102" s="143">
        <f>SUM(E100:E101)</f>
        <v>158</v>
      </c>
      <c r="F102" s="143">
        <f>SUM(F100:F101)</f>
        <v>132</v>
      </c>
      <c r="G102" s="316">
        <f>SUM(G100:G101)</f>
        <v>130</v>
      </c>
      <c r="H102" s="1"/>
      <c r="I102" s="1"/>
      <c r="J102" s="1"/>
      <c r="K102" s="1"/>
      <c r="L102" s="1"/>
    </row>
    <row r="103" spans="1:12">
      <c r="A103" s="180" t="s">
        <v>244</v>
      </c>
      <c r="B103" s="55"/>
      <c r="C103" s="151">
        <v>-4</v>
      </c>
      <c r="D103" s="151">
        <v>-3</v>
      </c>
      <c r="E103" s="143">
        <v>5</v>
      </c>
      <c r="F103" s="143">
        <v>4</v>
      </c>
      <c r="G103" s="316">
        <v>4</v>
      </c>
      <c r="H103" s="1"/>
      <c r="I103" s="1"/>
      <c r="J103" s="1"/>
      <c r="K103" s="1"/>
      <c r="L103" s="1"/>
    </row>
    <row r="104" spans="1:12">
      <c r="A104" s="180" t="s">
        <v>246</v>
      </c>
      <c r="B104" s="55"/>
      <c r="C104" s="151"/>
      <c r="D104" s="151">
        <v>0</v>
      </c>
      <c r="E104" s="143">
        <v>0</v>
      </c>
      <c r="F104" s="143">
        <v>0</v>
      </c>
      <c r="G104" s="316">
        <v>0</v>
      </c>
      <c r="H104" s="1"/>
      <c r="I104" s="1"/>
      <c r="J104" s="1"/>
      <c r="K104" s="1"/>
      <c r="L104" s="1"/>
    </row>
    <row r="105" spans="1:12">
      <c r="A105" s="493" t="s">
        <v>374</v>
      </c>
      <c r="B105" s="55"/>
      <c r="C105" s="151">
        <f>SUM(C88:C89)</f>
        <v>-137</v>
      </c>
      <c r="D105" s="151">
        <f t="shared" ref="D105:G105" si="15">SUM(D88:D89)</f>
        <v>-109</v>
      </c>
      <c r="E105" s="143">
        <f t="shared" si="15"/>
        <v>-134</v>
      </c>
      <c r="F105" s="143">
        <f t="shared" si="15"/>
        <v>-98</v>
      </c>
      <c r="G105" s="316">
        <f t="shared" si="15"/>
        <v>-106</v>
      </c>
      <c r="H105" s="1"/>
      <c r="I105" s="1"/>
      <c r="J105" s="1"/>
      <c r="K105" s="1"/>
      <c r="L105" s="1"/>
    </row>
    <row r="106" spans="1:12">
      <c r="A106" s="101"/>
      <c r="B106" s="55"/>
      <c r="C106" s="482"/>
      <c r="D106" s="482"/>
      <c r="E106" s="483"/>
      <c r="F106" s="483"/>
      <c r="G106" s="498"/>
      <c r="H106" s="1"/>
      <c r="I106" s="1"/>
      <c r="J106" s="1"/>
      <c r="K106" s="1"/>
      <c r="L106" s="1"/>
    </row>
    <row r="107" spans="1:12">
      <c r="A107" s="350" t="s">
        <v>304</v>
      </c>
      <c r="B107" s="495"/>
      <c r="C107" s="156">
        <f>SUM(C86,C88,C89)</f>
        <v>78</v>
      </c>
      <c r="D107" s="156">
        <f>SUM(D86,D88,D89)</f>
        <v>334</v>
      </c>
      <c r="E107" s="146">
        <f>SUM(E86,E88,E89)</f>
        <v>576</v>
      </c>
      <c r="F107" s="146">
        <f>SUM(F86,F88,F89)</f>
        <v>490</v>
      </c>
      <c r="G107" s="319">
        <f>SUM(G86,G88,G89)</f>
        <v>581</v>
      </c>
      <c r="H107" s="1"/>
      <c r="I107" s="1"/>
      <c r="J107" s="1"/>
      <c r="K107" s="1"/>
      <c r="L107" s="1"/>
    </row>
    <row r="108" spans="1:12">
      <c r="A108" s="101"/>
      <c r="B108" s="55"/>
      <c r="C108" s="482"/>
      <c r="D108" s="482"/>
      <c r="E108" s="483"/>
      <c r="F108" s="483"/>
      <c r="G108" s="498"/>
      <c r="H108" s="1"/>
      <c r="I108" s="1"/>
      <c r="J108" s="1"/>
      <c r="K108" s="1"/>
      <c r="L108" s="1"/>
    </row>
    <row r="109" spans="1:12">
      <c r="A109" s="180" t="s">
        <v>254</v>
      </c>
      <c r="B109" s="55"/>
      <c r="C109" s="151">
        <v>105</v>
      </c>
      <c r="D109" s="151">
        <v>138</v>
      </c>
      <c r="E109" s="143">
        <v>107</v>
      </c>
      <c r="F109" s="143">
        <v>146</v>
      </c>
      <c r="G109" s="316">
        <v>147</v>
      </c>
      <c r="H109" s="1"/>
      <c r="I109" s="1"/>
      <c r="J109" s="1"/>
      <c r="K109" s="1"/>
      <c r="L109" s="1"/>
    </row>
    <row r="110" spans="1:12">
      <c r="A110" s="180" t="s">
        <v>256</v>
      </c>
      <c r="B110" s="55"/>
      <c r="C110" s="151">
        <v>23</v>
      </c>
      <c r="D110" s="151">
        <v>25</v>
      </c>
      <c r="E110" s="143">
        <v>26</v>
      </c>
      <c r="F110" s="143">
        <v>30</v>
      </c>
      <c r="G110" s="316">
        <v>30</v>
      </c>
      <c r="H110" s="1"/>
      <c r="I110" s="1"/>
      <c r="J110" s="1"/>
      <c r="K110" s="1"/>
      <c r="L110" s="1"/>
    </row>
    <row r="111" spans="1:12">
      <c r="A111" s="180" t="s">
        <v>258</v>
      </c>
      <c r="B111" s="55"/>
      <c r="C111" s="151">
        <v>-17</v>
      </c>
      <c r="D111" s="151">
        <v>4</v>
      </c>
      <c r="E111" s="143">
        <v>-1</v>
      </c>
      <c r="F111" s="143">
        <v>2</v>
      </c>
      <c r="G111" s="316">
        <v>5</v>
      </c>
      <c r="H111" s="1"/>
      <c r="I111" s="1"/>
      <c r="J111" s="1"/>
      <c r="K111" s="1"/>
      <c r="L111" s="1"/>
    </row>
    <row r="112" spans="1:12">
      <c r="A112" s="493" t="s">
        <v>260</v>
      </c>
      <c r="B112" s="55"/>
      <c r="C112" s="152">
        <f>SUM(C109:C111)</f>
        <v>111</v>
      </c>
      <c r="D112" s="152">
        <f>SUM(D109:D111)</f>
        <v>167</v>
      </c>
      <c r="E112" s="144">
        <f>SUM(E109:E111)</f>
        <v>132</v>
      </c>
      <c r="F112" s="144">
        <f>SUM(F109:F111)</f>
        <v>178</v>
      </c>
      <c r="G112" s="337">
        <f>SUM(G109:G111)</f>
        <v>182</v>
      </c>
      <c r="H112" s="1"/>
      <c r="I112" s="1"/>
      <c r="J112" s="1"/>
      <c r="K112" s="1"/>
      <c r="L112" s="1"/>
    </row>
    <row r="113" spans="1:12">
      <c r="A113" s="180" t="s">
        <v>340</v>
      </c>
      <c r="B113" s="55"/>
      <c r="C113" s="151">
        <v>142</v>
      </c>
      <c r="D113" s="151">
        <v>44</v>
      </c>
      <c r="E113" s="143">
        <v>88</v>
      </c>
      <c r="F113" s="143">
        <v>33</v>
      </c>
      <c r="G113" s="316">
        <v>71</v>
      </c>
      <c r="H113" s="1"/>
      <c r="I113" s="1"/>
      <c r="J113" s="1"/>
      <c r="K113" s="1"/>
      <c r="L113" s="1"/>
    </row>
    <row r="114" spans="1:12">
      <c r="A114" s="180" t="s">
        <v>341</v>
      </c>
      <c r="B114" s="55"/>
      <c r="C114" s="151">
        <v>-120</v>
      </c>
      <c r="D114" s="151">
        <v>-89</v>
      </c>
      <c r="E114" s="143">
        <v>-28</v>
      </c>
      <c r="F114" s="143">
        <v>-54</v>
      </c>
      <c r="G114" s="316">
        <v>-64</v>
      </c>
      <c r="H114" s="1"/>
      <c r="I114" s="1"/>
      <c r="J114" s="1"/>
      <c r="K114" s="1"/>
      <c r="L114" s="1"/>
    </row>
    <row r="115" spans="1:12">
      <c r="A115" s="180" t="s">
        <v>305</v>
      </c>
      <c r="B115" s="55"/>
      <c r="C115" s="151">
        <f>-SUM(C112:C114)</f>
        <v>-133</v>
      </c>
      <c r="D115" s="151">
        <f t="shared" ref="D115:G115" si="16">-SUM(D112:D114)</f>
        <v>-122</v>
      </c>
      <c r="E115" s="143">
        <f t="shared" si="16"/>
        <v>-192</v>
      </c>
      <c r="F115" s="143">
        <f t="shared" si="16"/>
        <v>-157</v>
      </c>
      <c r="G115" s="316">
        <f t="shared" si="16"/>
        <v>-189</v>
      </c>
      <c r="H115" s="1"/>
      <c r="I115" s="1"/>
      <c r="J115" s="1"/>
      <c r="K115" s="1"/>
      <c r="L115" s="1"/>
    </row>
    <row r="116" spans="1:12">
      <c r="A116" s="180" t="s">
        <v>336</v>
      </c>
      <c r="B116" s="55"/>
      <c r="C116" s="151">
        <f>SUM(C117:C118)</f>
        <v>130</v>
      </c>
      <c r="D116" s="151">
        <f t="shared" ref="D116:G116" si="17">SUM(D117:D118)</f>
        <v>20</v>
      </c>
      <c r="E116" s="143">
        <f t="shared" si="17"/>
        <v>-91</v>
      </c>
      <c r="F116" s="143">
        <f t="shared" si="17"/>
        <v>11</v>
      </c>
      <c r="G116" s="316">
        <f t="shared" si="17"/>
        <v>-3</v>
      </c>
      <c r="H116" s="1"/>
      <c r="I116" s="1"/>
      <c r="J116" s="1"/>
      <c r="K116" s="1"/>
      <c r="L116" s="1"/>
    </row>
    <row r="117" spans="1:12">
      <c r="A117" s="180" t="s">
        <v>269</v>
      </c>
      <c r="B117" s="55"/>
      <c r="C117" s="151">
        <v>0</v>
      </c>
      <c r="D117" s="151">
        <v>19</v>
      </c>
      <c r="E117" s="143">
        <v>-85</v>
      </c>
      <c r="F117" s="143">
        <v>21</v>
      </c>
      <c r="G117" s="316">
        <v>1</v>
      </c>
      <c r="H117" s="1"/>
      <c r="I117" s="1"/>
      <c r="J117" s="1"/>
      <c r="K117" s="1"/>
      <c r="L117" s="1"/>
    </row>
    <row r="118" spans="1:12">
      <c r="A118" s="180" t="s">
        <v>273</v>
      </c>
      <c r="B118" s="55"/>
      <c r="C118" s="151">
        <v>130</v>
      </c>
      <c r="D118" s="151">
        <v>1</v>
      </c>
      <c r="E118" s="143">
        <v>-6</v>
      </c>
      <c r="F118" s="143">
        <v>-10</v>
      </c>
      <c r="G118" s="316">
        <v>-4</v>
      </c>
      <c r="H118" s="1"/>
      <c r="I118" s="1"/>
      <c r="J118" s="1"/>
      <c r="K118" s="1"/>
      <c r="L118" s="1"/>
    </row>
    <row r="119" spans="1:12">
      <c r="A119" s="180"/>
      <c r="B119" s="55"/>
      <c r="C119" s="151"/>
      <c r="D119" s="151"/>
      <c r="E119" s="143"/>
      <c r="F119" s="143"/>
      <c r="G119" s="316"/>
      <c r="H119" s="1"/>
      <c r="I119" s="1"/>
      <c r="J119" s="1"/>
      <c r="K119" s="1"/>
      <c r="L119" s="1"/>
    </row>
    <row r="120" spans="1:12" ht="15" thickBot="1">
      <c r="A120" s="357" t="s">
        <v>337</v>
      </c>
      <c r="B120" s="499"/>
      <c r="C120" s="340">
        <f>SUM(C107,C115:C116)</f>
        <v>75</v>
      </c>
      <c r="D120" s="340">
        <f>SUM(D107,D115:D116)</f>
        <v>232</v>
      </c>
      <c r="E120" s="500">
        <f>SUM(E107,E115:E116)</f>
        <v>293</v>
      </c>
      <c r="F120" s="500">
        <f>SUM(F107,F115:F116)</f>
        <v>344</v>
      </c>
      <c r="G120" s="341">
        <f>SUM(G107,G115:G116)</f>
        <v>389</v>
      </c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4.6">
      <c r="A123" s="360" t="s">
        <v>347</v>
      </c>
      <c r="B123" s="256"/>
      <c r="C123" s="257"/>
      <c r="D123" s="257"/>
      <c r="E123" s="257"/>
      <c r="F123" s="258"/>
      <c r="G123" s="1"/>
      <c r="H123" s="1"/>
      <c r="I123" s="1"/>
      <c r="J123" s="1"/>
      <c r="K123" s="1"/>
      <c r="L123" s="1"/>
    </row>
    <row r="124" spans="1:12">
      <c r="A124" s="259"/>
      <c r="B124" s="64"/>
      <c r="C124" s="684" t="s">
        <v>163</v>
      </c>
      <c r="D124" s="684"/>
      <c r="E124" s="684"/>
      <c r="F124" s="685"/>
      <c r="G124" s="1"/>
      <c r="H124" s="1"/>
      <c r="I124" s="1"/>
      <c r="J124" s="1"/>
      <c r="K124" s="1"/>
      <c r="L124" s="1"/>
    </row>
    <row r="125" spans="1:12">
      <c r="A125" s="260"/>
      <c r="B125" s="125" t="s">
        <v>1</v>
      </c>
      <c r="C125" s="112">
        <v>42735</v>
      </c>
      <c r="D125" s="112">
        <v>43100</v>
      </c>
      <c r="E125" s="112">
        <v>43465</v>
      </c>
      <c r="F125" s="261">
        <v>43830</v>
      </c>
      <c r="G125" s="1"/>
      <c r="H125" s="1"/>
      <c r="I125" s="1"/>
      <c r="J125" s="1"/>
      <c r="K125" s="1"/>
      <c r="L125" s="1"/>
    </row>
    <row r="126" spans="1:12">
      <c r="A126" s="180"/>
      <c r="B126" s="5"/>
      <c r="C126" s="31"/>
      <c r="D126" s="29"/>
      <c r="E126" s="29"/>
      <c r="F126" s="263"/>
      <c r="G126" s="1"/>
      <c r="H126" s="1"/>
      <c r="I126" s="1"/>
      <c r="J126" s="1"/>
      <c r="K126" s="1"/>
      <c r="L126" s="1"/>
    </row>
    <row r="127" spans="1:12">
      <c r="A127" s="314" t="s">
        <v>303</v>
      </c>
      <c r="B127" s="5"/>
      <c r="C127" s="183">
        <v>443</v>
      </c>
      <c r="D127" s="184">
        <v>710</v>
      </c>
      <c r="E127" s="184">
        <v>588</v>
      </c>
      <c r="F127" s="264">
        <v>687</v>
      </c>
      <c r="G127" s="1"/>
      <c r="H127" s="1"/>
      <c r="I127" s="1"/>
      <c r="J127" s="1"/>
      <c r="K127" s="1"/>
      <c r="L127" s="1"/>
    </row>
    <row r="128" spans="1:12">
      <c r="A128" s="180" t="s">
        <v>348</v>
      </c>
      <c r="B128" s="5"/>
      <c r="C128" s="185">
        <v>-122</v>
      </c>
      <c r="D128" s="186">
        <v>-192</v>
      </c>
      <c r="E128" s="186">
        <v>-157</v>
      </c>
      <c r="F128" s="265">
        <v>-189</v>
      </c>
      <c r="G128" s="1"/>
      <c r="H128" s="1"/>
      <c r="I128" s="1"/>
      <c r="J128" s="1"/>
      <c r="K128" s="1"/>
      <c r="L128" s="1"/>
    </row>
    <row r="129" spans="1:12">
      <c r="A129" s="180" t="s">
        <v>377</v>
      </c>
      <c r="B129" s="5"/>
      <c r="C129" s="181">
        <v>-39.814371257485028</v>
      </c>
      <c r="D129" s="182">
        <v>-44.666666666666664</v>
      </c>
      <c r="E129" s="182">
        <v>-31.400000000000002</v>
      </c>
      <c r="F129" s="501">
        <v>-34.481927710843372</v>
      </c>
      <c r="G129" s="1"/>
      <c r="H129" s="1"/>
      <c r="I129" s="1"/>
      <c r="J129" s="1"/>
      <c r="K129" s="1"/>
      <c r="L129" s="1"/>
    </row>
    <row r="130" spans="1:12">
      <c r="A130" s="350" t="s">
        <v>349</v>
      </c>
      <c r="B130" s="25"/>
      <c r="C130" s="187">
        <f>C127+C128+C129</f>
        <v>281.18562874251495</v>
      </c>
      <c r="D130" s="187">
        <f t="shared" ref="D130:F130" si="18">D127+D128+D129</f>
        <v>473.33333333333331</v>
      </c>
      <c r="E130" s="187">
        <f t="shared" si="18"/>
        <v>399.6</v>
      </c>
      <c r="F130" s="504">
        <f t="shared" si="18"/>
        <v>463.51807228915663</v>
      </c>
      <c r="G130" s="1"/>
      <c r="H130" s="1"/>
      <c r="I130" s="1"/>
      <c r="J130" s="1"/>
      <c r="K130" s="1"/>
      <c r="L130" s="1"/>
    </row>
    <row r="131" spans="1:12">
      <c r="A131" s="180"/>
      <c r="B131" s="5"/>
      <c r="C131" s="185"/>
      <c r="D131" s="186"/>
      <c r="E131" s="186"/>
      <c r="F131" s="265"/>
      <c r="G131" s="1"/>
      <c r="H131" s="1"/>
      <c r="I131" s="1"/>
      <c r="J131" s="1"/>
      <c r="K131" s="1"/>
      <c r="L131" s="1"/>
    </row>
    <row r="132" spans="1:12">
      <c r="A132" s="180" t="s">
        <v>371</v>
      </c>
      <c r="B132" s="5"/>
      <c r="C132" s="185">
        <v>25</v>
      </c>
      <c r="D132" s="186">
        <v>12</v>
      </c>
      <c r="E132" s="186">
        <v>-40</v>
      </c>
      <c r="F132" s="265">
        <v>3</v>
      </c>
      <c r="G132" s="1"/>
      <c r="H132" s="1"/>
      <c r="I132" s="1"/>
      <c r="J132" s="1"/>
      <c r="K132" s="1"/>
      <c r="L132" s="1"/>
    </row>
    <row r="133" spans="1:12">
      <c r="A133" s="180" t="s">
        <v>350</v>
      </c>
      <c r="B133" s="5"/>
      <c r="C133" s="185">
        <v>-336</v>
      </c>
      <c r="D133" s="186">
        <v>150</v>
      </c>
      <c r="E133" s="186">
        <v>-110</v>
      </c>
      <c r="F133" s="265">
        <v>-71</v>
      </c>
      <c r="G133" s="1"/>
      <c r="H133" s="1"/>
      <c r="I133" s="1"/>
      <c r="J133" s="1"/>
      <c r="K133" s="1"/>
      <c r="L133" s="1"/>
    </row>
    <row r="134" spans="1:12">
      <c r="A134" s="180" t="s">
        <v>370</v>
      </c>
      <c r="B134" s="5"/>
      <c r="C134" s="185">
        <v>214</v>
      </c>
      <c r="D134" s="186">
        <v>-3</v>
      </c>
      <c r="E134" s="186">
        <v>32</v>
      </c>
      <c r="F134" s="265">
        <v>68</v>
      </c>
      <c r="G134" s="1"/>
      <c r="H134" s="1"/>
      <c r="I134" s="1"/>
      <c r="J134" s="1"/>
      <c r="K134" s="1"/>
      <c r="L134" s="1"/>
    </row>
    <row r="135" spans="1:12">
      <c r="A135" s="350" t="s">
        <v>372</v>
      </c>
      <c r="B135" s="25"/>
      <c r="C135" s="187">
        <f>C132+C133+C134</f>
        <v>-97</v>
      </c>
      <c r="D135" s="187">
        <f t="shared" ref="D135:F135" si="19">D132+D133+D134</f>
        <v>159</v>
      </c>
      <c r="E135" s="187">
        <f t="shared" si="19"/>
        <v>-118</v>
      </c>
      <c r="F135" s="504">
        <f t="shared" si="19"/>
        <v>0</v>
      </c>
      <c r="G135" s="1"/>
      <c r="H135" s="1"/>
      <c r="I135" s="1"/>
      <c r="J135" s="1"/>
      <c r="K135" s="1"/>
      <c r="L135" s="1"/>
    </row>
    <row r="136" spans="1:12">
      <c r="A136" s="180"/>
      <c r="B136" s="5"/>
      <c r="C136" s="185"/>
      <c r="D136" s="186"/>
      <c r="E136" s="186"/>
      <c r="F136" s="265"/>
      <c r="G136" s="1"/>
      <c r="H136" s="1"/>
      <c r="I136" s="1"/>
      <c r="J136" s="1"/>
      <c r="K136" s="1"/>
      <c r="L136" s="1"/>
    </row>
    <row r="137" spans="1:12">
      <c r="A137" s="180" t="s">
        <v>351</v>
      </c>
      <c r="B137" s="5"/>
      <c r="C137" s="185">
        <v>-8</v>
      </c>
      <c r="D137" s="186">
        <v>-82</v>
      </c>
      <c r="E137" s="186">
        <v>69</v>
      </c>
      <c r="F137" s="265">
        <v>-167</v>
      </c>
      <c r="G137" s="1"/>
      <c r="H137" s="1"/>
      <c r="I137" s="1"/>
      <c r="J137" s="1"/>
      <c r="K137" s="1"/>
      <c r="L137" s="1"/>
    </row>
    <row r="138" spans="1:12">
      <c r="A138" s="180" t="s">
        <v>352</v>
      </c>
      <c r="B138" s="5"/>
      <c r="C138" s="185">
        <v>218</v>
      </c>
      <c r="D138" s="186">
        <v>-224</v>
      </c>
      <c r="E138" s="186">
        <v>99</v>
      </c>
      <c r="F138" s="265">
        <v>241</v>
      </c>
      <c r="G138" s="1"/>
      <c r="H138" s="1"/>
      <c r="I138" s="1"/>
      <c r="J138" s="1"/>
      <c r="K138" s="1"/>
      <c r="L138" s="1"/>
    </row>
    <row r="139" spans="1:12">
      <c r="A139" s="350" t="s">
        <v>373</v>
      </c>
      <c r="B139" s="25"/>
      <c r="C139" s="187">
        <f>C135+C137+C138</f>
        <v>113</v>
      </c>
      <c r="D139" s="187">
        <f t="shared" ref="D139:F139" si="20">D135+D137+D138</f>
        <v>-147</v>
      </c>
      <c r="E139" s="187">
        <f t="shared" si="20"/>
        <v>50</v>
      </c>
      <c r="F139" s="504">
        <f t="shared" si="20"/>
        <v>74</v>
      </c>
      <c r="G139" s="1"/>
      <c r="H139" s="1"/>
      <c r="I139" s="1"/>
      <c r="J139" s="1"/>
      <c r="K139" s="1"/>
      <c r="L139" s="1"/>
    </row>
    <row r="140" spans="1:12">
      <c r="A140" s="180"/>
      <c r="B140" s="5"/>
      <c r="C140" s="185"/>
      <c r="D140" s="186"/>
      <c r="E140" s="186"/>
      <c r="F140" s="265"/>
      <c r="G140" s="1"/>
      <c r="H140" s="1"/>
      <c r="I140" s="1"/>
      <c r="J140" s="1"/>
      <c r="K140" s="1"/>
      <c r="L140" s="1"/>
    </row>
    <row r="141" spans="1:12">
      <c r="A141" s="180" t="s">
        <v>353</v>
      </c>
      <c r="B141" s="5"/>
      <c r="C141" s="185">
        <v>-1066</v>
      </c>
      <c r="D141" s="186">
        <v>-80</v>
      </c>
      <c r="E141" s="186">
        <v>-1076</v>
      </c>
      <c r="F141" s="265">
        <v>-837</v>
      </c>
      <c r="G141" s="1"/>
      <c r="H141" s="1"/>
      <c r="I141" s="1"/>
      <c r="J141" s="1"/>
      <c r="K141" s="1"/>
      <c r="L141" s="1"/>
    </row>
    <row r="142" spans="1:12">
      <c r="A142" s="180" t="s">
        <v>354</v>
      </c>
      <c r="B142" s="5"/>
      <c r="C142" s="185">
        <v>648</v>
      </c>
      <c r="D142" s="186">
        <v>444</v>
      </c>
      <c r="E142" s="186">
        <v>623</v>
      </c>
      <c r="F142" s="265">
        <v>511</v>
      </c>
      <c r="G142" s="1"/>
      <c r="H142" s="1"/>
      <c r="I142" s="1"/>
      <c r="J142" s="1"/>
      <c r="K142" s="1"/>
      <c r="L142" s="1"/>
    </row>
    <row r="143" spans="1:12">
      <c r="A143" s="180" t="s">
        <v>355</v>
      </c>
      <c r="B143" s="5"/>
      <c r="C143" s="185">
        <v>95</v>
      </c>
      <c r="D143" s="185">
        <v>-46</v>
      </c>
      <c r="E143" s="185">
        <v>17</v>
      </c>
      <c r="F143" s="268">
        <v>34</v>
      </c>
      <c r="G143" s="1"/>
      <c r="H143" s="1"/>
      <c r="I143" s="1"/>
      <c r="J143" s="1"/>
      <c r="K143" s="1"/>
      <c r="L143" s="1"/>
    </row>
    <row r="144" spans="1:12">
      <c r="A144" s="180" t="s">
        <v>356</v>
      </c>
      <c r="B144" s="5"/>
      <c r="C144" s="185">
        <v>33</v>
      </c>
      <c r="D144" s="185">
        <v>-46</v>
      </c>
      <c r="E144" s="185">
        <v>-5</v>
      </c>
      <c r="F144" s="268">
        <v>-7</v>
      </c>
      <c r="G144" s="1"/>
      <c r="H144" s="1"/>
      <c r="I144" s="1"/>
      <c r="J144" s="1"/>
      <c r="K144" s="1"/>
      <c r="L144" s="1"/>
    </row>
    <row r="145" spans="1:12">
      <c r="A145" s="180" t="s">
        <v>369</v>
      </c>
      <c r="B145" s="5"/>
      <c r="C145" s="185">
        <v>-33</v>
      </c>
      <c r="D145" s="185">
        <v>40</v>
      </c>
      <c r="E145" s="185">
        <v>37</v>
      </c>
      <c r="F145" s="268">
        <v>-13</v>
      </c>
      <c r="G145" s="1"/>
      <c r="H145" s="1"/>
      <c r="I145" s="1"/>
      <c r="J145" s="1"/>
      <c r="K145" s="1"/>
      <c r="L145" s="1"/>
    </row>
    <row r="146" spans="1:12">
      <c r="A146" s="180" t="s">
        <v>357</v>
      </c>
      <c r="B146" s="5"/>
      <c r="C146" s="185">
        <v>20</v>
      </c>
      <c r="D146" s="186">
        <v>-91</v>
      </c>
      <c r="E146" s="186">
        <v>11</v>
      </c>
      <c r="F146" s="265">
        <v>-3</v>
      </c>
      <c r="G146" s="1"/>
      <c r="H146" s="1"/>
      <c r="I146" s="1"/>
      <c r="J146" s="1"/>
      <c r="K146" s="1"/>
      <c r="L146" s="1"/>
    </row>
    <row r="147" spans="1:12">
      <c r="A147" s="361" t="s">
        <v>358</v>
      </c>
      <c r="B147" s="20"/>
      <c r="C147" s="189">
        <f>C130+C139+SUM(C141:C146)</f>
        <v>91.18562874251495</v>
      </c>
      <c r="D147" s="189">
        <f t="shared" ref="D147:F147" si="21">D130+D139+SUM(D141:D146)</f>
        <v>547.33333333333326</v>
      </c>
      <c r="E147" s="189">
        <f t="shared" si="21"/>
        <v>56.600000000000023</v>
      </c>
      <c r="F147" s="269">
        <f t="shared" si="21"/>
        <v>222.51807228915663</v>
      </c>
      <c r="G147" s="1"/>
      <c r="H147" s="1"/>
      <c r="I147" s="1"/>
      <c r="J147" s="1"/>
      <c r="K147" s="1"/>
      <c r="L147" s="1"/>
    </row>
    <row r="148" spans="1:12">
      <c r="A148" s="180" t="s">
        <v>359</v>
      </c>
      <c r="B148" s="5"/>
      <c r="C148" s="193">
        <f>C147/C127</f>
        <v>0.20583663373028205</v>
      </c>
      <c r="D148" s="193">
        <f t="shared" ref="D148:F148" si="22">D147/D127</f>
        <v>0.77089201877934266</v>
      </c>
      <c r="E148" s="193">
        <f t="shared" si="22"/>
        <v>9.6258503401360579E-2</v>
      </c>
      <c r="F148" s="270">
        <f t="shared" si="22"/>
        <v>0.3238982129390926</v>
      </c>
      <c r="G148" s="1"/>
      <c r="H148" s="1"/>
      <c r="I148" s="1"/>
      <c r="J148" s="1"/>
      <c r="K148" s="1"/>
      <c r="L148" s="1"/>
    </row>
    <row r="149" spans="1:12">
      <c r="A149" s="180"/>
      <c r="B149" s="5"/>
      <c r="C149" s="185"/>
      <c r="D149" s="186"/>
      <c r="E149" s="186"/>
      <c r="F149" s="265"/>
      <c r="G149" s="1"/>
      <c r="H149" s="1"/>
      <c r="I149" s="1"/>
      <c r="J149" s="1"/>
      <c r="K149" s="1"/>
      <c r="L149" s="1"/>
    </row>
    <row r="150" spans="1:12">
      <c r="A150" s="180" t="s">
        <v>360</v>
      </c>
      <c r="B150" s="5"/>
      <c r="C150" s="185">
        <f>C7+C8-D7-D8 +D105</f>
        <v>-109</v>
      </c>
      <c r="D150" s="185">
        <f t="shared" ref="D150:F150" si="23">D7+D8-E7-E8 +E105</f>
        <v>-125</v>
      </c>
      <c r="E150" s="185">
        <f t="shared" si="23"/>
        <v>-50</v>
      </c>
      <c r="F150" s="268">
        <f t="shared" si="23"/>
        <v>-128</v>
      </c>
      <c r="G150" s="1"/>
      <c r="H150" s="1"/>
      <c r="I150" s="1"/>
      <c r="J150" s="1"/>
      <c r="K150" s="1"/>
      <c r="L150" s="1"/>
    </row>
    <row r="151" spans="1:12">
      <c r="A151" s="180" t="s">
        <v>361</v>
      </c>
      <c r="B151" s="5"/>
      <c r="C151" s="185">
        <f>C44-D44</f>
        <v>3</v>
      </c>
      <c r="D151" s="185">
        <f t="shared" ref="D151:F151" si="24">D44-E44</f>
        <v>171</v>
      </c>
      <c r="E151" s="185">
        <f t="shared" si="24"/>
        <v>-263</v>
      </c>
      <c r="F151" s="268">
        <f t="shared" si="24"/>
        <v>-64</v>
      </c>
      <c r="G151" s="1"/>
      <c r="H151" s="1"/>
      <c r="I151" s="1"/>
      <c r="J151" s="1"/>
      <c r="K151" s="1"/>
      <c r="L151" s="1"/>
    </row>
    <row r="152" spans="1:12">
      <c r="A152" s="180" t="s">
        <v>378</v>
      </c>
      <c r="B152" s="5"/>
      <c r="C152" s="250">
        <f>-C129</f>
        <v>39.814371257485028</v>
      </c>
      <c r="D152" s="250">
        <f t="shared" ref="D152:F152" si="25">-D129</f>
        <v>44.666666666666664</v>
      </c>
      <c r="E152" s="250">
        <f t="shared" si="25"/>
        <v>31.400000000000002</v>
      </c>
      <c r="F152" s="505">
        <f t="shared" si="25"/>
        <v>34.481927710843372</v>
      </c>
      <c r="G152" s="1"/>
      <c r="H152" s="1"/>
      <c r="I152" s="1"/>
      <c r="J152" s="1"/>
      <c r="K152" s="1"/>
      <c r="L152" s="1"/>
    </row>
    <row r="153" spans="1:12">
      <c r="A153" s="361" t="s">
        <v>362</v>
      </c>
      <c r="B153" s="20"/>
      <c r="C153" s="502">
        <f>C147+C150+C151+C152</f>
        <v>24.999999999999979</v>
      </c>
      <c r="D153" s="502">
        <f t="shared" ref="D153:F153" si="26">D147+D150+D151+D152</f>
        <v>637.99999999999989</v>
      </c>
      <c r="E153" s="502">
        <f t="shared" si="26"/>
        <v>-224.99999999999997</v>
      </c>
      <c r="F153" s="506">
        <f t="shared" si="26"/>
        <v>65</v>
      </c>
      <c r="G153" s="1"/>
      <c r="H153" s="1"/>
      <c r="I153" s="1"/>
      <c r="J153" s="1"/>
      <c r="K153" s="1"/>
      <c r="L153" s="1"/>
    </row>
    <row r="154" spans="1:12">
      <c r="A154" s="180" t="s">
        <v>363</v>
      </c>
      <c r="B154" s="5"/>
      <c r="C154" s="503">
        <f>C153/C127</f>
        <v>5.6433408577878055E-2</v>
      </c>
      <c r="D154" s="503">
        <f t="shared" ref="D154:F154" si="27">D153/D127</f>
        <v>0.89859154929577445</v>
      </c>
      <c r="E154" s="503">
        <f t="shared" si="27"/>
        <v>-0.38265306122448972</v>
      </c>
      <c r="F154" s="507">
        <f t="shared" si="27"/>
        <v>9.4614264919941779E-2</v>
      </c>
      <c r="G154" s="1"/>
      <c r="H154" s="1"/>
      <c r="I154" s="1"/>
      <c r="J154" s="1"/>
      <c r="K154" s="1"/>
      <c r="L154" s="1"/>
    </row>
    <row r="155" spans="1:12">
      <c r="A155" s="180"/>
      <c r="B155" s="5"/>
      <c r="C155" s="191"/>
      <c r="D155" s="192"/>
      <c r="E155" s="192"/>
      <c r="F155" s="272"/>
      <c r="G155" s="1"/>
      <c r="H155" s="1"/>
      <c r="I155" s="1"/>
      <c r="J155" s="1"/>
      <c r="K155" s="1"/>
      <c r="L155" s="1"/>
    </row>
    <row r="156" spans="1:12">
      <c r="A156" s="180" t="s">
        <v>364</v>
      </c>
      <c r="B156" s="5"/>
      <c r="C156" s="192">
        <f>C38-D38-D120</f>
        <v>-212</v>
      </c>
      <c r="D156" s="192">
        <f t="shared" ref="D156:F156" si="28">D38-E38-E120</f>
        <v>-559</v>
      </c>
      <c r="E156" s="192">
        <f t="shared" si="28"/>
        <v>166</v>
      </c>
      <c r="F156" s="272">
        <f t="shared" si="28"/>
        <v>-261</v>
      </c>
      <c r="G156" s="1"/>
      <c r="H156" s="1"/>
      <c r="I156" s="1"/>
      <c r="J156" s="1"/>
      <c r="K156" s="1"/>
      <c r="L156" s="1"/>
    </row>
    <row r="157" spans="1:12">
      <c r="A157" s="314" t="s">
        <v>365</v>
      </c>
      <c r="B157" s="5"/>
      <c r="C157" s="191">
        <f>C153+C156</f>
        <v>-187.00000000000003</v>
      </c>
      <c r="D157" s="191">
        <f t="shared" ref="D157:F157" si="29">D153+D156</f>
        <v>78.999999999999886</v>
      </c>
      <c r="E157" s="191">
        <f t="shared" si="29"/>
        <v>-58.999999999999972</v>
      </c>
      <c r="F157" s="273">
        <f t="shared" si="29"/>
        <v>-196</v>
      </c>
      <c r="G157" s="1"/>
      <c r="H157" s="1"/>
      <c r="I157" s="1"/>
      <c r="J157" s="1"/>
      <c r="K157" s="1"/>
      <c r="L157" s="1"/>
    </row>
    <row r="158" spans="1:12">
      <c r="A158" s="314" t="s">
        <v>531</v>
      </c>
      <c r="B158" s="5"/>
      <c r="C158" s="191">
        <f>C46-D46</f>
        <v>-47</v>
      </c>
      <c r="D158" s="191">
        <f t="shared" ref="D158:F158" si="30">D46-E46</f>
        <v>210</v>
      </c>
      <c r="E158" s="191">
        <f t="shared" si="30"/>
        <v>-8</v>
      </c>
      <c r="F158" s="273">
        <f t="shared" si="30"/>
        <v>6</v>
      </c>
      <c r="G158" s="1"/>
      <c r="H158" s="1"/>
      <c r="I158" s="1"/>
      <c r="J158" s="1"/>
      <c r="K158" s="1"/>
      <c r="L158" s="1"/>
    </row>
    <row r="159" spans="1:12">
      <c r="A159" s="180"/>
      <c r="B159" s="5"/>
      <c r="C159" s="191"/>
      <c r="D159" s="191"/>
      <c r="E159" s="191"/>
      <c r="F159" s="273"/>
      <c r="G159" s="1"/>
      <c r="H159" s="1"/>
      <c r="I159" s="1"/>
      <c r="J159" s="1"/>
      <c r="K159" s="1"/>
      <c r="L159" s="1"/>
    </row>
    <row r="160" spans="1:12">
      <c r="A160" s="180" t="s">
        <v>366</v>
      </c>
      <c r="B160" s="5"/>
      <c r="C160" s="191">
        <v>636</v>
      </c>
      <c r="D160" s="192">
        <v>402</v>
      </c>
      <c r="E160" s="192">
        <v>691</v>
      </c>
      <c r="F160" s="272">
        <v>624</v>
      </c>
      <c r="G160" s="1"/>
      <c r="H160" s="1"/>
      <c r="I160" s="1"/>
      <c r="J160" s="1"/>
      <c r="K160" s="1"/>
      <c r="L160" s="1"/>
    </row>
    <row r="161" spans="1:12">
      <c r="A161" s="180" t="s">
        <v>367</v>
      </c>
      <c r="B161" s="5"/>
      <c r="C161" s="191">
        <v>402</v>
      </c>
      <c r="D161" s="192">
        <v>691</v>
      </c>
      <c r="E161" s="192">
        <v>624</v>
      </c>
      <c r="F161" s="272">
        <v>434</v>
      </c>
      <c r="G161" s="1"/>
      <c r="H161" s="1"/>
      <c r="I161" s="1"/>
      <c r="J161" s="1"/>
      <c r="K161" s="1"/>
      <c r="L161" s="1"/>
    </row>
    <row r="162" spans="1:12" ht="15" thickBot="1">
      <c r="A162" s="362" t="s">
        <v>368</v>
      </c>
      <c r="B162" s="275"/>
      <c r="C162" s="276">
        <v>-234</v>
      </c>
      <c r="D162" s="276">
        <v>289</v>
      </c>
      <c r="E162" s="276">
        <v>-67</v>
      </c>
      <c r="F162" s="277">
        <v>-190</v>
      </c>
      <c r="G162" s="1"/>
      <c r="H162" s="1"/>
      <c r="I162" s="1"/>
      <c r="J162" s="1"/>
      <c r="K162" s="1"/>
      <c r="L162" s="1"/>
    </row>
    <row r="163" spans="1:12" ht="15" thickBot="1">
      <c r="A163" s="262"/>
      <c r="B163" s="55"/>
      <c r="C163" s="55"/>
      <c r="D163" s="55"/>
      <c r="E163" s="55"/>
      <c r="F163" s="291"/>
      <c r="G163" s="1"/>
      <c r="H163" s="1"/>
      <c r="I163" s="1"/>
      <c r="J163" s="1"/>
      <c r="K163" s="1"/>
      <c r="L163" s="1"/>
    </row>
    <row r="164" spans="1:12" ht="15" thickBot="1">
      <c r="A164" s="278" t="s">
        <v>379</v>
      </c>
      <c r="B164" s="279"/>
      <c r="C164" s="279">
        <f>IF(C157+C158=C162,0,"differentfrom0")</f>
        <v>0</v>
      </c>
      <c r="D164" s="279">
        <f t="shared" ref="D164:F164" si="31">IF(D157+D158=D162,0,"differentfrom0")</f>
        <v>0</v>
      </c>
      <c r="E164" s="279">
        <f t="shared" si="31"/>
        <v>0</v>
      </c>
      <c r="F164" s="280">
        <f t="shared" si="31"/>
        <v>0</v>
      </c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</sheetData>
  <mergeCells count="4">
    <mergeCell ref="C124:F124"/>
    <mergeCell ref="A1:B1"/>
    <mergeCell ref="B2:G2"/>
    <mergeCell ref="C55:G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sheetPr codeName="Foglio7"/>
  <dimension ref="A1:V153"/>
  <sheetViews>
    <sheetView zoomScale="80" zoomScaleNormal="80" workbookViewId="0">
      <selection activeCell="C54" sqref="C54"/>
    </sheetView>
  </sheetViews>
  <sheetFormatPr defaultRowHeight="14.4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>
      <c r="A1" s="680" t="s">
        <v>456</v>
      </c>
      <c r="B1" s="681"/>
      <c r="C1" s="129"/>
      <c r="D1" s="129"/>
      <c r="E1" s="129"/>
      <c r="F1" s="129"/>
      <c r="G1" s="311"/>
    </row>
    <row r="2" spans="1:20">
      <c r="A2" s="312"/>
      <c r="B2" s="678" t="s">
        <v>158</v>
      </c>
      <c r="C2" s="678"/>
      <c r="D2" s="678"/>
      <c r="E2" s="678"/>
      <c r="F2" s="678"/>
      <c r="G2" s="679"/>
    </row>
    <row r="3" spans="1:20">
      <c r="A3" s="260"/>
      <c r="B3" s="126" t="s">
        <v>1</v>
      </c>
      <c r="C3" s="128">
        <v>42461</v>
      </c>
      <c r="D3" s="128">
        <v>42826</v>
      </c>
      <c r="E3" s="128">
        <v>43191</v>
      </c>
      <c r="F3" s="128">
        <v>43556</v>
      </c>
      <c r="G3" s="313">
        <v>43922</v>
      </c>
    </row>
    <row r="4" spans="1:20">
      <c r="A4" s="314"/>
      <c r="B4" s="5"/>
      <c r="C4" s="31"/>
      <c r="D4" s="29"/>
      <c r="E4" s="29"/>
      <c r="F4" s="29"/>
      <c r="G4" s="263"/>
    </row>
    <row r="5" spans="1:20">
      <c r="A5" s="315" t="s">
        <v>327</v>
      </c>
      <c r="B5" s="141"/>
      <c r="C5" s="151">
        <v>5022</v>
      </c>
      <c r="D5" s="151">
        <v>5026</v>
      </c>
      <c r="E5" s="151">
        <f>+(4592)</f>
        <v>4592</v>
      </c>
      <c r="F5" s="151">
        <v>4703</v>
      </c>
      <c r="G5" s="316">
        <v>4917</v>
      </c>
    </row>
    <row r="6" spans="1:20">
      <c r="A6" s="315" t="s">
        <v>328</v>
      </c>
      <c r="B6" s="141"/>
      <c r="C6" s="151">
        <v>1360</v>
      </c>
      <c r="D6" s="151">
        <v>1756</v>
      </c>
      <c r="E6" s="151">
        <v>1902</v>
      </c>
      <c r="F6" s="151">
        <v>2344</v>
      </c>
      <c r="G6" s="316">
        <v>2429</v>
      </c>
    </row>
    <row r="7" spans="1:20">
      <c r="A7" s="315" t="s">
        <v>323</v>
      </c>
      <c r="B7" s="141"/>
      <c r="C7" s="151">
        <f>70+76</f>
        <v>146</v>
      </c>
      <c r="D7" s="151">
        <f>62+78</f>
        <v>140</v>
      </c>
      <c r="E7" s="151">
        <f>+(63+42)</f>
        <v>105</v>
      </c>
      <c r="F7" s="151">
        <f>18+26</f>
        <v>44</v>
      </c>
      <c r="G7" s="316">
        <f>+(24+71)</f>
        <v>95</v>
      </c>
    </row>
    <row r="8" spans="1:20">
      <c r="A8" s="317" t="s">
        <v>329</v>
      </c>
      <c r="B8" s="318"/>
      <c r="C8" s="156">
        <f>SUM(C5:C7)</f>
        <v>6528</v>
      </c>
      <c r="D8" s="156">
        <f>SUM(D5:D7)</f>
        <v>6922</v>
      </c>
      <c r="E8" s="156">
        <f>E5+E6+E7</f>
        <v>6599</v>
      </c>
      <c r="F8" s="156">
        <f>F5+F6+F7</f>
        <v>7091</v>
      </c>
      <c r="G8" s="319">
        <f>SUM(G5:G7)</f>
        <v>7441</v>
      </c>
    </row>
    <row r="9" spans="1:20">
      <c r="A9" s="315"/>
      <c r="B9" s="141"/>
      <c r="C9" s="151"/>
      <c r="D9" s="151"/>
      <c r="E9" s="151"/>
      <c r="F9" s="151"/>
      <c r="G9" s="316"/>
    </row>
    <row r="10" spans="1:20">
      <c r="A10" s="315" t="s">
        <v>318</v>
      </c>
      <c r="B10" s="141"/>
      <c r="C10" s="151">
        <v>98</v>
      </c>
      <c r="D10" s="151">
        <v>118</v>
      </c>
      <c r="E10" s="151">
        <v>80</v>
      </c>
      <c r="F10" s="151">
        <v>119</v>
      </c>
      <c r="G10" s="316">
        <v>104</v>
      </c>
    </row>
    <row r="11" spans="1:20">
      <c r="A11" s="315" t="s">
        <v>319</v>
      </c>
      <c r="B11" s="141"/>
      <c r="C11" s="151">
        <v>1547</v>
      </c>
      <c r="D11" s="151">
        <v>1878</v>
      </c>
      <c r="E11" s="151">
        <f>+(1826)</f>
        <v>1826</v>
      </c>
      <c r="F11" s="151">
        <v>2077</v>
      </c>
      <c r="G11" s="316">
        <v>2056</v>
      </c>
    </row>
    <row r="12" spans="1:20">
      <c r="A12" s="315" t="s">
        <v>324</v>
      </c>
      <c r="B12" s="141"/>
      <c r="C12" s="151">
        <v>-1012</v>
      </c>
      <c r="D12" s="151">
        <f>-(1151)</f>
        <v>-1151</v>
      </c>
      <c r="E12" s="151">
        <f>-(1150)</f>
        <v>-1150</v>
      </c>
      <c r="F12" s="151">
        <f>-(1321)</f>
        <v>-1321</v>
      </c>
      <c r="G12" s="316">
        <f>-(1323)</f>
        <v>-1323</v>
      </c>
    </row>
    <row r="13" spans="1:20">
      <c r="A13" s="320" t="s">
        <v>330</v>
      </c>
      <c r="B13" s="321"/>
      <c r="C13" s="159">
        <f>SUM(C10:C12)</f>
        <v>633</v>
      </c>
      <c r="D13" s="159">
        <f>SUM(D10:D12)</f>
        <v>845</v>
      </c>
      <c r="E13" s="159">
        <f>E10+E11+E12</f>
        <v>756</v>
      </c>
      <c r="F13" s="159">
        <f>F10+F11+F12</f>
        <v>875</v>
      </c>
      <c r="G13" s="322">
        <f>G10+G11+G12</f>
        <v>837</v>
      </c>
    </row>
    <row r="14" spans="1:20">
      <c r="A14" s="323"/>
      <c r="B14" s="140"/>
      <c r="C14" s="151"/>
      <c r="D14" s="151"/>
      <c r="E14" s="151"/>
      <c r="F14" s="151"/>
      <c r="G14" s="324"/>
    </row>
    <row r="15" spans="1:20">
      <c r="A15" s="325" t="s">
        <v>457</v>
      </c>
      <c r="B15" s="141"/>
      <c r="C15" s="151"/>
      <c r="D15" s="151"/>
      <c r="E15" s="151"/>
      <c r="F15" s="151"/>
      <c r="G15" s="316"/>
      <c r="H15" s="305"/>
      <c r="I15" s="305"/>
      <c r="J15" s="55"/>
      <c r="K15" s="305"/>
      <c r="L15" s="305"/>
      <c r="M15" s="55"/>
    </row>
    <row r="16" spans="1:20">
      <c r="A16" s="315" t="s">
        <v>320</v>
      </c>
      <c r="B16" s="141"/>
      <c r="C16" s="151">
        <v>335</v>
      </c>
      <c r="D16" s="151">
        <v>248</v>
      </c>
      <c r="E16" s="151">
        <v>201</v>
      </c>
      <c r="F16" s="151">
        <v>391</v>
      </c>
      <c r="G16" s="316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>
      <c r="A17" s="315" t="s">
        <v>321</v>
      </c>
      <c r="B17" s="141"/>
      <c r="C17" s="151">
        <v>233</v>
      </c>
      <c r="D17" s="151">
        <v>200</v>
      </c>
      <c r="E17" s="151">
        <f>+(7)</f>
        <v>7</v>
      </c>
      <c r="F17" s="151">
        <v>11</v>
      </c>
      <c r="G17" s="316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>
      <c r="A18" s="326" t="s">
        <v>31</v>
      </c>
      <c r="B18" s="153"/>
      <c r="C18" s="151">
        <v>6</v>
      </c>
      <c r="D18" s="151">
        <v>22</v>
      </c>
      <c r="E18" s="151">
        <v>8</v>
      </c>
      <c r="F18" s="151">
        <v>22</v>
      </c>
      <c r="G18" s="316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>
      <c r="A19" s="315" t="s">
        <v>75</v>
      </c>
      <c r="B19" s="141"/>
      <c r="C19" s="151">
        <v>69</v>
      </c>
      <c r="D19" s="151">
        <v>70</v>
      </c>
      <c r="E19" s="151">
        <v>67</v>
      </c>
      <c r="F19" s="151">
        <v>49</v>
      </c>
      <c r="G19" s="324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>
      <c r="A20" s="326" t="s">
        <v>322</v>
      </c>
      <c r="B20" s="141"/>
      <c r="C20" s="151">
        <v>2</v>
      </c>
      <c r="D20" s="151">
        <f>+(2)</f>
        <v>2</v>
      </c>
      <c r="E20" s="151">
        <v>226</v>
      </c>
      <c r="F20" s="151">
        <v>110</v>
      </c>
      <c r="G20" s="316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>
      <c r="A21" s="325" t="s">
        <v>342</v>
      </c>
      <c r="B21" s="141"/>
      <c r="C21" s="151"/>
      <c r="D21" s="151"/>
      <c r="E21" s="151"/>
      <c r="F21" s="151"/>
      <c r="G21" s="327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>
      <c r="A22" s="315" t="s">
        <v>120</v>
      </c>
      <c r="B22" s="141"/>
      <c r="C22" s="151">
        <v>-95</v>
      </c>
      <c r="D22" s="151">
        <v>-109</v>
      </c>
      <c r="E22" s="151">
        <f>-(154)</f>
        <v>-154</v>
      </c>
      <c r="F22" s="151">
        <v>-151</v>
      </c>
      <c r="G22" s="316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>
      <c r="A23" s="315" t="s">
        <v>153</v>
      </c>
      <c r="B23" s="141"/>
      <c r="C23" s="151">
        <v>-85</v>
      </c>
      <c r="D23" s="151">
        <f>-(103)</f>
        <v>-103</v>
      </c>
      <c r="E23" s="151">
        <f>-(41)</f>
        <v>-41</v>
      </c>
      <c r="F23" s="151">
        <v>-91</v>
      </c>
      <c r="G23" s="316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>
      <c r="A24" s="315" t="s">
        <v>325</v>
      </c>
      <c r="B24" s="141"/>
      <c r="C24" s="151">
        <v>-707</v>
      </c>
      <c r="D24" s="151">
        <f>-(681)</f>
        <v>-681</v>
      </c>
      <c r="E24" s="151">
        <f>-(632)</f>
        <v>-632</v>
      </c>
      <c r="F24" s="151">
        <v>-882</v>
      </c>
      <c r="G24" s="316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>
      <c r="A25" s="315" t="s">
        <v>376</v>
      </c>
      <c r="B25" s="141"/>
      <c r="C25" s="151">
        <v>0</v>
      </c>
      <c r="D25" s="151">
        <f>-(2)</f>
        <v>-2</v>
      </c>
      <c r="E25" s="151">
        <v>0</v>
      </c>
      <c r="F25" s="151">
        <v>0</v>
      </c>
      <c r="G25" s="316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>
      <c r="A26" s="317" t="s">
        <v>331</v>
      </c>
      <c r="B26" s="318"/>
      <c r="C26" s="156">
        <f>C13+SUM(C16:C25)</f>
        <v>391</v>
      </c>
      <c r="D26" s="156">
        <f>D13+SUM(D16:D25)</f>
        <v>492</v>
      </c>
      <c r="E26" s="156">
        <f>E13+E16+E17+E18+E19+E20+E22+E23+E24+E25</f>
        <v>438</v>
      </c>
      <c r="F26" s="156">
        <f>F13+F16+F17+F18+F19+F20+F22+F23+F24</f>
        <v>334</v>
      </c>
      <c r="G26" s="328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>
      <c r="A27" s="315"/>
      <c r="B27" s="141"/>
      <c r="C27" s="151"/>
      <c r="D27" s="151"/>
      <c r="E27" s="151"/>
      <c r="F27" s="151"/>
      <c r="G27" s="316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>
      <c r="A28" s="315" t="s">
        <v>375</v>
      </c>
      <c r="B28" s="141"/>
      <c r="C28" s="151">
        <v>305</v>
      </c>
      <c r="D28" s="151">
        <f>+(357)</f>
        <v>357</v>
      </c>
      <c r="E28" s="151">
        <f>+(295)</f>
        <v>295</v>
      </c>
      <c r="F28" s="151">
        <v>274</v>
      </c>
      <c r="G28" s="316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>
      <c r="A29" s="315" t="s">
        <v>113</v>
      </c>
      <c r="B29" s="141"/>
      <c r="C29" s="151">
        <v>-327</v>
      </c>
      <c r="D29" s="151">
        <f>-(359)</f>
        <v>-359</v>
      </c>
      <c r="E29" s="151">
        <f>-(315)</f>
        <v>-315</v>
      </c>
      <c r="F29" s="151">
        <v>-311</v>
      </c>
      <c r="G29" s="316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>
      <c r="A30" s="315" t="s">
        <v>326</v>
      </c>
      <c r="B30" s="141"/>
      <c r="C30" s="151">
        <f>-(604)</f>
        <v>-604</v>
      </c>
      <c r="D30" s="151">
        <f>-(666)</f>
        <v>-666</v>
      </c>
      <c r="E30" s="151">
        <f>-(626)</f>
        <v>-626</v>
      </c>
      <c r="F30" s="151">
        <f>-(637)</f>
        <v>-637</v>
      </c>
      <c r="G30" s="316">
        <f>-(668)</f>
        <v>-668</v>
      </c>
    </row>
    <row r="31" spans="1:20">
      <c r="A31" s="329" t="s">
        <v>332</v>
      </c>
      <c r="B31" s="330"/>
      <c r="C31" s="155">
        <f>C8+C26+SUM(C28:C30)</f>
        <v>6293</v>
      </c>
      <c r="D31" s="155">
        <f>D8+D26+D28+D29+D30</f>
        <v>6746</v>
      </c>
      <c r="E31" s="155">
        <f>E8+E26+E28+E29+E30</f>
        <v>6391</v>
      </c>
      <c r="F31" s="155">
        <f>F8+F26+F28+F29+F30</f>
        <v>6751</v>
      </c>
      <c r="G31" s="331">
        <f>G8+G26+G28+G29+G30</f>
        <v>7075</v>
      </c>
    </row>
    <row r="32" spans="1:20">
      <c r="A32" s="315"/>
      <c r="B32" s="141"/>
      <c r="C32" s="151"/>
      <c r="D32" s="143"/>
      <c r="E32" s="143"/>
      <c r="F32" s="143"/>
      <c r="G32" s="316"/>
    </row>
    <row r="33" spans="1:22">
      <c r="A33" s="315"/>
      <c r="B33" s="141"/>
      <c r="C33" s="151"/>
      <c r="D33" s="143"/>
      <c r="E33" s="143"/>
      <c r="F33" s="143"/>
      <c r="G33" s="316"/>
    </row>
    <row r="34" spans="1:22">
      <c r="A34" s="315"/>
      <c r="B34" s="141"/>
      <c r="C34" s="151"/>
      <c r="D34" s="143"/>
      <c r="E34" s="143"/>
      <c r="F34" s="143"/>
      <c r="G34" s="316"/>
    </row>
    <row r="35" spans="1:22">
      <c r="A35" s="332" t="s">
        <v>339</v>
      </c>
      <c r="B35" s="333"/>
      <c r="C35" s="156">
        <v>-3132</v>
      </c>
      <c r="D35" s="156">
        <f>-(3462)</f>
        <v>-3462</v>
      </c>
      <c r="E35" s="156">
        <f>-(3191)</f>
        <v>-3191</v>
      </c>
      <c r="F35" s="156">
        <f>-(3614)</f>
        <v>-3614</v>
      </c>
      <c r="G35" s="319">
        <f>-(3746)</f>
        <v>-3746</v>
      </c>
    </row>
    <row r="36" spans="1:22">
      <c r="A36" s="315"/>
      <c r="B36" s="141"/>
      <c r="C36" s="151"/>
      <c r="D36" s="151"/>
      <c r="E36" s="151"/>
      <c r="F36" s="151"/>
      <c r="G36" s="316"/>
    </row>
    <row r="37" spans="1:22">
      <c r="A37" s="315" t="s">
        <v>105</v>
      </c>
      <c r="B37" s="141"/>
      <c r="C37" s="151">
        <v>-3090</v>
      </c>
      <c r="D37" s="151">
        <f>-(3730)</f>
        <v>-3730</v>
      </c>
      <c r="E37" s="151">
        <f>-(3515)</f>
        <v>-3515</v>
      </c>
      <c r="F37" s="151">
        <f>-(3074)</f>
        <v>-3074</v>
      </c>
      <c r="G37" s="316">
        <f>-(3052)</f>
        <v>-3052</v>
      </c>
    </row>
    <row r="38" spans="1:22">
      <c r="A38" s="315" t="s">
        <v>150</v>
      </c>
      <c r="B38" s="141"/>
      <c r="C38" s="151">
        <v>-630</v>
      </c>
      <c r="D38" s="151">
        <f>-(243)</f>
        <v>-243</v>
      </c>
      <c r="E38" s="151">
        <f>-(411)</f>
        <v>-411</v>
      </c>
      <c r="F38" s="151">
        <f>-(667)</f>
        <v>-667</v>
      </c>
      <c r="G38" s="316">
        <f>-(584)</f>
        <v>-584</v>
      </c>
    </row>
    <row r="39" spans="1:22">
      <c r="A39" s="334" t="s">
        <v>338</v>
      </c>
      <c r="B39" s="335"/>
      <c r="C39" s="159">
        <f>C37+C38</f>
        <v>-3720</v>
      </c>
      <c r="D39" s="159">
        <f>D37+D38</f>
        <v>-3973</v>
      </c>
      <c r="E39" s="159">
        <f>E37+E38</f>
        <v>-3926</v>
      </c>
      <c r="F39" s="159">
        <f>F37+F38</f>
        <v>-3741</v>
      </c>
      <c r="G39" s="336">
        <f>G37+G38</f>
        <v>-3636</v>
      </c>
    </row>
    <row r="40" spans="1:22">
      <c r="A40" s="325"/>
      <c r="B40" s="142"/>
      <c r="C40" s="151"/>
      <c r="D40" s="151"/>
      <c r="E40" s="151"/>
      <c r="F40" s="151"/>
      <c r="G40" s="337"/>
    </row>
    <row r="41" spans="1:22">
      <c r="A41" s="315" t="s">
        <v>77</v>
      </c>
      <c r="B41" s="141"/>
      <c r="C41" s="151">
        <v>559</v>
      </c>
      <c r="D41" s="151">
        <f>+(689)</f>
        <v>689</v>
      </c>
      <c r="E41" s="151">
        <v>726</v>
      </c>
      <c r="F41" s="151">
        <v>604</v>
      </c>
      <c r="G41" s="316">
        <f>+(307)</f>
        <v>307</v>
      </c>
    </row>
    <row r="42" spans="1:22">
      <c r="A42" s="317" t="s">
        <v>333</v>
      </c>
      <c r="B42" s="318"/>
      <c r="C42" s="156">
        <f>C39+C41</f>
        <v>-3161</v>
      </c>
      <c r="D42" s="156">
        <f>D39+D41</f>
        <v>-3284</v>
      </c>
      <c r="E42" s="156">
        <f>E39+E41</f>
        <v>-3200</v>
      </c>
      <c r="F42" s="156">
        <f>F39+F41</f>
        <v>-3137</v>
      </c>
      <c r="G42" s="319">
        <f>G39+G41</f>
        <v>-3329</v>
      </c>
    </row>
    <row r="43" spans="1:22">
      <c r="A43" s="315"/>
      <c r="B43" s="141"/>
      <c r="C43" s="151"/>
      <c r="D43" s="151"/>
      <c r="E43" s="151"/>
      <c r="F43" s="151"/>
      <c r="G43" s="316"/>
      <c r="O43" s="249"/>
      <c r="P43" s="249"/>
      <c r="Q43" s="249"/>
    </row>
    <row r="44" spans="1:22" ht="15" thickBot="1">
      <c r="A44" s="338" t="s">
        <v>332</v>
      </c>
      <c r="B44" s="339"/>
      <c r="C44" s="340">
        <f>C35+C42</f>
        <v>-6293</v>
      </c>
      <c r="D44" s="340">
        <f>D35+D42</f>
        <v>-6746</v>
      </c>
      <c r="E44" s="340">
        <f>E35+E42</f>
        <v>-6391</v>
      </c>
      <c r="F44" s="340">
        <f>F35+F42</f>
        <v>-6751</v>
      </c>
      <c r="G44" s="341">
        <f>G35+G42</f>
        <v>-7075</v>
      </c>
      <c r="L44" s="249"/>
      <c r="M44" s="249"/>
      <c r="O44" s="249"/>
      <c r="P44" s="249"/>
      <c r="Q44" s="249"/>
    </row>
    <row r="45" spans="1:22">
      <c r="L45" s="249"/>
      <c r="M45" s="249"/>
      <c r="O45" s="249"/>
      <c r="P45" s="249"/>
      <c r="Q45" s="249"/>
    </row>
    <row r="46" spans="1:22">
      <c r="A46" s="310" t="s">
        <v>458</v>
      </c>
      <c r="B46" s="310"/>
      <c r="C46" s="310" t="str">
        <f t="shared" ref="C46:F46" si="0">IF(C31+C44=0,"Correct","Incorrect")</f>
        <v>Correct</v>
      </c>
      <c r="D46" s="310" t="str">
        <f t="shared" si="0"/>
        <v>Correct</v>
      </c>
      <c r="E46" s="310" t="str">
        <f t="shared" si="0"/>
        <v>Correct</v>
      </c>
      <c r="F46" s="310" t="str">
        <f t="shared" si="0"/>
        <v>Correct</v>
      </c>
      <c r="G46" s="310" t="str">
        <f>IF(G31+G44=0,"Correct","Incorrect")</f>
        <v>Correct</v>
      </c>
      <c r="L46" s="249"/>
      <c r="M46" s="249"/>
      <c r="O46" s="249"/>
      <c r="P46" s="249"/>
      <c r="Q46" s="249"/>
    </row>
    <row r="47" spans="1:22" ht="15" thickBot="1">
      <c r="L47" s="249"/>
      <c r="M47" s="249"/>
      <c r="O47" s="249"/>
      <c r="P47" s="249"/>
      <c r="Q47" s="249"/>
    </row>
    <row r="48" spans="1:22" ht="24.6">
      <c r="A48" s="342" t="s">
        <v>443</v>
      </c>
      <c r="B48" s="343"/>
      <c r="C48" s="343"/>
      <c r="D48" s="343"/>
      <c r="E48" s="343"/>
      <c r="F48" s="343"/>
      <c r="G48" s="344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</row>
    <row r="49" spans="1:22">
      <c r="A49" s="345"/>
      <c r="B49" s="111"/>
      <c r="C49" s="682" t="s">
        <v>163</v>
      </c>
      <c r="D49" s="682"/>
      <c r="E49" s="682"/>
      <c r="F49" s="682"/>
      <c r="G49" s="6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</row>
    <row r="50" spans="1:22">
      <c r="A50" s="346"/>
      <c r="B50" s="125" t="s">
        <v>1</v>
      </c>
      <c r="C50" s="112" t="s">
        <v>446</v>
      </c>
      <c r="D50" s="306" t="s">
        <v>447</v>
      </c>
      <c r="E50" s="306" t="s">
        <v>448</v>
      </c>
      <c r="F50" s="306" t="s">
        <v>449</v>
      </c>
      <c r="G50" s="347" t="s">
        <v>450</v>
      </c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</row>
    <row r="51" spans="1:22">
      <c r="A51" s="348"/>
      <c r="B51" s="171"/>
      <c r="C51" s="177"/>
      <c r="D51" s="178"/>
      <c r="E51" s="178"/>
      <c r="F51" s="178"/>
      <c r="G51" s="349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</row>
    <row r="52" spans="1:22">
      <c r="A52" s="314" t="s">
        <v>344</v>
      </c>
      <c r="B52" s="171"/>
      <c r="C52" s="150">
        <f>(1287-1379) + 'Reorganised Statements'!D52</f>
        <v>4829</v>
      </c>
      <c r="D52" s="145">
        <f>(1812-1622) + 'Reorganised Statements'!E52</f>
        <v>5050</v>
      </c>
      <c r="E52" s="145">
        <f>(1812-1622) + 'Reorganised Statements'!F52</f>
        <v>5986</v>
      </c>
      <c r="F52" s="145">
        <f>(2119-1812) + 'Reorganised Statements'!G52</f>
        <v>6801</v>
      </c>
      <c r="G52" s="324">
        <f>1707-2110 +'Reorganised Statements'!H52</f>
        <v>6921</v>
      </c>
      <c r="H52" s="309"/>
      <c r="I52" s="283"/>
      <c r="J52" s="309"/>
      <c r="K52" s="309"/>
      <c r="L52" s="283"/>
      <c r="M52" s="309"/>
      <c r="N52" s="309"/>
      <c r="O52" s="283"/>
      <c r="P52" s="309"/>
      <c r="Q52" s="309"/>
      <c r="R52" s="283"/>
      <c r="S52" s="309"/>
      <c r="T52" s="309"/>
      <c r="U52" s="283"/>
      <c r="V52" s="283"/>
    </row>
    <row r="53" spans="1:22">
      <c r="A53" s="180" t="s">
        <v>444</v>
      </c>
      <c r="B53" s="171"/>
      <c r="C53" s="151">
        <f>-(817-885) +SUM('Reorganised Statements'!D58:D60)</f>
        <v>-3176</v>
      </c>
      <c r="D53" s="143">
        <f>-(1239 - 1069)+SUM('Reorganised Statements'!E58:E60)</f>
        <v>-3272</v>
      </c>
      <c r="E53" s="143">
        <f>-(1239 - 1069)+SUM('Reorganised Statements'!F58:F60)</f>
        <v>-4132</v>
      </c>
      <c r="F53" s="143">
        <f>-(1605-1239)+SUM('Reorganised Statements'!G58:G60)</f>
        <v>-4964</v>
      </c>
      <c r="G53" s="316">
        <f>-(1196-1605) + SUM('Reorganised Statements'!H58:H60)</f>
        <v>-4981</v>
      </c>
      <c r="H53" s="283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</row>
    <row r="54" spans="1:22">
      <c r="A54" s="180" t="s">
        <v>445</v>
      </c>
      <c r="B54" s="171"/>
      <c r="C54" s="143">
        <f>-(165-160) + 'Reorganised Statements'!D61</f>
        <v>-634</v>
      </c>
      <c r="D54" s="143">
        <f>-(165-160) + 'Reorganised Statements'!E61</f>
        <v>-601</v>
      </c>
      <c r="E54" s="143">
        <f>-(165-160) + 'Reorganised Statements'!F61</f>
        <v>-640</v>
      </c>
      <c r="F54" s="143">
        <f>-(177-165)+'Reorganised Statements'!G61</f>
        <v>-677</v>
      </c>
      <c r="G54" s="316">
        <f xml:space="preserve"> -(180-177)+'Reorganised Statements'!H61</f>
        <v>-703</v>
      </c>
      <c r="H54" s="283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</row>
    <row r="55" spans="1:22">
      <c r="A55" s="314"/>
      <c r="B55" s="171"/>
      <c r="C55" s="151"/>
      <c r="D55" s="151"/>
      <c r="E55" s="143"/>
      <c r="F55" s="143"/>
      <c r="G55" s="316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</row>
    <row r="56" spans="1:22">
      <c r="A56" s="350" t="s">
        <v>306</v>
      </c>
      <c r="B56" s="175"/>
      <c r="C56" s="146">
        <f>SUM(C52:C54)</f>
        <v>1019</v>
      </c>
      <c r="D56" s="146">
        <f>SUM(D52:D54)</f>
        <v>1177</v>
      </c>
      <c r="E56" s="146">
        <f>SUM(E52:E54)</f>
        <v>1214</v>
      </c>
      <c r="F56" s="319">
        <f>SUM(F52:F54)</f>
        <v>1160</v>
      </c>
      <c r="G56" s="319">
        <f>SUM(G52:G54)</f>
        <v>1237</v>
      </c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</row>
    <row r="57" spans="1:22">
      <c r="A57" s="180" t="s">
        <v>451</v>
      </c>
      <c r="B57" s="171"/>
      <c r="C57" s="145">
        <f>-(121-110) + 'Reorganised Statements'!D72+'Reorganised Statements'!D76</f>
        <v>-844</v>
      </c>
      <c r="D57" s="145">
        <f>-(121-110) + 'Reorganised Statements'!E72+'Reorganised Statements'!E76</f>
        <v>-730</v>
      </c>
      <c r="E57" s="145">
        <f>-(121-110) + 'Reorganised Statements'!F72+'Reorganised Statements'!F76</f>
        <v>-500</v>
      </c>
      <c r="F57" s="145">
        <f>-(131-121) + 'Reorganised Statements'!G72+'Reorganised Statements'!G76</f>
        <v>-653</v>
      </c>
      <c r="G57" s="324">
        <f>-(135-131) + 'Reorganised Statements'!H72+'Reorganised Statements'!H76</f>
        <v>-551</v>
      </c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</row>
    <row r="58" spans="1:22">
      <c r="A58" s="314"/>
      <c r="B58" s="171"/>
      <c r="C58" s="151"/>
      <c r="D58" s="151"/>
      <c r="E58" s="145"/>
      <c r="F58" s="145"/>
      <c r="G58" s="324"/>
      <c r="H58" s="283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</row>
    <row r="59" spans="1:22">
      <c r="A59" s="350" t="s">
        <v>303</v>
      </c>
      <c r="B59" s="175"/>
      <c r="C59" s="319">
        <f>C56+C57</f>
        <v>175</v>
      </c>
      <c r="D59" s="319">
        <f>D56+D57</f>
        <v>447</v>
      </c>
      <c r="E59" s="319">
        <f>E56+E57</f>
        <v>714</v>
      </c>
      <c r="F59" s="319">
        <f>F56+F57</f>
        <v>507</v>
      </c>
      <c r="G59" s="319">
        <f>G56+G57</f>
        <v>686</v>
      </c>
      <c r="H59" s="283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</row>
    <row r="60" spans="1:22">
      <c r="A60" s="180" t="s">
        <v>452</v>
      </c>
      <c r="B60" s="171"/>
      <c r="C60" s="143">
        <f>(0-0) + 'Reorganised Statements'!D82</f>
        <v>1</v>
      </c>
      <c r="D60" s="143">
        <f>(0-0) + 'Reorganised Statements'!E82</f>
        <v>52</v>
      </c>
      <c r="E60" s="143">
        <f>(0-0) + 'Reorganised Statements'!F82</f>
        <v>0</v>
      </c>
      <c r="F60" s="143">
        <f xml:space="preserve"> (0-0) + 'Reorganised Statements'!G82</f>
        <v>14</v>
      </c>
      <c r="G60" s="316">
        <f>'Reorganised Statements'!H82+0</f>
        <v>4</v>
      </c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</row>
    <row r="61" spans="1:22">
      <c r="A61" s="180" t="s">
        <v>440</v>
      </c>
      <c r="B61" s="305"/>
      <c r="C61" s="308">
        <f>-(29-25) + 'Reorganised Statements'!D83</f>
        <v>-142</v>
      </c>
      <c r="D61" s="308">
        <f>-(29-25) + 'Reorganised Statements'!E83</f>
        <v>-165</v>
      </c>
      <c r="E61" s="308">
        <f>-(29-25) + 'Reorganised Statements'!F83</f>
        <v>-138</v>
      </c>
      <c r="F61" s="308">
        <f>-(24-29) + 'Reorganised Statements'!G83</f>
        <v>-107</v>
      </c>
      <c r="G61" s="268">
        <f>-(18-24) + 'Reorganised Statements'!H83</f>
        <v>-104</v>
      </c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</row>
    <row r="62" spans="1:22">
      <c r="A62" s="351" t="s">
        <v>360</v>
      </c>
      <c r="B62" s="171"/>
      <c r="C62" s="244">
        <f>C60+C61</f>
        <v>-141</v>
      </c>
      <c r="D62" s="244">
        <f>D60+D61</f>
        <v>-113</v>
      </c>
      <c r="E62" s="244">
        <f>E60+E61</f>
        <v>-138</v>
      </c>
      <c r="F62" s="244">
        <f>F60+F61</f>
        <v>-93</v>
      </c>
      <c r="G62" s="244">
        <f>G60+G61</f>
        <v>-100</v>
      </c>
      <c r="H62" s="283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</row>
    <row r="63" spans="1:22">
      <c r="A63" s="350" t="s">
        <v>304</v>
      </c>
      <c r="B63" s="175"/>
      <c r="C63" s="146">
        <f>C59+C62</f>
        <v>34</v>
      </c>
      <c r="D63" s="146">
        <f>D59+D62</f>
        <v>334</v>
      </c>
      <c r="E63" s="146">
        <f>E59+E62</f>
        <v>576</v>
      </c>
      <c r="F63" s="146">
        <f>F59+F62</f>
        <v>414</v>
      </c>
      <c r="G63" s="146">
        <f>G59+G62</f>
        <v>586</v>
      </c>
      <c r="H63" s="283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</row>
    <row r="64" spans="1:22">
      <c r="A64" s="352" t="s">
        <v>453</v>
      </c>
      <c r="B64" s="171"/>
      <c r="C64" s="176">
        <f>-(83-78) + 'Reorganised Statements'!D109</f>
        <v>-138</v>
      </c>
      <c r="D64" s="176">
        <f>-(83-78) + 'Reorganised Statements'!E109</f>
        <v>-127</v>
      </c>
      <c r="E64" s="176">
        <f>-(83-78) + 'Reorganised Statements'!F109</f>
        <v>-197</v>
      </c>
      <c r="F64" s="176">
        <f>-(59-83) + 'Reorganised Statements'!G109</f>
        <v>-133</v>
      </c>
      <c r="G64" s="353">
        <f>-(58-59)+'Reorganised Statements'!H109</f>
        <v>-188</v>
      </c>
      <c r="H64" s="283"/>
      <c r="I64" s="283"/>
      <c r="J64" s="283"/>
      <c r="K64" s="283"/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</row>
    <row r="65" spans="1:22">
      <c r="A65" s="354" t="s">
        <v>441</v>
      </c>
      <c r="B65" s="307"/>
      <c r="C65" s="355">
        <f>C63+C64</f>
        <v>-104</v>
      </c>
      <c r="D65" s="355">
        <f>D63+D64</f>
        <v>207</v>
      </c>
      <c r="E65" s="355">
        <f>E63+E64</f>
        <v>379</v>
      </c>
      <c r="F65" s="355">
        <f>F63+F64</f>
        <v>281</v>
      </c>
      <c r="G65" s="355">
        <f>G63+G64</f>
        <v>398</v>
      </c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</row>
    <row r="66" spans="1:22">
      <c r="A66" s="180" t="s">
        <v>442</v>
      </c>
      <c r="B66" s="171"/>
      <c r="C66" s="143">
        <f>(2-4) + 'Reorganised Statements'!D111</f>
        <v>-2</v>
      </c>
      <c r="D66" s="143">
        <f>(2-4) + 'Reorganised Statements'!E111</f>
        <v>17</v>
      </c>
      <c r="E66" s="143">
        <f>(2-4) + 'Reorganised Statements'!F111</f>
        <v>-87</v>
      </c>
      <c r="F66" s="143">
        <f>(0-2) + 'Reorganised Statements'!G111</f>
        <v>19</v>
      </c>
      <c r="G66" s="316">
        <f xml:space="preserve">  0 + 'Reorganised Statements'!H111</f>
        <v>1</v>
      </c>
      <c r="H66" s="283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</row>
    <row r="67" spans="1:22">
      <c r="A67" s="180"/>
      <c r="B67" s="171"/>
      <c r="C67" s="143"/>
      <c r="D67" s="143"/>
      <c r="E67" s="143"/>
      <c r="F67" s="143"/>
      <c r="G67" s="316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</row>
    <row r="68" spans="1:22">
      <c r="A68" s="350" t="s">
        <v>454</v>
      </c>
      <c r="B68" s="175"/>
      <c r="C68" s="356">
        <f>C65+C66</f>
        <v>-106</v>
      </c>
      <c r="D68" s="356">
        <f>D65+D66</f>
        <v>224</v>
      </c>
      <c r="E68" s="356">
        <f>E65+E66</f>
        <v>292</v>
      </c>
      <c r="F68" s="356">
        <f>F65+F66</f>
        <v>300</v>
      </c>
      <c r="G68" s="356">
        <f>G65+G66</f>
        <v>399</v>
      </c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</row>
    <row r="69" spans="1:22">
      <c r="A69" s="180" t="s">
        <v>455</v>
      </c>
      <c r="B69" s="171"/>
      <c r="C69" s="143">
        <f>-(4-4) + 'Reorganised Statements'!D112</f>
        <v>130</v>
      </c>
      <c r="D69" s="143">
        <f>-(4-4) + 'Reorganised Statements'!E112</f>
        <v>1</v>
      </c>
      <c r="E69" s="143">
        <f>-(4-4) + 'Reorganised Statements'!F112</f>
        <v>-6</v>
      </c>
      <c r="F69" s="143">
        <f>-(10-4) + 'Reorganised Statements'!G112</f>
        <v>-16</v>
      </c>
      <c r="G69" s="316">
        <f>-(8-10) + 'Reorganised Statements'!H112</f>
        <v>-2</v>
      </c>
      <c r="H69" s="283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3"/>
      <c r="V69" s="283"/>
    </row>
    <row r="70" spans="1:22">
      <c r="A70" s="180"/>
      <c r="B70" s="171"/>
      <c r="C70" s="143"/>
      <c r="D70" s="143"/>
      <c r="E70" s="143"/>
      <c r="F70" s="143"/>
      <c r="G70" s="316"/>
    </row>
    <row r="71" spans="1:22" ht="15" thickBot="1">
      <c r="A71" s="357" t="s">
        <v>337</v>
      </c>
      <c r="B71" s="358"/>
      <c r="C71" s="341">
        <f>C68+C69</f>
        <v>24</v>
      </c>
      <c r="D71" s="341">
        <f>D68+D69</f>
        <v>225</v>
      </c>
      <c r="E71" s="341">
        <f>E68+E69</f>
        <v>286</v>
      </c>
      <c r="F71" s="341">
        <f>F68+F69</f>
        <v>284</v>
      </c>
      <c r="G71" s="341">
        <f>G68+G69</f>
        <v>397</v>
      </c>
    </row>
    <row r="72" spans="1:22">
      <c r="A72" s="55"/>
      <c r="B72" s="55"/>
      <c r="C72" s="55"/>
      <c r="D72" s="55"/>
      <c r="E72" s="55"/>
      <c r="F72" s="55"/>
      <c r="G72" s="55"/>
    </row>
    <row r="73" spans="1:22">
      <c r="A73" s="55"/>
      <c r="B73" s="55"/>
      <c r="C73" s="55"/>
      <c r="D73" s="55"/>
      <c r="E73" s="55"/>
      <c r="F73" s="55"/>
      <c r="G73" s="55"/>
    </row>
    <row r="74" spans="1:22">
      <c r="A74" s="55"/>
      <c r="B74" s="55"/>
      <c r="C74" s="55"/>
      <c r="D74" s="55"/>
      <c r="E74" s="55"/>
      <c r="F74" s="55"/>
      <c r="G74" s="55"/>
    </row>
    <row r="75" spans="1:22">
      <c r="A75" s="55"/>
      <c r="B75" s="55"/>
      <c r="C75" s="55"/>
      <c r="D75" s="55"/>
      <c r="E75" s="55"/>
      <c r="F75" s="55"/>
      <c r="G75" s="55"/>
    </row>
    <row r="82" spans="1:22" ht="15" thickBot="1"/>
    <row r="83" spans="1:22" ht="24.6">
      <c r="A83" s="360" t="s">
        <v>347</v>
      </c>
      <c r="B83" s="256"/>
      <c r="C83" s="257"/>
      <c r="D83" s="257"/>
      <c r="E83" s="257"/>
      <c r="F83" s="258"/>
    </row>
    <row r="84" spans="1:22">
      <c r="A84" s="259"/>
      <c r="B84" s="64"/>
      <c r="C84" s="684" t="s">
        <v>163</v>
      </c>
      <c r="D84" s="684"/>
      <c r="E84" s="684"/>
      <c r="F84" s="685"/>
    </row>
    <row r="85" spans="1:22">
      <c r="A85" s="260"/>
      <c r="B85" s="125" t="s">
        <v>1</v>
      </c>
      <c r="C85" s="306" t="s">
        <v>447</v>
      </c>
      <c r="D85" s="306" t="s">
        <v>448</v>
      </c>
      <c r="E85" s="306" t="s">
        <v>449</v>
      </c>
      <c r="F85" s="347" t="s">
        <v>450</v>
      </c>
    </row>
    <row r="86" spans="1:22">
      <c r="A86" s="180"/>
      <c r="B86" s="5"/>
      <c r="C86" s="31"/>
      <c r="D86" s="29"/>
      <c r="E86" s="29"/>
      <c r="F86" s="263"/>
    </row>
    <row r="87" spans="1:22">
      <c r="A87" s="314" t="s">
        <v>303</v>
      </c>
      <c r="B87" s="5"/>
      <c r="C87" s="183">
        <f>D59</f>
        <v>447</v>
      </c>
      <c r="D87" s="183">
        <f t="shared" ref="D87:F87" si="1">E59</f>
        <v>714</v>
      </c>
      <c r="E87" s="183">
        <f t="shared" si="1"/>
        <v>507</v>
      </c>
      <c r="F87" s="183">
        <f t="shared" si="1"/>
        <v>686</v>
      </c>
    </row>
    <row r="88" spans="1:22">
      <c r="A88" s="180" t="s">
        <v>348</v>
      </c>
      <c r="B88" s="5"/>
      <c r="C88" s="185">
        <f>D64</f>
        <v>-127</v>
      </c>
      <c r="D88" s="185">
        <f t="shared" ref="D88:F88" si="2">E64</f>
        <v>-197</v>
      </c>
      <c r="E88" s="185">
        <f t="shared" si="2"/>
        <v>-133</v>
      </c>
      <c r="F88" s="185">
        <f t="shared" si="2"/>
        <v>-188</v>
      </c>
    </row>
    <row r="89" spans="1:22">
      <c r="A89" s="180" t="s">
        <v>377</v>
      </c>
      <c r="B89" s="5"/>
      <c r="C89" s="266">
        <f>-(D64/D63)*(D62)</f>
        <v>-42.967065868263475</v>
      </c>
      <c r="D89" s="266">
        <f t="shared" ref="D89:F89" si="3">-(E64/E63)*(E62)</f>
        <v>-47.197916666666664</v>
      </c>
      <c r="E89" s="266">
        <f t="shared" si="3"/>
        <v>-29.876811594202898</v>
      </c>
      <c r="F89" s="266">
        <f t="shared" si="3"/>
        <v>-32.081911262798634</v>
      </c>
    </row>
    <row r="90" spans="1:22">
      <c r="A90" s="350" t="s">
        <v>349</v>
      </c>
      <c r="B90" s="25"/>
      <c r="C90" s="267">
        <f t="shared" ref="C90:E90" si="4">C87+C88+C89</f>
        <v>277.03293413173651</v>
      </c>
      <c r="D90" s="267">
        <f t="shared" si="4"/>
        <v>469.80208333333331</v>
      </c>
      <c r="E90" s="267">
        <f t="shared" si="4"/>
        <v>344.12318840579712</v>
      </c>
      <c r="F90" s="267">
        <f>F87+F88+F89</f>
        <v>465.91808873720134</v>
      </c>
    </row>
    <row r="91" spans="1:22">
      <c r="A91" s="180"/>
      <c r="B91" s="5"/>
      <c r="C91" s="185"/>
      <c r="D91" s="186"/>
      <c r="E91" s="186"/>
      <c r="F91" s="265"/>
    </row>
    <row r="92" spans="1:22">
      <c r="A92" s="180" t="s">
        <v>371</v>
      </c>
      <c r="B92" s="5"/>
      <c r="C92" s="185">
        <f>C10-D10</f>
        <v>-20</v>
      </c>
      <c r="D92" s="185">
        <f t="shared" ref="D92:F92" si="5">D10-E10</f>
        <v>38</v>
      </c>
      <c r="E92" s="185">
        <f t="shared" si="5"/>
        <v>-39</v>
      </c>
      <c r="F92" s="185">
        <f t="shared" si="5"/>
        <v>15</v>
      </c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</row>
    <row r="93" spans="1:22">
      <c r="A93" s="180" t="s">
        <v>350</v>
      </c>
      <c r="B93" s="5"/>
      <c r="C93" s="185">
        <f>C11-D11</f>
        <v>-331</v>
      </c>
      <c r="D93" s="185">
        <f t="shared" ref="D93:F93" si="6">D11-E11</f>
        <v>52</v>
      </c>
      <c r="E93" s="185">
        <f t="shared" si="6"/>
        <v>-251</v>
      </c>
      <c r="F93" s="185">
        <f t="shared" si="6"/>
        <v>21</v>
      </c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49"/>
    </row>
    <row r="94" spans="1:22">
      <c r="A94" s="180" t="s">
        <v>370</v>
      </c>
      <c r="B94" s="5"/>
      <c r="C94" s="185">
        <f>C12-D12</f>
        <v>139</v>
      </c>
      <c r="D94" s="185">
        <f t="shared" ref="D94:F94" si="7">D12-E12</f>
        <v>-1</v>
      </c>
      <c r="E94" s="185">
        <f t="shared" si="7"/>
        <v>171</v>
      </c>
      <c r="F94" s="185">
        <f t="shared" si="7"/>
        <v>2</v>
      </c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49"/>
    </row>
    <row r="95" spans="1:22">
      <c r="A95" s="350" t="s">
        <v>372</v>
      </c>
      <c r="B95" s="25"/>
      <c r="C95" s="187">
        <f>C92+C93+C94</f>
        <v>-212</v>
      </c>
      <c r="D95" s="187">
        <f t="shared" ref="D95:F95" si="8">D92+D93+D94</f>
        <v>89</v>
      </c>
      <c r="E95" s="187">
        <f t="shared" si="8"/>
        <v>-119</v>
      </c>
      <c r="F95" s="187">
        <f t="shared" si="8"/>
        <v>38</v>
      </c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49"/>
    </row>
    <row r="96" spans="1:22">
      <c r="A96" s="180"/>
      <c r="B96" s="5"/>
      <c r="C96" s="185"/>
      <c r="D96" s="186"/>
      <c r="E96" s="186"/>
      <c r="F96" s="265"/>
      <c r="G96" s="359"/>
      <c r="H96" s="309"/>
      <c r="I96" s="283"/>
      <c r="J96" s="309"/>
      <c r="K96" s="309"/>
      <c r="L96" s="283"/>
      <c r="M96" s="309"/>
      <c r="N96" s="309"/>
      <c r="O96" s="283"/>
      <c r="P96" s="309"/>
      <c r="Q96" s="309"/>
      <c r="R96" s="283"/>
      <c r="S96" s="309"/>
      <c r="T96" s="309"/>
      <c r="U96" s="283"/>
      <c r="V96" s="249"/>
    </row>
    <row r="97" spans="1:22">
      <c r="A97" s="180" t="s">
        <v>351</v>
      </c>
      <c r="B97" s="5"/>
      <c r="C97" s="185">
        <f>SUM(C16:C20)-SUM(D16:D20)</f>
        <v>103</v>
      </c>
      <c r="D97" s="185">
        <f t="shared" ref="D97:F97" si="9">SUM(D16:D20)-SUM(E16:E20)</f>
        <v>33</v>
      </c>
      <c r="E97" s="185">
        <f t="shared" si="9"/>
        <v>-74</v>
      </c>
      <c r="F97" s="185">
        <f t="shared" si="9"/>
        <v>-455</v>
      </c>
      <c r="G97" s="283"/>
      <c r="H97" s="283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49"/>
    </row>
    <row r="98" spans="1:22">
      <c r="A98" s="180" t="s">
        <v>352</v>
      </c>
      <c r="B98" s="5"/>
      <c r="C98" s="185">
        <f>SUM(C22:C25)-SUM(D22:D25)</f>
        <v>8</v>
      </c>
      <c r="D98" s="185">
        <f t="shared" ref="D98:F98" si="10">SUM(D22:D25)-SUM(E22:E25)</f>
        <v>-68</v>
      </c>
      <c r="E98" s="185">
        <f t="shared" si="10"/>
        <v>297</v>
      </c>
      <c r="F98" s="185">
        <f t="shared" si="10"/>
        <v>435</v>
      </c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49"/>
    </row>
    <row r="99" spans="1:22">
      <c r="A99" s="350" t="s">
        <v>373</v>
      </c>
      <c r="B99" s="25"/>
      <c r="C99" s="187">
        <f>C95+C97+C98</f>
        <v>-101</v>
      </c>
      <c r="D99" s="187">
        <f t="shared" ref="D99:F99" si="11">D95+D97+D98</f>
        <v>54</v>
      </c>
      <c r="E99" s="187">
        <f t="shared" si="11"/>
        <v>104</v>
      </c>
      <c r="F99" s="187">
        <f t="shared" si="11"/>
        <v>18</v>
      </c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49"/>
    </row>
    <row r="100" spans="1:22">
      <c r="A100" s="180"/>
      <c r="B100" s="5"/>
      <c r="C100" s="185"/>
      <c r="D100" s="186"/>
      <c r="E100" s="186"/>
      <c r="F100" s="265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49"/>
    </row>
    <row r="101" spans="1:22">
      <c r="A101" s="180" t="s">
        <v>353</v>
      </c>
      <c r="B101" s="5"/>
      <c r="C101" s="185">
        <f>C5-D5+C6-D6+D57</f>
        <v>-1130</v>
      </c>
      <c r="D101" s="185">
        <f t="shared" ref="D101" si="12">D5+D6-E5-E6+E57</f>
        <v>-212</v>
      </c>
      <c r="E101" s="185">
        <f>E5+E6-F5-F6-E102</f>
        <v>-1186</v>
      </c>
      <c r="F101" s="185">
        <f>F5+F6-G5-G6 - F102</f>
        <v>-814</v>
      </c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49"/>
    </row>
    <row r="102" spans="1:22">
      <c r="A102" s="180" t="s">
        <v>354</v>
      </c>
      <c r="B102" s="5"/>
      <c r="C102" s="185">
        <f>-D57</f>
        <v>730</v>
      </c>
      <c r="D102" s="185">
        <f t="shared" ref="D102" si="13">-E57</f>
        <v>500</v>
      </c>
      <c r="E102" s="185">
        <f>-'Reorganised Statements'!G72 + (131-121)</f>
        <v>633</v>
      </c>
      <c r="F102" s="185">
        <f>-'Reorganised Statements'!H72+(135-131)</f>
        <v>515</v>
      </c>
      <c r="G102" s="283"/>
      <c r="H102" s="283"/>
      <c r="I102" s="283"/>
      <c r="J102" s="283"/>
      <c r="K102" s="283"/>
      <c r="L102" s="283"/>
      <c r="M102" s="283"/>
      <c r="N102" s="283"/>
      <c r="O102" s="283"/>
      <c r="P102" s="283"/>
      <c r="Q102" s="283"/>
      <c r="R102" s="283"/>
      <c r="S102" s="283"/>
      <c r="T102" s="283"/>
      <c r="U102" s="283"/>
      <c r="V102" s="249"/>
    </row>
    <row r="103" spans="1:22">
      <c r="A103" s="180" t="s">
        <v>355</v>
      </c>
      <c r="B103" s="5"/>
      <c r="C103" s="185">
        <f>C30-D30</f>
        <v>62</v>
      </c>
      <c r="D103" s="185">
        <f t="shared" ref="D103:F103" si="14">D30-E30</f>
        <v>-40</v>
      </c>
      <c r="E103" s="185">
        <f t="shared" si="14"/>
        <v>11</v>
      </c>
      <c r="F103" s="185">
        <f t="shared" si="14"/>
        <v>31</v>
      </c>
      <c r="G103" s="283"/>
      <c r="H103" s="283"/>
      <c r="I103" s="283"/>
      <c r="J103" s="283"/>
      <c r="K103" s="283"/>
      <c r="L103" s="283"/>
      <c r="M103" s="283"/>
      <c r="N103" s="283"/>
      <c r="O103" s="283"/>
      <c r="P103" s="283"/>
      <c r="Q103" s="283"/>
      <c r="R103" s="283"/>
      <c r="S103" s="283"/>
      <c r="T103" s="283"/>
      <c r="U103" s="283"/>
      <c r="V103" s="249"/>
    </row>
    <row r="104" spans="1:22">
      <c r="A104" s="180" t="s">
        <v>356</v>
      </c>
      <c r="B104" s="5"/>
      <c r="C104" s="185">
        <f>C29-D29</f>
        <v>32</v>
      </c>
      <c r="D104" s="185">
        <f t="shared" ref="D104:F104" si="15">D29-E29</f>
        <v>-44</v>
      </c>
      <c r="E104" s="185">
        <f t="shared" si="15"/>
        <v>-4</v>
      </c>
      <c r="F104" s="185">
        <f t="shared" si="15"/>
        <v>-11</v>
      </c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49"/>
    </row>
    <row r="105" spans="1:22">
      <c r="A105" s="180" t="s">
        <v>369</v>
      </c>
      <c r="B105" s="5"/>
      <c r="C105" s="185">
        <f>C28-D28</f>
        <v>-52</v>
      </c>
      <c r="D105" s="185">
        <f t="shared" ref="D105:F105" si="16">D28-E28</f>
        <v>62</v>
      </c>
      <c r="E105" s="185">
        <f t="shared" si="16"/>
        <v>21</v>
      </c>
      <c r="F105" s="185">
        <f t="shared" si="16"/>
        <v>-12</v>
      </c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49"/>
    </row>
    <row r="106" spans="1:22">
      <c r="A106" s="180" t="s">
        <v>357</v>
      </c>
      <c r="B106" s="5"/>
      <c r="C106" s="185">
        <f>D69+D66</f>
        <v>18</v>
      </c>
      <c r="D106" s="185">
        <f>E69+E66</f>
        <v>-93</v>
      </c>
      <c r="E106" s="185">
        <f>F69 + F66</f>
        <v>3</v>
      </c>
      <c r="F106" s="185">
        <f>G69 + G66</f>
        <v>-1</v>
      </c>
      <c r="G106" s="283" t="s">
        <v>460</v>
      </c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49"/>
    </row>
    <row r="107" spans="1:22">
      <c r="A107" s="361" t="s">
        <v>358</v>
      </c>
      <c r="B107" s="20"/>
      <c r="C107" s="189">
        <f>C90+C99+SUM(C101:C106)</f>
        <v>-163.96706586826349</v>
      </c>
      <c r="D107" s="189">
        <f t="shared" ref="D107:F107" si="17">D90+D99+SUM(D101:D106)</f>
        <v>696.80208333333326</v>
      </c>
      <c r="E107" s="189">
        <f>E90+E99+SUM(E101:E106)</f>
        <v>-73.876811594202877</v>
      </c>
      <c r="F107" s="189">
        <f t="shared" si="17"/>
        <v>191.91808873720134</v>
      </c>
      <c r="G107" s="283"/>
      <c r="H107" s="283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49"/>
    </row>
    <row r="108" spans="1:22">
      <c r="A108" s="180" t="s">
        <v>359</v>
      </c>
      <c r="B108" s="5"/>
      <c r="C108" s="193"/>
      <c r="D108" s="193"/>
      <c r="E108" s="193"/>
      <c r="F108" s="270"/>
      <c r="G108" s="283"/>
      <c r="H108" s="283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49"/>
    </row>
    <row r="109" spans="1:22">
      <c r="A109" s="180"/>
      <c r="B109" s="5"/>
      <c r="C109" s="185"/>
      <c r="D109" s="186"/>
      <c r="E109" s="186"/>
      <c r="F109" s="265"/>
      <c r="G109" s="283"/>
      <c r="H109" s="283"/>
      <c r="I109" s="283"/>
      <c r="J109" s="283"/>
      <c r="K109" s="283"/>
      <c r="L109" s="283"/>
      <c r="M109" s="283"/>
      <c r="N109" s="283"/>
      <c r="O109" s="283"/>
      <c r="P109" s="283"/>
      <c r="Q109" s="283"/>
      <c r="R109" s="283"/>
      <c r="S109" s="283"/>
      <c r="T109" s="283"/>
      <c r="U109" s="283"/>
      <c r="V109" s="249"/>
    </row>
    <row r="110" spans="1:22">
      <c r="A110" s="180" t="s">
        <v>360</v>
      </c>
      <c r="B110" s="5"/>
      <c r="C110" s="185">
        <f>C7-D7+D62</f>
        <v>-107</v>
      </c>
      <c r="D110" s="185">
        <f t="shared" ref="D110:F110" si="18">D7-E7+E62</f>
        <v>-103</v>
      </c>
      <c r="E110" s="185">
        <f t="shared" si="18"/>
        <v>-32</v>
      </c>
      <c r="F110" s="185">
        <f t="shared" si="18"/>
        <v>-151</v>
      </c>
      <c r="G110" s="283"/>
      <c r="H110" s="283"/>
      <c r="I110" s="283"/>
      <c r="J110" s="283"/>
      <c r="K110" s="283"/>
      <c r="L110" s="283"/>
      <c r="M110" s="283"/>
      <c r="N110" s="283"/>
      <c r="O110" s="283"/>
      <c r="P110" s="283"/>
      <c r="Q110" s="283"/>
      <c r="R110" s="283"/>
      <c r="S110" s="283"/>
      <c r="T110" s="283"/>
      <c r="U110" s="283"/>
      <c r="V110" s="249"/>
    </row>
    <row r="111" spans="1:22">
      <c r="A111" s="180" t="s">
        <v>361</v>
      </c>
      <c r="B111" s="5"/>
      <c r="C111" s="185">
        <f>C39-D39</f>
        <v>253</v>
      </c>
      <c r="D111" s="185">
        <f t="shared" ref="D111:F111" si="19">D39-E39</f>
        <v>-47</v>
      </c>
      <c r="E111" s="185">
        <f t="shared" si="19"/>
        <v>-185</v>
      </c>
      <c r="F111" s="185">
        <f t="shared" si="19"/>
        <v>-105</v>
      </c>
      <c r="G111" s="283"/>
      <c r="H111" s="283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49"/>
    </row>
    <row r="112" spans="1:22">
      <c r="A112" s="180" t="s">
        <v>378</v>
      </c>
      <c r="B112" s="5"/>
      <c r="C112" s="250">
        <f>-C89</f>
        <v>42.967065868263475</v>
      </c>
      <c r="D112" s="250">
        <f t="shared" ref="D112:F112" si="20">-D89</f>
        <v>47.197916666666664</v>
      </c>
      <c r="E112" s="250">
        <f t="shared" si="20"/>
        <v>29.876811594202898</v>
      </c>
      <c r="F112" s="250">
        <f t="shared" si="20"/>
        <v>32.081911262798634</v>
      </c>
      <c r="G112" s="283"/>
      <c r="H112" s="283"/>
      <c r="I112" s="283"/>
      <c r="J112" s="283"/>
      <c r="K112" s="283"/>
      <c r="L112" s="283"/>
      <c r="M112" s="283"/>
      <c r="N112" s="283"/>
      <c r="O112" s="283"/>
      <c r="P112" s="283"/>
      <c r="Q112" s="283"/>
      <c r="R112" s="283"/>
      <c r="S112" s="283"/>
      <c r="T112" s="283"/>
      <c r="U112" s="283"/>
      <c r="V112" s="249"/>
    </row>
    <row r="113" spans="1:22">
      <c r="A113" s="361" t="s">
        <v>362</v>
      </c>
      <c r="B113" s="20"/>
      <c r="C113" s="189">
        <f>C107+C110+C111+C112</f>
        <v>24.999999999999986</v>
      </c>
      <c r="D113" s="189">
        <f t="shared" ref="D113:F113" si="21">D107+D110+D111+D112</f>
        <v>593.99999999999989</v>
      </c>
      <c r="E113" s="189">
        <f t="shared" si="21"/>
        <v>-261</v>
      </c>
      <c r="F113" s="189">
        <f t="shared" si="21"/>
        <v>-32.000000000000021</v>
      </c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49"/>
    </row>
    <row r="114" spans="1:22">
      <c r="A114" s="180" t="s">
        <v>363</v>
      </c>
      <c r="B114" s="5"/>
      <c r="C114" s="185"/>
      <c r="D114" s="186"/>
      <c r="E114" s="186"/>
      <c r="F114" s="265"/>
      <c r="G114" s="283"/>
      <c r="H114" s="283"/>
      <c r="I114" s="283"/>
      <c r="J114" s="283"/>
      <c r="K114" s="283"/>
      <c r="L114" s="283"/>
      <c r="M114" s="283"/>
      <c r="N114" s="283"/>
      <c r="O114" s="283"/>
      <c r="P114" s="283"/>
      <c r="Q114" s="283"/>
      <c r="R114" s="283"/>
      <c r="S114" s="283"/>
      <c r="T114" s="283"/>
      <c r="U114" s="283"/>
      <c r="V114" s="249"/>
    </row>
    <row r="115" spans="1:22">
      <c r="A115" s="180"/>
      <c r="B115" s="5"/>
      <c r="C115" s="191"/>
      <c r="D115" s="192"/>
      <c r="E115" s="192"/>
      <c r="F115" s="272"/>
      <c r="G115" s="283"/>
      <c r="H115" s="283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49"/>
    </row>
    <row r="116" spans="1:22">
      <c r="A116" s="180" t="s">
        <v>364</v>
      </c>
      <c r="B116" s="5"/>
      <c r="C116" s="192">
        <f>C35-D35-D71</f>
        <v>105</v>
      </c>
      <c r="D116" s="192">
        <f t="shared" ref="D116:E116" si="22">D35-E35-E71</f>
        <v>-557</v>
      </c>
      <c r="E116" s="192">
        <f t="shared" si="22"/>
        <v>139</v>
      </c>
      <c r="F116" s="192">
        <f>F35-G35-G71</f>
        <v>-265</v>
      </c>
      <c r="G116" s="283"/>
      <c r="H116" s="283"/>
      <c r="I116" s="283"/>
      <c r="J116" s="283"/>
      <c r="K116" s="283"/>
      <c r="L116" s="283"/>
      <c r="M116" s="283"/>
      <c r="N116" s="283"/>
      <c r="O116" s="283"/>
      <c r="P116" s="283"/>
      <c r="Q116" s="283"/>
      <c r="R116" s="283"/>
      <c r="S116" s="283"/>
      <c r="T116" s="283"/>
      <c r="U116" s="283"/>
      <c r="V116" s="249"/>
    </row>
    <row r="117" spans="1:22">
      <c r="A117" s="314" t="s">
        <v>365</v>
      </c>
      <c r="B117" s="5"/>
      <c r="C117" s="273">
        <f t="shared" ref="C117" si="23">C113+C116</f>
        <v>130</v>
      </c>
      <c r="D117" s="273">
        <f t="shared" ref="D117" si="24">D113+D116</f>
        <v>36.999999999999886</v>
      </c>
      <c r="E117" s="273">
        <f t="shared" ref="E117" si="25">E113+E116</f>
        <v>-122</v>
      </c>
      <c r="F117" s="273">
        <f t="shared" ref="F117" si="26">F113+F116</f>
        <v>-297</v>
      </c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49"/>
    </row>
    <row r="118" spans="1:22">
      <c r="A118" s="180"/>
      <c r="B118" s="5"/>
      <c r="C118" s="191"/>
      <c r="D118" s="192"/>
      <c r="E118" s="192"/>
      <c r="F118" s="272"/>
      <c r="G118" s="249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  <c r="U118" s="249"/>
      <c r="V118" s="249"/>
    </row>
    <row r="119" spans="1:22">
      <c r="A119" s="180" t="s">
        <v>366</v>
      </c>
      <c r="B119" s="5"/>
      <c r="C119" s="191">
        <f>C41</f>
        <v>559</v>
      </c>
      <c r="D119" s="191">
        <f t="shared" ref="D119:F119" si="27">D41</f>
        <v>689</v>
      </c>
      <c r="E119" s="191">
        <f t="shared" si="27"/>
        <v>726</v>
      </c>
      <c r="F119" s="191">
        <f t="shared" si="27"/>
        <v>604</v>
      </c>
      <c r="G119" s="249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R119" s="249"/>
      <c r="S119" s="249"/>
      <c r="T119" s="249"/>
      <c r="U119" s="249"/>
      <c r="V119" s="249"/>
    </row>
    <row r="120" spans="1:22">
      <c r="A120" s="180" t="s">
        <v>367</v>
      </c>
      <c r="B120" s="5"/>
      <c r="C120" s="191">
        <f>D41</f>
        <v>689</v>
      </c>
      <c r="D120" s="191">
        <f t="shared" ref="D120:F120" si="28">E41</f>
        <v>726</v>
      </c>
      <c r="E120" s="191">
        <f t="shared" si="28"/>
        <v>604</v>
      </c>
      <c r="F120" s="191">
        <f t="shared" si="28"/>
        <v>307</v>
      </c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</row>
    <row r="121" spans="1:22" ht="15" thickBot="1">
      <c r="A121" s="362" t="s">
        <v>368</v>
      </c>
      <c r="B121" s="275"/>
      <c r="C121" s="276">
        <f>C120-C119</f>
        <v>130</v>
      </c>
      <c r="D121" s="276">
        <f t="shared" ref="D121:F121" si="29">D120-D119</f>
        <v>37</v>
      </c>
      <c r="E121" s="276">
        <f t="shared" si="29"/>
        <v>-122</v>
      </c>
      <c r="F121" s="276">
        <f t="shared" si="29"/>
        <v>-297</v>
      </c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</row>
    <row r="122" spans="1:22" ht="15" thickBot="1">
      <c r="A122" s="262"/>
      <c r="B122" s="55"/>
      <c r="C122" s="55"/>
      <c r="D122" s="55"/>
      <c r="E122" s="55"/>
      <c r="F122" s="291"/>
    </row>
    <row r="123" spans="1:22" ht="15" thickBot="1">
      <c r="A123" s="278" t="s">
        <v>379</v>
      </c>
      <c r="B123" s="279"/>
      <c r="C123" s="366">
        <f t="shared" ref="C123:E123" si="30">C117-C121</f>
        <v>0</v>
      </c>
      <c r="D123" s="369">
        <f>D117-D121</f>
        <v>-1.1368683772161603E-13</v>
      </c>
      <c r="E123" s="366">
        <f t="shared" si="30"/>
        <v>0</v>
      </c>
      <c r="F123" s="366">
        <f>F117-F121</f>
        <v>0</v>
      </c>
    </row>
    <row r="125" spans="1:22">
      <c r="C125" s="367"/>
    </row>
    <row r="126" spans="1:22">
      <c r="C126" s="367"/>
    </row>
    <row r="127" spans="1:22">
      <c r="C127" s="367"/>
    </row>
    <row r="128" spans="1:22">
      <c r="C128" s="367"/>
    </row>
    <row r="129" spans="2:22">
      <c r="C129" s="367"/>
    </row>
    <row r="130" spans="2:22">
      <c r="C130" s="367"/>
    </row>
    <row r="131" spans="2:22">
      <c r="C131" s="368"/>
    </row>
    <row r="132" spans="2:22">
      <c r="C132" s="368"/>
    </row>
    <row r="133" spans="2:22">
      <c r="C133" s="249"/>
    </row>
    <row r="134" spans="2:22"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</row>
    <row r="135" spans="2:22" ht="15.6">
      <c r="B135" s="364"/>
      <c r="C135" s="283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3"/>
      <c r="P135" s="283"/>
      <c r="Q135" s="283"/>
      <c r="R135" s="283"/>
      <c r="S135" s="283"/>
      <c r="T135" s="283"/>
      <c r="U135" s="283"/>
      <c r="V135" s="283"/>
    </row>
    <row r="136" spans="2:22">
      <c r="B136" s="283"/>
      <c r="C136" s="283"/>
      <c r="D136" s="283"/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3"/>
      <c r="P136" s="283"/>
      <c r="Q136" s="283"/>
      <c r="R136" s="283"/>
      <c r="S136" s="283"/>
      <c r="T136" s="283"/>
      <c r="U136" s="283"/>
      <c r="V136" s="283"/>
    </row>
    <row r="137" spans="2:22">
      <c r="B137" s="283"/>
      <c r="C137" s="283"/>
      <c r="D137" s="365"/>
      <c r="E137" s="365"/>
      <c r="F137" s="359"/>
      <c r="G137" s="359"/>
      <c r="H137" s="309"/>
      <c r="I137" s="283"/>
      <c r="J137" s="309"/>
      <c r="K137" s="309"/>
      <c r="L137" s="283"/>
      <c r="M137" s="309"/>
      <c r="N137" s="309"/>
      <c r="O137" s="283"/>
      <c r="P137" s="309"/>
      <c r="Q137" s="309"/>
      <c r="R137" s="283"/>
      <c r="S137" s="309"/>
      <c r="T137" s="309"/>
      <c r="U137" s="283"/>
      <c r="V137" s="283"/>
    </row>
    <row r="138" spans="2:22">
      <c r="B138" s="283"/>
      <c r="C138" s="283"/>
      <c r="D138" s="283"/>
      <c r="E138" s="36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</row>
    <row r="139" spans="2:22">
      <c r="B139" s="283"/>
      <c r="C139" s="283"/>
      <c r="D139" s="283"/>
      <c r="E139" s="36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</row>
    <row r="140" spans="2:22">
      <c r="B140" s="283"/>
      <c r="C140" s="283"/>
      <c r="D140" s="283"/>
      <c r="E140" s="36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</row>
    <row r="141" spans="2:22">
      <c r="B141" s="283"/>
      <c r="C141" s="283"/>
      <c r="D141" s="283"/>
      <c r="E141" s="36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3"/>
      <c r="P141" s="283"/>
      <c r="Q141" s="283"/>
      <c r="R141" s="283"/>
      <c r="S141" s="283"/>
      <c r="T141" s="283"/>
      <c r="U141" s="283"/>
      <c r="V141" s="283"/>
    </row>
    <row r="142" spans="2:22">
      <c r="B142" s="283"/>
      <c r="C142" s="283"/>
      <c r="D142" s="283"/>
      <c r="E142" s="36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</row>
    <row r="143" spans="2:22">
      <c r="B143" s="283"/>
      <c r="C143" s="283"/>
      <c r="D143" s="283"/>
      <c r="E143" s="36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</row>
    <row r="144" spans="2:22">
      <c r="B144" s="283"/>
      <c r="C144" s="283"/>
      <c r="D144" s="283"/>
      <c r="E144" s="36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</row>
    <row r="145" spans="2:22">
      <c r="B145" s="283"/>
      <c r="C145" s="283"/>
      <c r="D145" s="283"/>
      <c r="E145" s="36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</row>
    <row r="146" spans="2:22">
      <c r="B146" s="283"/>
      <c r="C146" s="283"/>
      <c r="D146" s="283"/>
      <c r="E146" s="36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</row>
    <row r="147" spans="2:22">
      <c r="B147" s="283"/>
      <c r="C147" s="283"/>
      <c r="D147" s="283"/>
      <c r="E147" s="36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</row>
    <row r="148" spans="2:22">
      <c r="B148" s="283"/>
      <c r="C148" s="283"/>
      <c r="D148" s="283"/>
      <c r="E148" s="36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</row>
    <row r="149" spans="2:22">
      <c r="B149" s="283"/>
      <c r="C149" s="283"/>
      <c r="D149" s="283"/>
      <c r="E149" s="36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</row>
    <row r="150" spans="2:22">
      <c r="B150" s="283"/>
      <c r="C150" s="283"/>
      <c r="D150" s="283"/>
      <c r="E150" s="36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</row>
    <row r="151" spans="2:22">
      <c r="B151" s="283"/>
      <c r="C151" s="283"/>
      <c r="D151" s="283"/>
      <c r="E151" s="36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3"/>
      <c r="P151" s="283"/>
      <c r="Q151" s="283"/>
      <c r="R151" s="283"/>
      <c r="S151" s="283"/>
      <c r="T151" s="283"/>
      <c r="U151" s="283"/>
      <c r="V151" s="283"/>
    </row>
    <row r="152" spans="2:22">
      <c r="B152" s="283"/>
      <c r="C152" s="283"/>
      <c r="D152" s="283"/>
      <c r="E152" s="36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</row>
    <row r="153" spans="2:22"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sheetPr codeName="Foglio9"/>
  <dimension ref="A1:M96"/>
  <sheetViews>
    <sheetView topLeftCell="A40" workbookViewId="0">
      <selection activeCell="B56" sqref="B56"/>
    </sheetView>
  </sheetViews>
  <sheetFormatPr defaultRowHeight="14.4"/>
  <cols>
    <col min="1" max="1" width="34" customWidth="1"/>
    <col min="2" max="2" width="19.109375" customWidth="1"/>
    <col min="3" max="3" width="31.21875" customWidth="1"/>
    <col min="4" max="4" width="15.44140625" customWidth="1"/>
    <col min="5" max="5" width="20.33203125" customWidth="1"/>
    <col min="6" max="7" width="21.6640625" customWidth="1"/>
    <col min="8" max="8" width="21.44140625" customWidth="1"/>
    <col min="9" max="9" width="20.5546875" customWidth="1"/>
  </cols>
  <sheetData>
    <row r="1" spans="1:13" ht="15" thickBot="1">
      <c r="A1" s="443" t="s">
        <v>420</v>
      </c>
      <c r="B1" s="436"/>
      <c r="C1" s="108"/>
      <c r="D1" s="108"/>
      <c r="E1" s="108"/>
      <c r="F1" s="108"/>
      <c r="G1" s="108"/>
      <c r="H1" s="108"/>
      <c r="I1" s="108"/>
      <c r="J1" s="543"/>
      <c r="K1" s="543"/>
      <c r="L1" s="543"/>
      <c r="M1" s="543"/>
    </row>
    <row r="2" spans="1:13" ht="15" thickBot="1">
      <c r="A2" s="442" t="s">
        <v>420</v>
      </c>
      <c r="B2" s="442"/>
      <c r="C2" s="55"/>
      <c r="D2" s="474" t="s">
        <v>402</v>
      </c>
      <c r="E2" s="459" t="s">
        <v>427</v>
      </c>
      <c r="F2" s="55"/>
      <c r="G2" s="434" t="s">
        <v>522</v>
      </c>
      <c r="H2" s="434" t="s">
        <v>402</v>
      </c>
      <c r="I2" s="434" t="s">
        <v>427</v>
      </c>
      <c r="J2" s="543"/>
      <c r="K2" s="543"/>
      <c r="L2" s="543"/>
      <c r="M2" s="543"/>
    </row>
    <row r="3" spans="1:13">
      <c r="A3" s="55"/>
      <c r="B3" s="444" t="s">
        <v>403</v>
      </c>
      <c r="C3" s="448" t="s">
        <v>404</v>
      </c>
      <c r="D3" s="475">
        <f>'Balance sheet'!J110</f>
        <v>3651</v>
      </c>
      <c r="E3" s="449">
        <f>-'Trailing 12-months'!G35</f>
        <v>3746</v>
      </c>
      <c r="F3" s="104"/>
      <c r="G3" s="466" t="s">
        <v>423</v>
      </c>
      <c r="H3" s="467">
        <v>0.50275406224180663</v>
      </c>
      <c r="I3" s="471">
        <v>0.50917493543563952</v>
      </c>
      <c r="J3" s="543"/>
      <c r="K3" s="543"/>
      <c r="L3" s="543"/>
      <c r="M3" s="543"/>
    </row>
    <row r="4" spans="1:13" ht="15" thickBot="1">
      <c r="A4" s="55"/>
      <c r="B4" s="445" t="s">
        <v>405</v>
      </c>
      <c r="C4" s="282" t="s">
        <v>406</v>
      </c>
      <c r="D4" s="476">
        <v>4926</v>
      </c>
      <c r="E4" s="450">
        <f>PRODUCT(1.12,3109.183856)</f>
        <v>3482.2859187200006</v>
      </c>
      <c r="F4" s="104"/>
      <c r="G4" s="468" t="s">
        <v>424</v>
      </c>
      <c r="H4" s="465">
        <v>0.49724593775819331</v>
      </c>
      <c r="I4" s="472">
        <v>0.49082506456436048</v>
      </c>
      <c r="J4" s="543"/>
      <c r="K4" s="543"/>
      <c r="L4" s="543"/>
      <c r="M4" s="543"/>
    </row>
    <row r="5" spans="1:13">
      <c r="A5" s="55"/>
      <c r="B5" s="446" t="s">
        <v>407</v>
      </c>
      <c r="C5" s="451" t="s">
        <v>428</v>
      </c>
      <c r="D5" s="477">
        <f>-'Reorganised Statements'!H39</f>
        <v>3611</v>
      </c>
      <c r="E5" s="452">
        <f>-'Reorganised Statements'!H39</f>
        <v>3611</v>
      </c>
      <c r="F5" s="104"/>
      <c r="G5" s="468"/>
      <c r="H5" s="70"/>
      <c r="I5" s="472"/>
      <c r="J5" s="543"/>
      <c r="K5" s="543"/>
      <c r="L5" s="543"/>
      <c r="M5" s="543"/>
    </row>
    <row r="6" spans="1:13" ht="15" thickBot="1">
      <c r="A6" s="55"/>
      <c r="B6" s="447" t="s">
        <v>408</v>
      </c>
      <c r="C6" s="453" t="s">
        <v>521</v>
      </c>
      <c r="D6" s="478">
        <f>(SUM(D7:D9))</f>
        <v>3754</v>
      </c>
      <c r="E6" s="454">
        <f>(SUM(E7:E9))</f>
        <v>3754</v>
      </c>
      <c r="F6" s="104"/>
      <c r="G6" s="468" t="s">
        <v>425</v>
      </c>
      <c r="H6" s="465">
        <f>D4/(D4+D6)</f>
        <v>0.56751152073732714</v>
      </c>
      <c r="I6" s="472">
        <v>0.48122558420632017</v>
      </c>
      <c r="J6" s="543"/>
      <c r="K6" s="543"/>
      <c r="L6" s="543"/>
      <c r="M6" s="543"/>
    </row>
    <row r="7" spans="1:13" ht="15" thickBot="1">
      <c r="A7" s="55"/>
      <c r="B7" s="55"/>
      <c r="C7" s="455" t="s">
        <v>409</v>
      </c>
      <c r="D7" s="479">
        <v>3635</v>
      </c>
      <c r="E7" s="456">
        <v>3635</v>
      </c>
      <c r="F7" s="104"/>
      <c r="G7" s="469" t="s">
        <v>426</v>
      </c>
      <c r="H7" s="470">
        <f>D6/(D4+D6)</f>
        <v>0.43248847926267281</v>
      </c>
      <c r="I7" s="473">
        <v>0.51877441579367978</v>
      </c>
      <c r="J7" s="543"/>
      <c r="K7" s="543"/>
      <c r="L7" s="543"/>
      <c r="M7" s="543"/>
    </row>
    <row r="8" spans="1:13">
      <c r="A8" s="55"/>
      <c r="B8" s="55"/>
      <c r="C8" s="455" t="s">
        <v>109</v>
      </c>
      <c r="D8" s="479">
        <v>2</v>
      </c>
      <c r="E8" s="456">
        <v>2</v>
      </c>
      <c r="F8" s="55"/>
      <c r="G8" s="55"/>
      <c r="H8" s="55"/>
      <c r="I8" s="55"/>
      <c r="J8" s="543"/>
      <c r="K8" s="543"/>
      <c r="L8" s="543"/>
      <c r="M8" s="543"/>
    </row>
    <row r="9" spans="1:13">
      <c r="A9" s="55"/>
      <c r="B9" s="55"/>
      <c r="C9" s="457" t="s">
        <v>410</v>
      </c>
      <c r="D9" s="480">
        <v>117</v>
      </c>
      <c r="E9" s="458">
        <v>117</v>
      </c>
      <c r="F9" s="55"/>
      <c r="G9" s="55"/>
      <c r="H9" s="55"/>
      <c r="I9" s="55"/>
      <c r="J9" s="543"/>
      <c r="K9" s="543"/>
      <c r="L9" s="543"/>
      <c r="M9" s="543"/>
    </row>
    <row r="10" spans="1:13" ht="15" thickBot="1">
      <c r="A10" s="55"/>
      <c r="B10" s="55"/>
      <c r="C10" s="55"/>
      <c r="D10" s="55"/>
      <c r="E10" s="55"/>
      <c r="F10" s="55"/>
      <c r="G10" s="55"/>
      <c r="H10" s="55"/>
      <c r="I10" s="55"/>
      <c r="J10" s="543"/>
      <c r="K10" s="543"/>
      <c r="L10" s="543"/>
      <c r="M10" s="543"/>
    </row>
    <row r="11" spans="1:13" ht="15" thickBot="1">
      <c r="A11" s="460" t="s">
        <v>421</v>
      </c>
      <c r="B11" s="461"/>
      <c r="C11" s="462"/>
      <c r="D11" s="55"/>
      <c r="E11" s="55"/>
      <c r="F11" s="55"/>
      <c r="G11" s="55"/>
      <c r="H11" s="55"/>
      <c r="I11" s="55"/>
      <c r="J11" s="543"/>
      <c r="K11" s="543"/>
      <c r="L11" s="543"/>
      <c r="M11" s="543"/>
    </row>
    <row r="12" spans="1:13" ht="15" thickBot="1">
      <c r="A12" s="463"/>
      <c r="B12" s="464"/>
      <c r="C12" s="464"/>
      <c r="D12" s="55"/>
      <c r="E12" s="55"/>
      <c r="F12" s="55"/>
      <c r="G12" s="55"/>
      <c r="H12" s="55"/>
      <c r="I12" s="55"/>
      <c r="J12" s="543"/>
      <c r="K12" s="543"/>
      <c r="L12" s="543"/>
      <c r="M12" s="543"/>
    </row>
    <row r="13" spans="1:13" ht="15" thickBot="1">
      <c r="A13" s="55"/>
      <c r="B13" s="433" t="s">
        <v>524</v>
      </c>
      <c r="C13" s="433" t="s">
        <v>411</v>
      </c>
      <c r="D13" s="433" t="s">
        <v>523</v>
      </c>
      <c r="E13" s="433" t="s">
        <v>412</v>
      </c>
      <c r="F13" s="55"/>
      <c r="G13" s="70" t="s">
        <v>682</v>
      </c>
      <c r="H13" s="70"/>
      <c r="I13" s="55"/>
      <c r="J13" s="543"/>
      <c r="K13" s="543"/>
      <c r="L13" s="543"/>
      <c r="M13" s="543"/>
    </row>
    <row r="14" spans="1:13">
      <c r="A14" s="55"/>
      <c r="B14" s="100" t="s">
        <v>534</v>
      </c>
      <c r="C14" s="100">
        <v>4.3749999999999997E-2</v>
      </c>
      <c r="D14" s="100">
        <v>2</v>
      </c>
      <c r="E14" s="100">
        <v>351.45699999999999</v>
      </c>
      <c r="F14" s="55"/>
      <c r="G14" s="70" t="s">
        <v>683</v>
      </c>
      <c r="H14" s="669">
        <v>-4.7200000000000002E-3</v>
      </c>
      <c r="I14" s="55"/>
      <c r="J14" s="543"/>
      <c r="K14" s="543"/>
      <c r="L14" s="543"/>
      <c r="M14" s="543"/>
    </row>
    <row r="15" spans="1:13">
      <c r="A15" s="55"/>
      <c r="B15" s="100" t="s">
        <v>413</v>
      </c>
      <c r="C15" s="100">
        <v>3.6880000000000003E-2</v>
      </c>
      <c r="D15" s="100">
        <v>3</v>
      </c>
      <c r="E15" s="100">
        <v>500</v>
      </c>
      <c r="F15" s="55"/>
      <c r="G15" s="70" t="s">
        <v>684</v>
      </c>
      <c r="H15" s="669">
        <v>1.576E-2</v>
      </c>
      <c r="I15" s="55"/>
      <c r="J15" s="543"/>
      <c r="K15" s="543"/>
      <c r="L15" s="543"/>
      <c r="M15" s="543"/>
    </row>
    <row r="16" spans="1:13">
      <c r="A16" s="55"/>
      <c r="B16" s="100" t="s">
        <v>532</v>
      </c>
      <c r="C16" s="100">
        <v>4.0570000000000002E-2</v>
      </c>
      <c r="D16" s="100">
        <v>4</v>
      </c>
      <c r="E16" s="100">
        <v>300</v>
      </c>
      <c r="F16" s="55"/>
      <c r="G16" s="70" t="s">
        <v>685</v>
      </c>
      <c r="H16" s="669">
        <v>-3.4299999999999999E-3</v>
      </c>
      <c r="I16" s="55"/>
      <c r="J16" s="543"/>
      <c r="K16" s="543"/>
      <c r="L16" s="543"/>
      <c r="M16" s="543"/>
    </row>
    <row r="17" spans="1:13">
      <c r="A17" s="55"/>
      <c r="B17" s="100" t="s">
        <v>533</v>
      </c>
      <c r="C17" s="100">
        <v>1.2840000000000001E-2</v>
      </c>
      <c r="D17" s="100">
        <v>5</v>
      </c>
      <c r="E17" s="100">
        <v>300</v>
      </c>
      <c r="F17" s="55"/>
      <c r="G17" s="70" t="s">
        <v>686</v>
      </c>
      <c r="H17" s="669">
        <v>-3.6000000000000002E-4</v>
      </c>
      <c r="I17" s="55"/>
      <c r="J17" s="543"/>
      <c r="K17" s="543"/>
      <c r="L17" s="543"/>
      <c r="M17" s="543"/>
    </row>
    <row r="18" spans="1:13">
      <c r="A18" s="55"/>
      <c r="B18" s="70" t="s">
        <v>414</v>
      </c>
      <c r="C18" s="70">
        <v>1.8360000000000001E-2</v>
      </c>
      <c r="D18" s="70">
        <v>6</v>
      </c>
      <c r="E18" s="70">
        <v>300</v>
      </c>
      <c r="F18" s="55"/>
      <c r="G18" s="70" t="s">
        <v>687</v>
      </c>
      <c r="H18" s="669">
        <v>1.6400000000000001E-2</v>
      </c>
      <c r="I18" s="55"/>
      <c r="J18" s="543"/>
      <c r="K18" s="543"/>
      <c r="L18" s="543"/>
      <c r="M18" s="543"/>
    </row>
    <row r="19" spans="1:13">
      <c r="A19" s="55"/>
      <c r="B19" s="70" t="s">
        <v>415</v>
      </c>
      <c r="C19" s="70">
        <v>1.7680000000000001E-2</v>
      </c>
      <c r="D19" s="70">
        <v>8</v>
      </c>
      <c r="E19" s="70">
        <v>300</v>
      </c>
      <c r="F19" s="55"/>
      <c r="G19" s="55"/>
      <c r="H19" s="510"/>
      <c r="I19" s="55"/>
      <c r="J19" s="543"/>
      <c r="K19" s="543"/>
      <c r="L19" s="543"/>
      <c r="M19" s="543"/>
    </row>
    <row r="20" spans="1:13">
      <c r="A20" s="55"/>
      <c r="B20" s="70" t="s">
        <v>416</v>
      </c>
      <c r="C20" s="70">
        <v>1.3899999999999999E-2</v>
      </c>
      <c r="D20" s="70">
        <v>10</v>
      </c>
      <c r="E20" s="70">
        <v>400</v>
      </c>
      <c r="F20" s="55"/>
      <c r="G20" s="55"/>
      <c r="H20" s="55"/>
      <c r="I20" s="55"/>
      <c r="J20" s="543"/>
      <c r="K20" s="543"/>
      <c r="L20" s="543"/>
      <c r="M20" s="543"/>
    </row>
    <row r="21" spans="1:13" ht="15" thickBot="1">
      <c r="A21" s="55"/>
      <c r="B21" s="55"/>
      <c r="C21" s="55"/>
      <c r="D21" s="55"/>
      <c r="E21" s="55"/>
      <c r="F21" s="55"/>
      <c r="G21" s="55" t="s">
        <v>550</v>
      </c>
      <c r="H21" s="55" t="s">
        <v>550</v>
      </c>
      <c r="I21" s="55"/>
      <c r="J21" s="543"/>
      <c r="K21" s="543"/>
      <c r="L21" s="543"/>
      <c r="M21" s="543"/>
    </row>
    <row r="22" spans="1:13" ht="15" thickBot="1">
      <c r="A22" s="55"/>
      <c r="B22" s="302" t="s">
        <v>422</v>
      </c>
      <c r="C22" s="303">
        <f xml:space="preserve"> (PRODUCT(C14:E14)+ PRODUCT(C15:E15) + PRODUCT(C16:E16) + PRODUCT(C17:E17)+ PRODUCT(C18:E18)+PRODUCT(C19:E19)+PRODUCT(C20:E20))/(PRODUCT(D14:E14) + PRODUCT(D15:E15) + PRODUCT(D16:E16) + PRODUCT(D17:E17)+PRODUCT(D18:E18)+PRODUCT(D19:E19)+PRODUCT(D20:E20))</f>
        <v>2.1758250683779193E-2</v>
      </c>
      <c r="D22" s="299"/>
      <c r="E22" s="55"/>
      <c r="F22" s="55"/>
      <c r="G22" s="481">
        <f>(SUM(PRODUCT(C14,E14),PRODUCT(C15,E15),PRODUCT(C16,E16),PRODUCT(C17,E17),PRODUCT(C18,E18),PRODUCT(C19,E19),PRODUCT(C20,E20)))/(SUM(E14:E20))</f>
        <v>2.7008935400457769E-2</v>
      </c>
      <c r="H22" s="481">
        <f>(SUM(PRODUCT(C14,D14),PRODUCT(C15,D15),PRODUCT(C16,D16),PRODUCT(C17,D17),PRODUCT(C18,D18),PRODUCT(C19,D19),PRODUCT(C20,D20)))/(SUM(D14:D20))</f>
        <v>2.1453157894736844E-2</v>
      </c>
      <c r="I22" s="55"/>
      <c r="J22" s="543"/>
      <c r="K22" s="543"/>
      <c r="L22" s="543"/>
      <c r="M22" s="543"/>
    </row>
    <row r="23" spans="1:13">
      <c r="A23" s="55"/>
      <c r="B23" s="55"/>
      <c r="C23" s="55"/>
      <c r="D23" s="55"/>
      <c r="E23" s="55"/>
      <c r="F23" s="55"/>
      <c r="G23" s="55"/>
      <c r="H23" s="55"/>
      <c r="I23" s="55"/>
      <c r="J23" s="543"/>
      <c r="K23" s="543"/>
      <c r="L23" s="543"/>
      <c r="M23" s="543"/>
    </row>
    <row r="24" spans="1:13" ht="15" thickBot="1">
      <c r="A24" s="262"/>
      <c r="B24" s="55"/>
      <c r="C24" s="55"/>
      <c r="D24" s="55"/>
      <c r="E24" s="55"/>
      <c r="F24" s="55"/>
      <c r="G24" s="55"/>
      <c r="H24" s="55"/>
      <c r="I24" s="55"/>
      <c r="J24" s="543"/>
      <c r="K24" s="543"/>
      <c r="L24" s="543"/>
      <c r="M24" s="543"/>
    </row>
    <row r="25" spans="1:13" ht="15" thickBot="1">
      <c r="A25" s="437" t="s">
        <v>429</v>
      </c>
      <c r="B25" s="438"/>
      <c r="C25" s="434" t="s">
        <v>165</v>
      </c>
      <c r="D25" s="434" t="s">
        <v>430</v>
      </c>
      <c r="E25" s="434" t="s">
        <v>431</v>
      </c>
      <c r="F25" s="436" t="s">
        <v>432</v>
      </c>
      <c r="G25" s="55"/>
      <c r="H25" s="55"/>
      <c r="I25" s="55"/>
      <c r="J25" s="543"/>
      <c r="K25" s="543"/>
      <c r="L25" s="543"/>
      <c r="M25" s="543"/>
    </row>
    <row r="26" spans="1:13">
      <c r="A26" s="262" t="s">
        <v>433</v>
      </c>
      <c r="B26" s="55"/>
      <c r="C26" s="432">
        <v>3836.2650000000003</v>
      </c>
      <c r="D26" s="432">
        <v>0.52576026796023623</v>
      </c>
      <c r="E26" s="432">
        <v>0.41</v>
      </c>
      <c r="F26" s="291">
        <v>0.21556170986369683</v>
      </c>
      <c r="G26" s="55"/>
      <c r="H26" s="55"/>
      <c r="I26" s="55"/>
      <c r="J26" s="543"/>
      <c r="K26" s="543"/>
      <c r="L26" s="543"/>
      <c r="M26" s="543"/>
    </row>
    <row r="27" spans="1:13">
      <c r="A27" s="262" t="s">
        <v>434</v>
      </c>
      <c r="B27" s="55"/>
      <c r="C27" s="432">
        <v>49.814999999999998</v>
      </c>
      <c r="D27" s="432">
        <v>6.8271476940303041E-3</v>
      </c>
      <c r="E27" s="432">
        <v>0.28999999999999998</v>
      </c>
      <c r="F27" s="291">
        <v>1.9798728312687879E-3</v>
      </c>
      <c r="G27" s="55"/>
      <c r="H27" s="55"/>
      <c r="I27" s="55"/>
      <c r="J27" s="543"/>
      <c r="K27" s="543"/>
      <c r="L27" s="543"/>
      <c r="M27" s="543"/>
    </row>
    <row r="28" spans="1:13">
      <c r="A28" s="262" t="s">
        <v>435</v>
      </c>
      <c r="B28" s="55"/>
      <c r="C28" s="432">
        <v>1278.7550000000001</v>
      </c>
      <c r="D28" s="432">
        <v>0.17525342265341209</v>
      </c>
      <c r="E28" s="432">
        <v>0.6</v>
      </c>
      <c r="F28" s="291">
        <v>0.10515205359204725</v>
      </c>
      <c r="G28" s="55"/>
      <c r="H28" s="55"/>
      <c r="I28" s="55"/>
      <c r="J28" s="543"/>
      <c r="K28" s="543"/>
      <c r="L28" s="543"/>
      <c r="M28" s="543"/>
    </row>
    <row r="29" spans="1:13">
      <c r="A29" s="262" t="s">
        <v>436</v>
      </c>
      <c r="B29" s="55"/>
      <c r="C29" s="432">
        <v>903</v>
      </c>
      <c r="D29" s="432">
        <v>0.12375618523957373</v>
      </c>
      <c r="E29" s="432">
        <v>0.8</v>
      </c>
      <c r="F29" s="291">
        <v>9.900494819165899E-2</v>
      </c>
      <c r="G29" s="55"/>
      <c r="H29" s="55"/>
      <c r="I29" s="1"/>
      <c r="J29" s="543"/>
      <c r="K29" s="543"/>
      <c r="L29" s="543"/>
      <c r="M29" s="543"/>
    </row>
    <row r="30" spans="1:13">
      <c r="A30" s="262"/>
      <c r="B30" s="55"/>
      <c r="C30" s="432"/>
      <c r="D30" s="432"/>
      <c r="E30" s="432"/>
      <c r="F30" s="291">
        <v>0</v>
      </c>
      <c r="G30" s="55"/>
      <c r="H30" s="55"/>
      <c r="I30" s="1"/>
      <c r="J30" s="543"/>
      <c r="K30" s="543"/>
      <c r="L30" s="543"/>
      <c r="M30" s="543"/>
    </row>
    <row r="31" spans="1:13">
      <c r="A31" s="262" t="s">
        <v>437</v>
      </c>
      <c r="B31" s="55"/>
      <c r="C31" s="432">
        <v>1228.77</v>
      </c>
      <c r="D31" s="432">
        <v>0.16840297645274752</v>
      </c>
      <c r="E31" s="432">
        <v>0.74</v>
      </c>
      <c r="F31" s="291">
        <v>0.12461820257503316</v>
      </c>
      <c r="G31" s="55"/>
      <c r="H31" s="55"/>
      <c r="I31" s="1"/>
      <c r="J31" s="543"/>
      <c r="K31" s="543"/>
      <c r="L31" s="543"/>
      <c r="M31" s="543"/>
    </row>
    <row r="32" spans="1:13" ht="15" thickBot="1">
      <c r="A32" s="262" t="s">
        <v>438</v>
      </c>
      <c r="B32" s="55"/>
      <c r="C32" s="432"/>
      <c r="D32" s="432">
        <v>0</v>
      </c>
      <c r="E32" s="432">
        <v>0.91</v>
      </c>
      <c r="F32" s="291">
        <v>0</v>
      </c>
      <c r="G32" s="55"/>
      <c r="H32" s="55"/>
      <c r="I32" s="1"/>
      <c r="J32" s="543"/>
      <c r="K32" s="543"/>
      <c r="L32" s="543"/>
      <c r="M32" s="543"/>
    </row>
    <row r="33" spans="1:13" ht="15" thickBot="1">
      <c r="A33" s="429" t="s">
        <v>439</v>
      </c>
      <c r="B33" s="430"/>
      <c r="C33" s="433">
        <v>7296.6050000000014</v>
      </c>
      <c r="D33" s="433">
        <v>0.99999999999999989</v>
      </c>
      <c r="E33" s="433"/>
      <c r="F33" s="439">
        <v>0.54631678705370501</v>
      </c>
      <c r="G33" s="55"/>
      <c r="H33" s="55"/>
      <c r="I33" s="1"/>
      <c r="J33" s="543"/>
      <c r="K33" s="543"/>
      <c r="L33" s="543"/>
      <c r="M33" s="543"/>
    </row>
    <row r="34" spans="1:13" ht="15" thickBot="1">
      <c r="A34" s="55"/>
      <c r="B34" s="55"/>
      <c r="C34" s="55"/>
      <c r="D34" s="55"/>
      <c r="E34" s="55"/>
      <c r="F34" s="55"/>
      <c r="G34" s="55"/>
      <c r="H34" s="55"/>
      <c r="I34" s="1"/>
      <c r="J34" s="543"/>
      <c r="K34" s="543"/>
      <c r="L34" s="543"/>
      <c r="M34" s="543"/>
    </row>
    <row r="35" spans="1:13" ht="15" thickBot="1">
      <c r="A35" s="434" t="s">
        <v>512</v>
      </c>
      <c r="B35" s="435">
        <v>43830</v>
      </c>
      <c r="C35" s="436" t="s">
        <v>513</v>
      </c>
      <c r="D35" s="55"/>
      <c r="E35" s="55"/>
      <c r="F35" s="55"/>
      <c r="G35" s="55"/>
      <c r="H35" s="55"/>
      <c r="I35" s="1"/>
      <c r="J35" s="543"/>
      <c r="K35" s="543"/>
      <c r="L35" s="543"/>
      <c r="M35" s="543"/>
    </row>
    <row r="36" spans="1:13">
      <c r="A36" s="432" t="s">
        <v>514</v>
      </c>
      <c r="B36" s="432">
        <v>0.54631678705370501</v>
      </c>
      <c r="C36" s="291">
        <v>0.54631678705370501</v>
      </c>
      <c r="D36" s="55"/>
      <c r="E36" s="55"/>
      <c r="F36" s="55"/>
      <c r="G36" s="55"/>
      <c r="H36" s="55"/>
      <c r="I36" s="1"/>
      <c r="J36" s="543"/>
      <c r="K36" s="543"/>
      <c r="L36" s="543"/>
      <c r="M36" s="543"/>
    </row>
    <row r="37" spans="1:13">
      <c r="A37" s="432" t="s">
        <v>515</v>
      </c>
      <c r="B37" s="432">
        <f>D5/D3</f>
        <v>0.98904409750753219</v>
      </c>
      <c r="C37" s="291">
        <f>E5/E3</f>
        <v>0.96396155899626268</v>
      </c>
      <c r="D37" s="55"/>
      <c r="E37" s="55"/>
      <c r="F37" s="55"/>
      <c r="G37" s="55"/>
      <c r="H37" s="55"/>
      <c r="I37" s="1"/>
      <c r="J37" s="543"/>
      <c r="K37" s="543"/>
      <c r="L37" s="543"/>
      <c r="M37" s="543"/>
    </row>
    <row r="38" spans="1:13">
      <c r="A38" s="432" t="s">
        <v>516</v>
      </c>
      <c r="B38" s="432">
        <f>D6/D4</f>
        <v>0.76207876573284616</v>
      </c>
      <c r="C38" s="291">
        <f>E6/E4</f>
        <v>1.0780275048120904</v>
      </c>
      <c r="D38" s="55"/>
      <c r="E38" s="55"/>
      <c r="F38" s="55"/>
      <c r="G38" s="55"/>
      <c r="H38" s="55"/>
      <c r="I38" s="1"/>
      <c r="J38" s="543"/>
      <c r="K38" s="543"/>
      <c r="L38" s="543"/>
      <c r="M38" s="543"/>
    </row>
    <row r="39" spans="1:13">
      <c r="A39" s="432" t="s">
        <v>517</v>
      </c>
      <c r="B39" s="432">
        <v>0.27900000000000003</v>
      </c>
      <c r="C39" s="291">
        <v>0.27900000000000003</v>
      </c>
      <c r="D39" s="55"/>
      <c r="E39" s="55"/>
      <c r="F39" s="55"/>
      <c r="G39" s="55"/>
      <c r="H39" s="55"/>
      <c r="I39" s="1"/>
      <c r="J39" s="543"/>
      <c r="K39" s="543"/>
      <c r="L39" s="543"/>
      <c r="M39" s="543"/>
    </row>
    <row r="40" spans="1:13">
      <c r="A40" s="432" t="s">
        <v>518</v>
      </c>
      <c r="B40" s="432">
        <f>PRODUCT(B36,1+PRODUCT(1-B39,B37))</f>
        <v>0.93589572184272718</v>
      </c>
      <c r="C40" s="291">
        <f>PRODUCT(B36,1+PRODUCT(1-B39,C37))</f>
        <v>0.9260158502984247</v>
      </c>
      <c r="D40" s="55"/>
      <c r="E40" s="55"/>
      <c r="F40" s="55"/>
      <c r="G40" s="55"/>
      <c r="H40" s="55"/>
      <c r="I40" s="1"/>
      <c r="J40" s="543"/>
      <c r="K40" s="543"/>
      <c r="L40" s="543"/>
      <c r="M40" s="543"/>
    </row>
    <row r="41" spans="1:13" ht="15" thickBot="1">
      <c r="A41" s="431" t="s">
        <v>519</v>
      </c>
      <c r="B41" s="431">
        <f>PRODUCT(B36,1+PRODUCT(1-B39,B38))</f>
        <v>0.84649534787593761</v>
      </c>
      <c r="C41" s="300">
        <f>PRODUCT(B36,1+PRODUCT(1-B39,C38))</f>
        <v>0.97094578798130338</v>
      </c>
      <c r="D41" s="55"/>
      <c r="E41" s="55"/>
      <c r="F41" s="55"/>
      <c r="G41" s="55"/>
      <c r="H41" s="55"/>
      <c r="I41" s="1"/>
      <c r="J41" s="543"/>
      <c r="K41" s="543"/>
      <c r="L41" s="543"/>
      <c r="M41" s="543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543"/>
      <c r="K42" s="543"/>
      <c r="L42" s="543"/>
      <c r="M42" s="543"/>
    </row>
    <row r="43" spans="1:13" ht="15" thickBot="1">
      <c r="A43" s="1"/>
      <c r="B43" s="1"/>
      <c r="C43" s="1"/>
      <c r="D43" s="1"/>
      <c r="E43" s="1"/>
      <c r="F43" s="1"/>
      <c r="G43" s="1"/>
      <c r="H43" s="1"/>
      <c r="I43" s="1"/>
      <c r="J43" s="543"/>
      <c r="K43" s="543"/>
      <c r="L43" s="543"/>
      <c r="M43" s="543"/>
    </row>
    <row r="44" spans="1:13" ht="15" thickBot="1">
      <c r="A44" s="285" t="s">
        <v>670</v>
      </c>
      <c r="B44" s="301"/>
      <c r="C44" s="301"/>
      <c r="D44" s="301"/>
      <c r="E44" s="301"/>
      <c r="F44" s="298"/>
      <c r="G44" s="1"/>
      <c r="H44" s="519" t="s">
        <v>671</v>
      </c>
      <c r="I44" s="520"/>
      <c r="J44" s="543"/>
      <c r="K44" s="543"/>
      <c r="L44" s="543"/>
      <c r="M44" s="543"/>
    </row>
    <row r="45" spans="1:13">
      <c r="A45" s="296" t="s">
        <v>380</v>
      </c>
      <c r="B45" s="297"/>
      <c r="C45" s="296" t="s">
        <v>381</v>
      </c>
      <c r="D45" s="297"/>
      <c r="E45" s="296" t="s">
        <v>382</v>
      </c>
      <c r="F45" s="297"/>
      <c r="G45" s="1"/>
      <c r="H45" s="518"/>
      <c r="I45" s="291"/>
      <c r="J45" s="543"/>
      <c r="K45" s="543"/>
      <c r="L45" s="543"/>
      <c r="M45" s="543"/>
    </row>
    <row r="46" spans="1:13">
      <c r="A46" s="262" t="s">
        <v>383</v>
      </c>
      <c r="B46" s="601">
        <v>3.1552387285036501E-3</v>
      </c>
      <c r="C46" s="262" t="s">
        <v>384</v>
      </c>
      <c r="D46" s="603">
        <f>B46</f>
        <v>3.1552387285036501E-3</v>
      </c>
      <c r="E46" s="262"/>
      <c r="F46" s="291"/>
      <c r="G46" s="1"/>
      <c r="H46" s="432"/>
      <c r="I46" s="291"/>
      <c r="J46" s="543"/>
      <c r="K46" s="543"/>
      <c r="L46" s="543"/>
      <c r="M46" s="543"/>
    </row>
    <row r="47" spans="1:13">
      <c r="A47" s="288" t="s">
        <v>385</v>
      </c>
      <c r="B47" s="289">
        <v>1.4999999999999999E-2</v>
      </c>
      <c r="C47" s="288" t="s">
        <v>386</v>
      </c>
      <c r="D47" s="289">
        <v>1.4999999999999999E-2</v>
      </c>
      <c r="E47" s="292" t="s">
        <v>419</v>
      </c>
      <c r="F47" s="289">
        <f>C22</f>
        <v>2.1758250683779193E-2</v>
      </c>
      <c r="G47" s="1"/>
      <c r="H47" s="651" t="s">
        <v>419</v>
      </c>
      <c r="I47" s="289">
        <f>C22</f>
        <v>2.1758250683779193E-2</v>
      </c>
      <c r="J47" s="543"/>
      <c r="K47" s="543"/>
      <c r="L47" s="543"/>
      <c r="M47" s="543"/>
    </row>
    <row r="48" spans="1:13">
      <c r="A48" s="290" t="s">
        <v>387</v>
      </c>
      <c r="B48" s="603">
        <f>SUM(B46:B47)</f>
        <v>1.815523872850365E-2</v>
      </c>
      <c r="C48" s="293" t="s">
        <v>387</v>
      </c>
      <c r="D48" s="603">
        <f>SUM(D46:D47)</f>
        <v>1.815523872850365E-2</v>
      </c>
      <c r="E48" s="262"/>
      <c r="F48" s="291"/>
      <c r="G48" s="1"/>
      <c r="H48" s="432"/>
      <c r="I48" s="603"/>
      <c r="J48" s="543"/>
      <c r="K48" s="543"/>
      <c r="L48" s="543"/>
      <c r="M48" s="543"/>
    </row>
    <row r="49" spans="1:13">
      <c r="A49" s="288" t="s">
        <v>388</v>
      </c>
      <c r="B49" s="289">
        <v>0.27900000000000003</v>
      </c>
      <c r="C49" s="288" t="s">
        <v>388</v>
      </c>
      <c r="D49" s="289">
        <v>0.27900000000000003</v>
      </c>
      <c r="E49" s="288" t="s">
        <v>388</v>
      </c>
      <c r="F49" s="289">
        <v>0.27900000000000003</v>
      </c>
      <c r="G49" s="1"/>
      <c r="H49" s="651" t="s">
        <v>388</v>
      </c>
      <c r="I49" s="289">
        <f>27.9%</f>
        <v>0.27899999999999997</v>
      </c>
      <c r="J49" s="543"/>
      <c r="K49" s="543"/>
      <c r="L49" s="543"/>
      <c r="M49" s="543"/>
    </row>
    <row r="50" spans="1:13">
      <c r="A50" s="290" t="s">
        <v>389</v>
      </c>
      <c r="B50" s="601">
        <f>PRODUCT(B48,(1-B49))</f>
        <v>1.3089927123251131E-2</v>
      </c>
      <c r="C50" s="290" t="s">
        <v>389</v>
      </c>
      <c r="D50" s="601">
        <f>PRODUCT(D48,(1-D49))</f>
        <v>1.3089927123251131E-2</v>
      </c>
      <c r="E50" s="290" t="s">
        <v>390</v>
      </c>
      <c r="F50" s="601">
        <f>PRODUCT(F47,(1-F49))</f>
        <v>1.5687698743004796E-2</v>
      </c>
      <c r="G50" s="1"/>
      <c r="H50" s="432" t="s">
        <v>672</v>
      </c>
      <c r="I50" s="603">
        <f>(I47)*(1-I49)</f>
        <v>1.56876987430048E-2</v>
      </c>
      <c r="J50" s="543"/>
      <c r="K50" s="543"/>
      <c r="L50" s="543"/>
      <c r="M50" s="543"/>
    </row>
    <row r="51" spans="1:13">
      <c r="A51" s="262"/>
      <c r="B51" s="603"/>
      <c r="C51" s="262"/>
      <c r="D51" s="603"/>
      <c r="E51" s="262"/>
      <c r="F51" s="295"/>
      <c r="G51" s="1"/>
      <c r="H51" s="432"/>
      <c r="I51" s="291"/>
      <c r="J51" s="543"/>
      <c r="K51" s="543"/>
      <c r="L51" s="543"/>
      <c r="M51" s="543"/>
    </row>
    <row r="52" spans="1:13">
      <c r="A52" s="290" t="s">
        <v>391</v>
      </c>
      <c r="B52" s="601">
        <f>B46</f>
        <v>3.1552387285036501E-3</v>
      </c>
      <c r="C52" s="262" t="s">
        <v>391</v>
      </c>
      <c r="D52" s="603">
        <f>D46</f>
        <v>3.1552387285036501E-3</v>
      </c>
      <c r="E52" s="262" t="s">
        <v>391</v>
      </c>
      <c r="F52" s="601">
        <f>D52</f>
        <v>3.1552387285036501E-3</v>
      </c>
      <c r="G52" s="1"/>
      <c r="H52" s="432" t="s">
        <v>673</v>
      </c>
      <c r="I52" s="603">
        <f>AVERAGE(H14:H18)</f>
        <v>4.7299999999999998E-3</v>
      </c>
      <c r="J52" s="543"/>
      <c r="K52" s="543"/>
      <c r="L52" s="543"/>
      <c r="M52" s="543"/>
    </row>
    <row r="53" spans="1:13">
      <c r="A53" s="262" t="s">
        <v>392</v>
      </c>
      <c r="B53" s="603">
        <v>4.53717660848309E-2</v>
      </c>
      <c r="C53" s="262" t="s">
        <v>392</v>
      </c>
      <c r="D53" s="603">
        <f>B53</f>
        <v>4.53717660848309E-2</v>
      </c>
      <c r="E53" s="262" t="s">
        <v>392</v>
      </c>
      <c r="F53" s="603">
        <f>B53</f>
        <v>4.53717660848309E-2</v>
      </c>
      <c r="G53" s="1"/>
      <c r="H53" s="432" t="s">
        <v>688</v>
      </c>
      <c r="I53" s="295">
        <f>10%</f>
        <v>0.1</v>
      </c>
      <c r="J53" s="543"/>
      <c r="K53" s="543"/>
      <c r="L53" s="543"/>
      <c r="M53" s="543"/>
    </row>
    <row r="54" spans="1:13">
      <c r="A54" s="262" t="s">
        <v>393</v>
      </c>
      <c r="B54" s="601">
        <v>3.2549780667749703E-2</v>
      </c>
      <c r="C54" s="262" t="s">
        <v>393</v>
      </c>
      <c r="D54" s="603">
        <f>B54</f>
        <v>3.2549780667749703E-2</v>
      </c>
      <c r="E54" s="262" t="s">
        <v>393</v>
      </c>
      <c r="F54" s="601">
        <f>B54</f>
        <v>3.2549780667749703E-2</v>
      </c>
      <c r="G54" s="1"/>
      <c r="H54" s="651" t="s">
        <v>674</v>
      </c>
      <c r="I54" s="655">
        <f>B56</f>
        <v>0.86832176000000005</v>
      </c>
      <c r="J54" s="543"/>
      <c r="K54" s="543"/>
      <c r="L54" s="543"/>
      <c r="M54" s="543"/>
    </row>
    <row r="55" spans="1:13">
      <c r="A55" s="290" t="s">
        <v>394</v>
      </c>
      <c r="B55" s="603">
        <f>B53+B54</f>
        <v>7.7921546752580603E-2</v>
      </c>
      <c r="C55" s="262" t="s">
        <v>394</v>
      </c>
      <c r="D55" s="603">
        <f>D53+D54</f>
        <v>7.7921546752580603E-2</v>
      </c>
      <c r="E55" s="262" t="s">
        <v>394</v>
      </c>
      <c r="F55" s="603">
        <f>F53+F54</f>
        <v>7.7921546752580603E-2</v>
      </c>
      <c r="G55" s="1"/>
      <c r="H55" s="432" t="s">
        <v>397</v>
      </c>
      <c r="I55" s="603">
        <f>I54*I53+I52</f>
        <v>9.1562176000000009E-2</v>
      </c>
      <c r="J55" s="543"/>
      <c r="K55" s="543"/>
      <c r="L55" s="543"/>
      <c r="M55" s="543"/>
    </row>
    <row r="56" spans="1:13">
      <c r="A56" s="292" t="s">
        <v>395</v>
      </c>
      <c r="B56" s="656">
        <v>0.86832176000000005</v>
      </c>
      <c r="C56" s="288" t="s">
        <v>396</v>
      </c>
      <c r="D56" s="655">
        <v>0.83109791342430983</v>
      </c>
      <c r="E56" s="288" t="s">
        <v>395</v>
      </c>
      <c r="F56" s="656">
        <f>B56</f>
        <v>0.86832176000000005</v>
      </c>
      <c r="G56" s="1"/>
      <c r="H56" s="432"/>
      <c r="I56" s="291"/>
      <c r="J56" s="543"/>
      <c r="K56" s="543"/>
      <c r="L56" s="543"/>
      <c r="M56" s="543"/>
    </row>
    <row r="57" spans="1:13">
      <c r="A57" s="262" t="s">
        <v>397</v>
      </c>
      <c r="B57" s="603">
        <f>B52+PRODUCT(B56,B55)</f>
        <v>7.081621334662673E-2</v>
      </c>
      <c r="C57" s="262" t="s">
        <v>397</v>
      </c>
      <c r="D57" s="603">
        <f>D52+PRODUCT(D55:D56)</f>
        <v>6.7915673645368199E-2</v>
      </c>
      <c r="E57" s="262" t="s">
        <v>397</v>
      </c>
      <c r="F57" s="603">
        <f>F52+F56*(F55)</f>
        <v>7.081621334662673E-2</v>
      </c>
      <c r="G57" s="1"/>
      <c r="H57" s="671" t="s">
        <v>418</v>
      </c>
      <c r="I57" s="672">
        <f>I50*H4+I55*H3</f>
        <v>5.3833900404432707E-2</v>
      </c>
      <c r="J57" s="543"/>
      <c r="K57" s="543"/>
      <c r="L57" s="543"/>
      <c r="M57" s="543"/>
    </row>
    <row r="58" spans="1:13" ht="15" thickBot="1">
      <c r="A58" s="262"/>
      <c r="B58" s="291"/>
      <c r="C58" s="262"/>
      <c r="D58" s="603"/>
      <c r="E58" s="262"/>
      <c r="F58" s="291"/>
      <c r="G58" s="1"/>
      <c r="H58" s="670" t="s">
        <v>675</v>
      </c>
      <c r="I58" s="673">
        <f>I50*H7+H6*I55</f>
        <v>5.8747338716271885E-2</v>
      </c>
      <c r="J58" s="543"/>
      <c r="K58" s="543"/>
      <c r="L58" s="543"/>
      <c r="M58" s="543"/>
    </row>
    <row r="59" spans="1:13">
      <c r="A59" s="287" t="s">
        <v>398</v>
      </c>
      <c r="B59" s="440">
        <f>B50*H4 +H3*B57</f>
        <v>4.2112052020186447E-2</v>
      </c>
      <c r="C59" s="287" t="s">
        <v>417</v>
      </c>
      <c r="D59" s="653"/>
      <c r="E59" s="287" t="s">
        <v>418</v>
      </c>
      <c r="F59" s="440">
        <f>F50*H4+F57*H3</f>
        <v>4.3403783405332484E-2</v>
      </c>
      <c r="G59" s="1"/>
      <c r="H59" s="432"/>
      <c r="I59" s="291"/>
      <c r="J59" s="543"/>
      <c r="K59" s="543"/>
      <c r="L59" s="543"/>
      <c r="M59" s="543"/>
    </row>
    <row r="60" spans="1:13" ht="15" thickBot="1">
      <c r="A60" s="286" t="s">
        <v>399</v>
      </c>
      <c r="B60" s="441">
        <f>H7*B50+B57*H6</f>
        <v>4.5850259604397231E-2</v>
      </c>
      <c r="C60" s="286" t="s">
        <v>399</v>
      </c>
      <c r="D60" s="654">
        <f>D50*H7+H6*D57</f>
        <v>4.4204169907577015E-2</v>
      </c>
      <c r="E60" s="286" t="s">
        <v>399</v>
      </c>
      <c r="F60" s="441">
        <f>F50*H7+H6*F57</f>
        <v>4.6973765901696225E-2</v>
      </c>
      <c r="G60" s="1"/>
      <c r="H60" s="432" t="s">
        <v>549</v>
      </c>
      <c r="I60" s="603">
        <f>I52+I53</f>
        <v>0.10473</v>
      </c>
      <c r="J60" s="543"/>
      <c r="K60" s="543"/>
      <c r="L60" s="543"/>
      <c r="M60" s="543"/>
    </row>
    <row r="61" spans="1:13" ht="15" thickBot="1">
      <c r="A61" s="262"/>
      <c r="B61" s="281" t="s">
        <v>400</v>
      </c>
      <c r="C61" s="304"/>
      <c r="D61" s="423"/>
      <c r="E61" s="55"/>
      <c r="F61" s="291"/>
      <c r="G61" s="1"/>
      <c r="H61" s="431" t="s">
        <v>676</v>
      </c>
      <c r="I61" s="300"/>
      <c r="J61" s="543"/>
      <c r="K61" s="543"/>
      <c r="L61" s="543"/>
      <c r="M61" s="543"/>
    </row>
    <row r="62" spans="1:13">
      <c r="A62" s="262"/>
      <c r="B62" s="281" t="s">
        <v>520</v>
      </c>
      <c r="C62" s="304"/>
      <c r="D62" s="423"/>
      <c r="E62" s="518" t="s">
        <v>690</v>
      </c>
      <c r="F62" s="518"/>
      <c r="G62" s="1"/>
      <c r="H62" s="544"/>
      <c r="I62" s="544"/>
      <c r="J62" s="543"/>
      <c r="K62" s="543"/>
      <c r="L62" s="543"/>
      <c r="M62" s="543"/>
    </row>
    <row r="63" spans="1:13" ht="15" thickBot="1">
      <c r="A63" s="274"/>
      <c r="B63" s="282" t="s">
        <v>401</v>
      </c>
      <c r="C63" s="284"/>
      <c r="D63" s="424"/>
      <c r="E63" s="652">
        <f>F52+F55*(0.65)</f>
        <v>5.3804244117681047E-2</v>
      </c>
      <c r="F63" s="652"/>
      <c r="G63" s="1"/>
      <c r="H63" s="544"/>
      <c r="I63" s="544"/>
      <c r="J63" s="543"/>
      <c r="K63" s="543"/>
      <c r="L63" s="543"/>
      <c r="M63" s="543"/>
    </row>
    <row r="64" spans="1:13">
      <c r="A64" s="543"/>
      <c r="B64" s="543"/>
      <c r="C64" s="543"/>
      <c r="D64" s="543"/>
      <c r="E64" s="543"/>
      <c r="F64" s="543"/>
      <c r="G64" s="543"/>
      <c r="H64" s="543"/>
      <c r="I64" s="543"/>
      <c r="J64" s="543"/>
      <c r="K64" s="543"/>
      <c r="L64" s="543"/>
      <c r="M64" s="543"/>
    </row>
    <row r="65" spans="1:13">
      <c r="A65" s="543"/>
      <c r="B65" s="543"/>
      <c r="C65" s="543"/>
      <c r="D65" s="543"/>
      <c r="E65" s="543"/>
      <c r="F65" s="543"/>
      <c r="G65" s="543"/>
      <c r="H65" s="543"/>
      <c r="I65" s="543"/>
      <c r="J65" s="543"/>
      <c r="K65" s="543"/>
      <c r="L65" s="543"/>
      <c r="M65" s="543"/>
    </row>
    <row r="66" spans="1:13">
      <c r="A66" s="543"/>
      <c r="B66" s="543"/>
      <c r="C66" s="543"/>
      <c r="D66" s="543"/>
      <c r="E66" s="532"/>
      <c r="F66" s="543"/>
      <c r="G66" s="543"/>
      <c r="H66" s="543"/>
      <c r="I66" s="543"/>
      <c r="J66" s="543"/>
      <c r="K66" s="543"/>
      <c r="L66" s="543"/>
      <c r="M66" s="543"/>
    </row>
    <row r="67" spans="1:13">
      <c r="A67" s="543"/>
      <c r="B67" s="543"/>
      <c r="C67" s="543"/>
      <c r="D67" s="543"/>
      <c r="E67" s="543"/>
      <c r="F67" s="543"/>
      <c r="G67" s="543"/>
      <c r="H67" s="543"/>
      <c r="I67" s="543"/>
      <c r="J67" s="543"/>
      <c r="K67" s="543"/>
      <c r="L67" s="543"/>
      <c r="M67" s="543"/>
    </row>
    <row r="68" spans="1:13">
      <c r="A68" s="543"/>
      <c r="B68" s="543"/>
      <c r="C68" s="543"/>
      <c r="D68" s="543"/>
      <c r="E68" s="543"/>
      <c r="F68" s="543"/>
      <c r="G68" s="543"/>
      <c r="H68" s="543"/>
      <c r="I68" s="543"/>
      <c r="J68" s="543"/>
      <c r="K68" s="543"/>
      <c r="L68" s="543"/>
      <c r="M68" s="543"/>
    </row>
    <row r="69" spans="1:13">
      <c r="A69" s="543"/>
      <c r="B69" s="543"/>
      <c r="C69" s="543"/>
      <c r="D69" s="543"/>
      <c r="E69" s="543"/>
      <c r="F69" s="543"/>
      <c r="G69" s="543"/>
      <c r="H69" s="543"/>
      <c r="I69" s="543"/>
      <c r="J69" s="543"/>
      <c r="K69" s="543"/>
      <c r="L69" s="543"/>
      <c r="M69" s="543"/>
    </row>
    <row r="70" spans="1:13">
      <c r="A70" s="543"/>
      <c r="B70" s="543"/>
      <c r="C70" s="543"/>
      <c r="D70" s="543"/>
      <c r="E70" s="543"/>
      <c r="F70" s="543"/>
      <c r="G70" s="543"/>
      <c r="H70" s="543"/>
      <c r="I70" s="543"/>
      <c r="J70" s="543"/>
      <c r="K70" s="543"/>
      <c r="L70" s="543"/>
      <c r="M70" s="543"/>
    </row>
    <row r="71" spans="1:13">
      <c r="A71" s="543"/>
      <c r="B71" s="543"/>
      <c r="C71" s="543"/>
      <c r="D71" s="543"/>
      <c r="E71" s="543"/>
      <c r="F71" s="543"/>
      <c r="G71" s="543"/>
      <c r="H71" s="543"/>
      <c r="I71" s="543"/>
      <c r="J71" s="543"/>
      <c r="K71" s="543"/>
      <c r="L71" s="543"/>
      <c r="M71" s="543"/>
    </row>
    <row r="72" spans="1:13">
      <c r="A72" s="543"/>
      <c r="B72" s="543"/>
      <c r="C72" s="543"/>
      <c r="D72" s="543"/>
      <c r="E72" s="543"/>
      <c r="F72" s="543"/>
      <c r="G72" s="543"/>
      <c r="H72" s="543"/>
      <c r="I72" s="543"/>
      <c r="J72" s="543"/>
      <c r="K72" s="543"/>
      <c r="L72" s="543"/>
      <c r="M72" s="543"/>
    </row>
    <row r="73" spans="1:13">
      <c r="A73" s="543"/>
      <c r="B73" s="543"/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</row>
    <row r="74" spans="1:13">
      <c r="A74" s="543"/>
      <c r="B74" s="543"/>
      <c r="C74" s="543"/>
      <c r="D74" s="543"/>
      <c r="E74" s="543"/>
      <c r="F74" s="543"/>
      <c r="G74" s="543"/>
      <c r="H74" s="543"/>
      <c r="I74" s="543"/>
      <c r="J74" s="543"/>
      <c r="K74" s="543"/>
      <c r="L74" s="543"/>
      <c r="M74" s="543"/>
    </row>
    <row r="75" spans="1:13">
      <c r="A75" s="543"/>
      <c r="B75" s="543"/>
      <c r="C75" s="543"/>
      <c r="D75" s="543"/>
      <c r="E75" s="543"/>
      <c r="F75" s="543"/>
      <c r="G75" s="543"/>
      <c r="H75" s="543"/>
      <c r="I75" s="543"/>
      <c r="J75" s="543"/>
      <c r="K75" s="543"/>
      <c r="L75" s="543"/>
      <c r="M75" s="543"/>
    </row>
    <row r="76" spans="1:13">
      <c r="A76" s="543"/>
      <c r="B76" s="543"/>
      <c r="C76" s="543"/>
      <c r="D76" s="543"/>
      <c r="E76" s="543"/>
      <c r="F76" s="543"/>
      <c r="G76" s="543"/>
      <c r="H76" s="543"/>
      <c r="I76" s="543"/>
      <c r="J76" s="543"/>
      <c r="K76" s="543"/>
      <c r="L76" s="543"/>
      <c r="M76" s="543"/>
    </row>
    <row r="77" spans="1:13">
      <c r="A77" s="543"/>
      <c r="B77" s="543"/>
      <c r="C77" s="543"/>
      <c r="D77" s="543"/>
      <c r="E77" s="543"/>
      <c r="F77" s="543"/>
      <c r="G77" s="543"/>
      <c r="H77" s="543"/>
      <c r="I77" s="543"/>
      <c r="J77" s="543"/>
      <c r="K77" s="543"/>
      <c r="L77" s="543"/>
      <c r="M77" s="543"/>
    </row>
    <row r="78" spans="1:13">
      <c r="A78" s="543"/>
      <c r="B78" s="543"/>
      <c r="C78" s="543"/>
      <c r="D78" s="543"/>
      <c r="E78" s="543"/>
      <c r="F78" s="543"/>
      <c r="G78" s="543"/>
      <c r="H78" s="543"/>
      <c r="I78" s="543"/>
      <c r="J78" s="543"/>
      <c r="K78" s="543"/>
      <c r="L78" s="543"/>
      <c r="M78" s="543"/>
    </row>
    <row r="79" spans="1:13">
      <c r="A79" s="543"/>
      <c r="B79" s="543"/>
      <c r="C79" s="543"/>
      <c r="D79" s="543"/>
      <c r="E79" s="543"/>
      <c r="F79" s="543"/>
      <c r="G79" s="543"/>
      <c r="H79" s="543"/>
      <c r="I79" s="543"/>
      <c r="J79" s="543"/>
      <c r="K79" s="543"/>
      <c r="L79" s="543"/>
      <c r="M79" s="543"/>
    </row>
    <row r="80" spans="1:13">
      <c r="A80" s="543"/>
      <c r="B80" s="543"/>
      <c r="C80" s="543"/>
      <c r="D80" s="543"/>
      <c r="E80" s="543"/>
      <c r="F80" s="543"/>
      <c r="G80" s="543"/>
      <c r="H80" s="543"/>
      <c r="I80" s="543"/>
      <c r="J80" s="543"/>
      <c r="K80" s="543"/>
      <c r="L80" s="543"/>
      <c r="M80" s="543"/>
    </row>
    <row r="81" spans="1:13">
      <c r="A81" s="543"/>
      <c r="B81" s="543"/>
      <c r="C81" s="543"/>
      <c r="D81" s="543"/>
      <c r="E81" s="543"/>
      <c r="F81" s="543"/>
      <c r="G81" s="543"/>
      <c r="H81" s="543"/>
      <c r="I81" s="543"/>
      <c r="J81" s="543"/>
      <c r="K81" s="543"/>
      <c r="L81" s="543"/>
      <c r="M81" s="543"/>
    </row>
    <row r="82" spans="1:13">
      <c r="A82" s="543"/>
      <c r="B82" s="543"/>
      <c r="C82" s="543"/>
      <c r="D82" s="543"/>
      <c r="E82" s="543"/>
      <c r="F82" s="543"/>
      <c r="G82" s="543"/>
      <c r="H82" s="543"/>
      <c r="I82" s="543"/>
      <c r="J82" s="543"/>
      <c r="K82" s="543"/>
      <c r="L82" s="543"/>
      <c r="M82" s="543"/>
    </row>
    <row r="83" spans="1:13">
      <c r="A83" s="543"/>
      <c r="B83" s="543"/>
      <c r="C83" s="543"/>
      <c r="D83" s="543"/>
      <c r="E83" s="543"/>
      <c r="F83" s="543"/>
      <c r="G83" s="543"/>
      <c r="H83" s="543"/>
      <c r="I83" s="543"/>
      <c r="J83" s="543"/>
      <c r="K83" s="543"/>
      <c r="L83" s="543"/>
      <c r="M83" s="543"/>
    </row>
    <row r="84" spans="1:13">
      <c r="A84" s="543"/>
      <c r="B84" s="543"/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</row>
    <row r="85" spans="1:13">
      <c r="A85" s="543"/>
      <c r="B85" s="543"/>
      <c r="C85" s="543"/>
      <c r="D85" s="543"/>
      <c r="E85" s="543"/>
      <c r="F85" s="543"/>
      <c r="G85" s="543"/>
      <c r="H85" s="543"/>
      <c r="I85" s="543"/>
      <c r="J85" s="543"/>
      <c r="K85" s="543"/>
      <c r="L85" s="543"/>
      <c r="M85" s="543"/>
    </row>
    <row r="86" spans="1:13">
      <c r="A86" s="543"/>
      <c r="B86" s="543"/>
      <c r="C86" s="543"/>
      <c r="D86" s="543"/>
      <c r="E86" s="543"/>
      <c r="F86" s="543"/>
      <c r="G86" s="543"/>
      <c r="H86" s="543"/>
      <c r="I86" s="543"/>
      <c r="J86" s="543"/>
      <c r="K86" s="543"/>
      <c r="L86" s="543"/>
      <c r="M86" s="543"/>
    </row>
    <row r="87" spans="1:13">
      <c r="A87" s="543"/>
      <c r="B87" s="543"/>
      <c r="C87" s="543"/>
      <c r="D87" s="543"/>
      <c r="E87" s="543"/>
      <c r="F87" s="543"/>
      <c r="G87" s="543"/>
      <c r="H87" s="543"/>
      <c r="I87" s="543"/>
      <c r="J87" s="543"/>
      <c r="K87" s="543"/>
      <c r="L87" s="543"/>
      <c r="M87" s="543"/>
    </row>
    <row r="88" spans="1:13">
      <c r="A88" s="543"/>
      <c r="B88" s="543"/>
      <c r="C88" s="543"/>
      <c r="D88" s="543"/>
      <c r="E88" s="543"/>
      <c r="F88" s="543"/>
      <c r="G88" s="543"/>
      <c r="H88" s="543"/>
      <c r="I88" s="543"/>
      <c r="J88" s="543"/>
      <c r="K88" s="543"/>
      <c r="L88" s="543"/>
      <c r="M88" s="543"/>
    </row>
    <row r="89" spans="1:13">
      <c r="A89" s="543"/>
      <c r="B89" s="543"/>
      <c r="C89" s="543"/>
      <c r="D89" s="543"/>
      <c r="E89" s="543"/>
      <c r="F89" s="543"/>
      <c r="G89" s="543"/>
      <c r="H89" s="543"/>
      <c r="I89" s="543"/>
      <c r="J89" s="543"/>
      <c r="K89" s="543"/>
      <c r="L89" s="543"/>
      <c r="M89" s="543"/>
    </row>
    <row r="90" spans="1:13">
      <c r="A90" s="543"/>
      <c r="B90" s="543"/>
      <c r="C90" s="543"/>
      <c r="D90" s="543"/>
      <c r="E90" s="543"/>
      <c r="F90" s="543"/>
      <c r="G90" s="543"/>
      <c r="H90" s="543"/>
      <c r="I90" s="543"/>
      <c r="J90" s="543"/>
      <c r="K90" s="543"/>
      <c r="L90" s="543"/>
      <c r="M90" s="543"/>
    </row>
    <row r="91" spans="1:13">
      <c r="A91" s="543"/>
      <c r="B91" s="543"/>
      <c r="C91" s="543"/>
      <c r="D91" s="543"/>
      <c r="E91" s="543"/>
      <c r="F91" s="543"/>
      <c r="G91" s="543"/>
      <c r="H91" s="543"/>
      <c r="I91" s="543"/>
      <c r="J91" s="543"/>
      <c r="K91" s="543"/>
      <c r="L91" s="543"/>
      <c r="M91" s="543"/>
    </row>
    <row r="92" spans="1:13">
      <c r="A92" s="543"/>
      <c r="B92" s="543"/>
      <c r="C92" s="543"/>
      <c r="D92" s="543"/>
      <c r="E92" s="543"/>
      <c r="F92" s="543"/>
      <c r="G92" s="543"/>
      <c r="H92" s="543"/>
      <c r="I92" s="543"/>
      <c r="J92" s="543"/>
      <c r="K92" s="543"/>
      <c r="L92" s="543"/>
      <c r="M92" s="543"/>
    </row>
    <row r="93" spans="1:13">
      <c r="A93" s="543"/>
      <c r="B93" s="543"/>
      <c r="C93" s="543"/>
      <c r="D93" s="543"/>
      <c r="E93" s="543"/>
      <c r="F93" s="543"/>
      <c r="G93" s="543"/>
      <c r="H93" s="543"/>
      <c r="I93" s="543"/>
      <c r="J93" s="543"/>
      <c r="K93" s="543"/>
      <c r="L93" s="543"/>
      <c r="M93" s="543"/>
    </row>
    <row r="94" spans="1:13">
      <c r="A94" s="543"/>
      <c r="B94" s="543"/>
      <c r="C94" s="543"/>
      <c r="D94" s="543"/>
      <c r="E94" s="543"/>
      <c r="F94" s="543"/>
      <c r="G94" s="543"/>
      <c r="H94" s="543"/>
      <c r="I94" s="543"/>
      <c r="J94" s="543"/>
      <c r="K94" s="543"/>
      <c r="L94" s="543"/>
      <c r="M94" s="543"/>
    </row>
    <row r="95" spans="1:13">
      <c r="A95" s="543"/>
      <c r="B95" s="543"/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</row>
    <row r="96" spans="1:13">
      <c r="A96" s="543"/>
      <c r="B96" s="543"/>
      <c r="C96" s="543"/>
      <c r="D96" s="543"/>
      <c r="E96" s="543"/>
      <c r="F96" s="543"/>
      <c r="G96" s="543"/>
      <c r="H96" s="543"/>
      <c r="I96" s="543"/>
      <c r="J96" s="543"/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sheetPr codeName="Foglio10"/>
  <dimension ref="A1:AI405"/>
  <sheetViews>
    <sheetView tabSelected="1" topLeftCell="A4" zoomScale="80" zoomScaleNormal="80" workbookViewId="0">
      <selection activeCell="H23" sqref="H23"/>
    </sheetView>
  </sheetViews>
  <sheetFormatPr defaultRowHeight="14.4"/>
  <cols>
    <col min="1" max="1" width="29.88671875" customWidth="1"/>
    <col min="2" max="2" width="10.44140625" bestFit="1" customWidth="1"/>
    <col min="3" max="3" width="16.109375" bestFit="1" customWidth="1"/>
    <col min="4" max="4" width="15.5546875" bestFit="1" customWidth="1"/>
    <col min="5" max="5" width="10.44140625" customWidth="1"/>
    <col min="6" max="6" width="12.77734375" customWidth="1"/>
    <col min="7" max="7" width="10.109375" customWidth="1"/>
    <col min="8" max="8" width="13.21875" bestFit="1" customWidth="1"/>
    <col min="9" max="9" width="10.33203125" customWidth="1"/>
    <col min="10" max="10" width="13.21875" bestFit="1" customWidth="1"/>
    <col min="11" max="11" width="10.77734375" customWidth="1"/>
    <col min="12" max="12" width="12.109375" customWidth="1"/>
    <col min="13" max="13" width="12.77734375" bestFit="1" customWidth="1"/>
    <col min="14" max="14" width="12.44140625" bestFit="1" customWidth="1"/>
    <col min="15" max="15" width="12.6640625" bestFit="1" customWidth="1"/>
    <col min="17" max="17" width="12.6640625" bestFit="1" customWidth="1"/>
    <col min="19" max="19" width="12.6640625" bestFit="1" customWidth="1"/>
    <col min="21" max="21" width="14.109375" customWidth="1"/>
  </cols>
  <sheetData>
    <row r="1" spans="1:35" s="542" customFormat="1" ht="15" thickBot="1">
      <c r="A1" s="544"/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4"/>
      <c r="AB1" s="544"/>
      <c r="AC1" s="544"/>
      <c r="AD1" s="544"/>
      <c r="AE1" s="544"/>
      <c r="AF1" s="544"/>
      <c r="AG1" s="544"/>
      <c r="AH1" s="544"/>
      <c r="AI1" s="544"/>
    </row>
    <row r="2" spans="1:35" s="542" customFormat="1" ht="15" thickBot="1">
      <c r="A2" s="582" t="s">
        <v>535</v>
      </c>
      <c r="B2" s="544"/>
      <c r="C2" s="544"/>
      <c r="D2" s="544"/>
      <c r="E2" s="544"/>
      <c r="F2" s="509"/>
      <c r="G2" s="544"/>
      <c r="H2" s="544"/>
      <c r="I2" s="544"/>
      <c r="J2" s="544"/>
      <c r="K2" s="544"/>
      <c r="L2" s="544"/>
      <c r="M2" s="544"/>
      <c r="N2" s="544"/>
      <c r="O2" s="544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4"/>
      <c r="AB2" s="544"/>
      <c r="AC2" s="544"/>
      <c r="AD2" s="544"/>
      <c r="AE2" s="544"/>
      <c r="AF2" s="544"/>
      <c r="AG2" s="544"/>
      <c r="AH2" s="544"/>
      <c r="AI2" s="544"/>
    </row>
    <row r="3" spans="1:35" s="542" customFormat="1">
      <c r="A3" s="544"/>
      <c r="B3" s="105" t="s">
        <v>526</v>
      </c>
      <c r="C3" s="105"/>
      <c r="D3" s="105"/>
      <c r="E3" s="105"/>
      <c r="F3" s="103"/>
      <c r="G3" s="105" t="s">
        <v>629</v>
      </c>
      <c r="H3" s="105"/>
      <c r="I3" s="105"/>
      <c r="J3" s="105"/>
      <c r="K3" s="103"/>
      <c r="L3" s="105" t="s">
        <v>630</v>
      </c>
      <c r="M3" s="105"/>
      <c r="N3" s="103"/>
      <c r="O3" s="105" t="s">
        <v>563</v>
      </c>
      <c r="P3" s="105"/>
      <c r="Q3" s="105"/>
      <c r="R3" s="105"/>
      <c r="S3" s="543"/>
      <c r="T3" s="543"/>
      <c r="U3" s="543"/>
      <c r="V3" s="543"/>
      <c r="W3" s="543"/>
      <c r="X3" s="543"/>
      <c r="Y3" s="543"/>
      <c r="Z3" s="543"/>
      <c r="AA3" s="544"/>
      <c r="AB3" s="544"/>
      <c r="AC3" s="544"/>
      <c r="AD3" s="544"/>
      <c r="AE3" s="544"/>
      <c r="AF3" s="544"/>
      <c r="AG3" s="544"/>
      <c r="AH3" s="544"/>
      <c r="AI3" s="544"/>
    </row>
    <row r="4" spans="1:35" s="542" customFormat="1">
      <c r="A4" s="508" t="s">
        <v>536</v>
      </c>
      <c r="B4" s="544">
        <v>2015</v>
      </c>
      <c r="C4" s="544">
        <v>2016</v>
      </c>
      <c r="D4" s="544">
        <v>2017</v>
      </c>
      <c r="E4" s="544">
        <v>2018</v>
      </c>
      <c r="F4" s="509">
        <v>2019</v>
      </c>
      <c r="G4" s="544">
        <v>2020</v>
      </c>
      <c r="H4" s="544">
        <v>2021</v>
      </c>
      <c r="I4" s="544">
        <v>2022</v>
      </c>
      <c r="J4" s="544">
        <v>2023</v>
      </c>
      <c r="K4" s="522">
        <v>2024</v>
      </c>
      <c r="L4" s="544">
        <v>2025</v>
      </c>
      <c r="M4" s="544">
        <v>2026</v>
      </c>
      <c r="N4" s="509">
        <v>2027</v>
      </c>
      <c r="O4" s="544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4"/>
      <c r="AB4" s="544"/>
      <c r="AC4" s="544"/>
      <c r="AD4" s="544"/>
      <c r="AE4" s="544"/>
      <c r="AF4" s="544"/>
      <c r="AG4" s="544"/>
      <c r="AH4" s="544"/>
      <c r="AI4" s="544"/>
    </row>
    <row r="5" spans="1:35" s="542" customFormat="1">
      <c r="A5" s="544"/>
      <c r="B5" s="544"/>
      <c r="C5" s="544"/>
      <c r="D5" s="544"/>
      <c r="E5" s="544"/>
      <c r="F5" s="509"/>
      <c r="G5" s="544"/>
      <c r="H5" s="544"/>
      <c r="I5" s="544"/>
      <c r="J5" s="544"/>
      <c r="K5" s="509"/>
      <c r="L5" s="544"/>
      <c r="M5" s="544"/>
      <c r="N5" s="509"/>
      <c r="O5" s="544"/>
      <c r="P5" s="543"/>
      <c r="Q5" s="543"/>
      <c r="R5" s="543"/>
      <c r="S5" s="543"/>
      <c r="T5" s="543"/>
      <c r="U5" s="543"/>
      <c r="V5" s="543"/>
      <c r="W5" s="543"/>
      <c r="X5" s="543"/>
      <c r="Y5" s="543"/>
      <c r="Z5" s="543"/>
      <c r="AA5" s="544"/>
      <c r="AB5" s="544"/>
      <c r="AC5" s="544"/>
      <c r="AD5" s="544"/>
      <c r="AE5" s="544"/>
      <c r="AF5" s="544"/>
      <c r="AG5" s="544"/>
      <c r="AH5" s="544"/>
      <c r="AI5" s="544"/>
    </row>
    <row r="6" spans="1:35" s="542" customFormat="1">
      <c r="A6" s="544" t="s">
        <v>541</v>
      </c>
      <c r="B6" s="544">
        <v>3106</v>
      </c>
      <c r="C6" s="583">
        <v>3109.1838560000001</v>
      </c>
      <c r="D6" s="583">
        <v>3109.1838560000001</v>
      </c>
      <c r="E6" s="544">
        <v>3109.1838560000001</v>
      </c>
      <c r="F6" s="509">
        <v>3109.1838560000001</v>
      </c>
      <c r="G6" s="544"/>
      <c r="H6" s="544"/>
      <c r="I6" s="544"/>
      <c r="J6" s="544"/>
      <c r="K6" s="509"/>
      <c r="L6" s="544"/>
      <c r="M6" s="544"/>
      <c r="N6" s="509"/>
      <c r="O6" s="544"/>
      <c r="P6" s="543"/>
      <c r="Q6" s="543"/>
      <c r="R6" s="543"/>
      <c r="S6" s="543"/>
      <c r="T6" s="543"/>
      <c r="U6" s="543"/>
      <c r="V6" s="543"/>
      <c r="W6" s="543"/>
      <c r="X6" s="543"/>
      <c r="Y6" s="543"/>
      <c r="Z6" s="543"/>
      <c r="AA6" s="544"/>
      <c r="AB6" s="544"/>
      <c r="AC6" s="544"/>
      <c r="AD6" s="544"/>
      <c r="AE6" s="544"/>
      <c r="AF6" s="544"/>
      <c r="AG6" s="544"/>
      <c r="AH6" s="544"/>
      <c r="AI6" s="544"/>
    </row>
    <row r="7" spans="1:35" s="542" customFormat="1">
      <c r="A7" s="544" t="s">
        <v>540</v>
      </c>
      <c r="B7" s="585">
        <f>'Reorganised Statements'!D114/B6</f>
        <v>2.4146812620734062E-2</v>
      </c>
      <c r="C7" s="585">
        <f>'Reorganised Statements'!E114/C6</f>
        <v>7.4617652330946624E-2</v>
      </c>
      <c r="D7" s="585">
        <f>'Reorganised Statements'!F114/D6</f>
        <v>9.4236948848997235E-2</v>
      </c>
      <c r="E7" s="585">
        <f>'Reorganised Statements'!G114/E6</f>
        <v>0.11063996724933464</v>
      </c>
      <c r="F7" s="587">
        <f>'Reorganised Statements'!H114/F6</f>
        <v>0.12511321877904411</v>
      </c>
      <c r="G7" s="544"/>
      <c r="H7" s="544"/>
      <c r="I7" s="544"/>
      <c r="J7" s="544"/>
      <c r="K7" s="509"/>
      <c r="L7" s="544"/>
      <c r="M7" s="544"/>
      <c r="N7" s="509"/>
      <c r="O7" s="544"/>
      <c r="P7" s="543"/>
      <c r="Q7" s="543"/>
      <c r="R7" s="543"/>
      <c r="S7" s="543"/>
      <c r="T7" s="543"/>
      <c r="U7" s="543"/>
      <c r="V7" s="543"/>
      <c r="W7" s="543"/>
      <c r="X7" s="543"/>
      <c r="Y7" s="543"/>
      <c r="Z7" s="543"/>
      <c r="AA7" s="544"/>
      <c r="AB7" s="544"/>
      <c r="AC7" s="544"/>
      <c r="AD7" s="544"/>
      <c r="AE7" s="544"/>
      <c r="AF7" s="544"/>
      <c r="AG7" s="544"/>
      <c r="AH7" s="544"/>
      <c r="AI7" s="544"/>
    </row>
    <row r="8" spans="1:35" s="542" customFormat="1">
      <c r="A8" s="544" t="s">
        <v>537</v>
      </c>
      <c r="B8" s="544">
        <v>126</v>
      </c>
      <c r="C8" s="544">
        <v>153</v>
      </c>
      <c r="D8" s="544">
        <v>180</v>
      </c>
      <c r="E8" s="544">
        <v>218</v>
      </c>
      <c r="F8" s="509">
        <v>241</v>
      </c>
      <c r="G8" s="544"/>
      <c r="H8" s="544"/>
      <c r="I8" s="544"/>
      <c r="J8" s="544"/>
      <c r="K8" s="509"/>
      <c r="L8" s="544"/>
      <c r="M8" s="544"/>
      <c r="N8" s="509"/>
      <c r="O8" s="544"/>
      <c r="P8" s="543"/>
      <c r="Q8" s="543"/>
      <c r="R8" s="543"/>
      <c r="S8" s="543"/>
      <c r="T8" s="543"/>
      <c r="U8" s="543"/>
      <c r="V8" s="543"/>
      <c r="W8" s="543"/>
      <c r="X8" s="543"/>
      <c r="Y8" s="543"/>
      <c r="Z8" s="543"/>
      <c r="AA8" s="544"/>
      <c r="AB8" s="544"/>
      <c r="AC8" s="544"/>
      <c r="AD8" s="544"/>
      <c r="AE8" s="544"/>
      <c r="AF8" s="544"/>
      <c r="AG8" s="544"/>
      <c r="AH8" s="544"/>
      <c r="AI8" s="544"/>
    </row>
    <row r="9" spans="1:35" s="542" customFormat="1">
      <c r="A9" s="544" t="s">
        <v>538</v>
      </c>
      <c r="B9" s="584">
        <f>B8/B6</f>
        <v>4.0566645202833228E-2</v>
      </c>
      <c r="C9" s="584">
        <f t="shared" ref="C9:F9" si="0">C8/C6</f>
        <v>4.9209055201012208E-2</v>
      </c>
      <c r="D9" s="584">
        <f t="shared" si="0"/>
        <v>5.7893006118837895E-2</v>
      </c>
      <c r="E9" s="584">
        <f t="shared" si="0"/>
        <v>7.011486296614812E-2</v>
      </c>
      <c r="F9" s="586">
        <f t="shared" si="0"/>
        <v>7.7512302636888505E-2</v>
      </c>
      <c r="G9" s="585">
        <v>0.08</v>
      </c>
      <c r="H9" s="585">
        <f>G9*(1.05)</f>
        <v>8.4000000000000005E-2</v>
      </c>
      <c r="I9" s="585">
        <f>H9*(1.05)</f>
        <v>8.8200000000000014E-2</v>
      </c>
      <c r="J9" s="585">
        <f>I9*(1.05)</f>
        <v>9.2610000000000026E-2</v>
      </c>
      <c r="K9" s="587">
        <f>J9*(1.05)</f>
        <v>9.7240500000000035E-2</v>
      </c>
      <c r="L9" s="585">
        <f>K9*(1+K26+K28)</f>
        <v>0.10096805250000003</v>
      </c>
      <c r="M9" s="585">
        <f>L9*(1+K27-K28)</f>
        <v>0.10366053390000003</v>
      </c>
      <c r="N9" s="587">
        <f>M9*(1+K27)</f>
        <v>0.10521544190850002</v>
      </c>
      <c r="O9" s="544"/>
      <c r="P9" s="543"/>
      <c r="Q9" s="543"/>
      <c r="R9" s="543"/>
      <c r="S9" s="543"/>
      <c r="T9" s="543"/>
      <c r="U9" s="543"/>
      <c r="V9" s="543"/>
      <c r="W9" s="543"/>
      <c r="X9" s="543"/>
      <c r="Y9" s="543"/>
      <c r="Z9" s="543"/>
      <c r="AA9" s="544"/>
      <c r="AB9" s="544"/>
      <c r="AC9" s="544"/>
      <c r="AD9" s="544"/>
      <c r="AE9" s="544"/>
      <c r="AF9" s="544"/>
      <c r="AG9" s="544"/>
      <c r="AH9" s="544"/>
      <c r="AI9" s="544"/>
    </row>
    <row r="10" spans="1:35" s="542" customFormat="1">
      <c r="A10" s="544"/>
      <c r="B10" s="544"/>
      <c r="C10" s="544"/>
      <c r="D10" s="544"/>
      <c r="E10" s="544"/>
      <c r="F10" s="509"/>
      <c r="G10" s="544"/>
      <c r="H10" s="544"/>
      <c r="I10" s="544"/>
      <c r="J10" s="544"/>
      <c r="K10" s="509"/>
      <c r="L10" s="544"/>
      <c r="M10" s="544"/>
      <c r="N10" s="509"/>
      <c r="O10" s="544"/>
      <c r="P10" s="543"/>
      <c r="Q10" s="543"/>
      <c r="R10" s="543"/>
      <c r="S10" s="543"/>
      <c r="T10" s="543"/>
      <c r="U10" s="543"/>
      <c r="V10" s="543"/>
      <c r="W10" s="543"/>
      <c r="X10" s="543"/>
      <c r="Y10" s="543"/>
      <c r="Z10" s="543"/>
      <c r="AA10" s="544"/>
      <c r="AB10" s="544"/>
      <c r="AC10" s="544"/>
      <c r="AD10" s="544"/>
      <c r="AE10" s="544"/>
      <c r="AF10" s="544"/>
      <c r="AG10" s="544"/>
      <c r="AH10" s="544"/>
      <c r="AI10" s="544"/>
    </row>
    <row r="11" spans="1:35" s="542" customFormat="1">
      <c r="A11" s="544" t="s">
        <v>689</v>
      </c>
      <c r="B11" s="544"/>
      <c r="C11" s="675">
        <f>(C9-B9)/B9</f>
        <v>0.21304226551066596</v>
      </c>
      <c r="D11" s="675">
        <f t="shared" ref="D11:N11" si="1">(D9-C9)/C9</f>
        <v>0.17647058823529416</v>
      </c>
      <c r="E11" s="675">
        <f t="shared" si="1"/>
        <v>0.21111111111111117</v>
      </c>
      <c r="F11" s="693">
        <f t="shared" si="1"/>
        <v>0.10550458715596313</v>
      </c>
      <c r="G11" s="675">
        <f t="shared" si="1"/>
        <v>3.2094226058091431E-2</v>
      </c>
      <c r="H11" s="675">
        <f>(H9-G9)/G9</f>
        <v>5.0000000000000044E-2</v>
      </c>
      <c r="I11" s="675">
        <f t="shared" si="1"/>
        <v>5.0000000000000107E-2</v>
      </c>
      <c r="J11" s="675">
        <f t="shared" si="1"/>
        <v>5.0000000000000121E-2</v>
      </c>
      <c r="K11" s="676">
        <f t="shared" si="1"/>
        <v>5.0000000000000093E-2</v>
      </c>
      <c r="L11" s="675">
        <f t="shared" si="1"/>
        <v>3.8333333333333268E-2</v>
      </c>
      <c r="M11" s="675">
        <f t="shared" si="1"/>
        <v>2.6666666666666679E-2</v>
      </c>
      <c r="N11" s="676">
        <f t="shared" si="1"/>
        <v>1.4999999999999861E-2</v>
      </c>
      <c r="O11" s="544"/>
      <c r="P11" s="543"/>
      <c r="Q11" s="543"/>
      <c r="R11" s="543"/>
      <c r="S11" s="543"/>
      <c r="T11" s="543"/>
      <c r="U11" s="543"/>
      <c r="V11" s="543"/>
      <c r="W11" s="543"/>
      <c r="X11" s="543"/>
      <c r="Y11" s="543"/>
      <c r="Z11" s="543"/>
      <c r="AA11" s="544"/>
      <c r="AB11" s="544"/>
      <c r="AC11" s="544"/>
      <c r="AD11" s="544"/>
      <c r="AE11" s="544"/>
      <c r="AF11" s="544"/>
      <c r="AG11" s="544"/>
      <c r="AH11" s="544"/>
      <c r="AI11" s="544"/>
    </row>
    <row r="12" spans="1:35" s="542" customFormat="1">
      <c r="A12" s="544" t="s">
        <v>539</v>
      </c>
      <c r="B12" s="511">
        <f>B8/'Reorganised Statements'!D114</f>
        <v>1.68</v>
      </c>
      <c r="C12" s="511">
        <f>C8/'Reorganised Statements'!E114</f>
        <v>0.65948275862068961</v>
      </c>
      <c r="D12" s="511">
        <f>D8/'Reorganised Statements'!F114</f>
        <v>0.61433447098976113</v>
      </c>
      <c r="E12" s="511">
        <f>E8/'Reorganised Statements'!G114</f>
        <v>0.63372093023255816</v>
      </c>
      <c r="F12" s="534">
        <f>F8/'Reorganised Statements'!H114</f>
        <v>0.61953727506426737</v>
      </c>
      <c r="G12" s="544"/>
      <c r="H12" s="544"/>
      <c r="I12" s="544"/>
      <c r="J12" s="544"/>
      <c r="K12" s="509"/>
      <c r="L12" s="544"/>
      <c r="M12" s="544"/>
      <c r="N12" s="509"/>
      <c r="O12" s="544"/>
      <c r="P12" s="543"/>
      <c r="Q12" s="543"/>
      <c r="R12" s="543"/>
      <c r="S12" s="543"/>
      <c r="T12" s="543"/>
      <c r="U12" s="543"/>
      <c r="V12" s="543"/>
      <c r="W12" s="543"/>
      <c r="X12" s="543"/>
      <c r="Y12" s="543"/>
      <c r="Z12" s="543"/>
      <c r="AA12" s="544"/>
      <c r="AB12" s="544"/>
      <c r="AC12" s="544"/>
      <c r="AD12" s="544"/>
      <c r="AE12" s="544"/>
      <c r="AF12" s="544"/>
      <c r="AG12" s="544"/>
      <c r="AH12" s="544"/>
      <c r="AI12" s="544"/>
    </row>
    <row r="13" spans="1:35" s="542" customFormat="1">
      <c r="A13" s="105"/>
      <c r="B13" s="105"/>
      <c r="C13" s="105"/>
      <c r="D13" s="105"/>
      <c r="E13" s="105"/>
      <c r="F13" s="103"/>
      <c r="G13" s="105"/>
      <c r="H13" s="105"/>
      <c r="I13" s="105"/>
      <c r="J13" s="105"/>
      <c r="K13" s="103"/>
      <c r="L13" s="105"/>
      <c r="M13" s="105"/>
      <c r="N13" s="103"/>
      <c r="O13" s="105"/>
      <c r="P13" s="105"/>
      <c r="Q13" s="105"/>
      <c r="R13" s="105"/>
      <c r="S13" s="543"/>
      <c r="T13" s="543"/>
      <c r="U13" s="543"/>
      <c r="V13" s="543"/>
      <c r="W13" s="543"/>
      <c r="X13" s="543"/>
      <c r="Y13" s="543"/>
      <c r="Z13" s="543"/>
      <c r="AA13" s="544"/>
      <c r="AB13" s="544"/>
      <c r="AC13" s="544"/>
      <c r="AD13" s="544"/>
      <c r="AE13" s="544"/>
      <c r="AF13" s="544"/>
      <c r="AG13" s="544"/>
      <c r="AH13" s="544"/>
      <c r="AI13" s="544"/>
    </row>
    <row r="14" spans="1:35" s="542" customFormat="1">
      <c r="A14" s="544" t="s">
        <v>397</v>
      </c>
      <c r="B14" s="544"/>
      <c r="C14" s="544"/>
      <c r="D14" s="544"/>
      <c r="E14" s="544"/>
      <c r="F14" s="509"/>
      <c r="G14" s="510">
        <f>'WACC '!F57</f>
        <v>7.081621334662673E-2</v>
      </c>
      <c r="H14" s="510">
        <f>G14</f>
        <v>7.081621334662673E-2</v>
      </c>
      <c r="I14" s="510">
        <f t="shared" ref="I14:K14" si="2">H14</f>
        <v>7.081621334662673E-2</v>
      </c>
      <c r="J14" s="510">
        <f t="shared" si="2"/>
        <v>7.081621334662673E-2</v>
      </c>
      <c r="K14" s="628">
        <f t="shared" si="2"/>
        <v>7.081621334662673E-2</v>
      </c>
      <c r="L14" s="511">
        <f>H26+H28</f>
        <v>6.5145556936978169E-2</v>
      </c>
      <c r="M14" s="511">
        <f>L14+H28</f>
        <v>5.9474900527329608E-2</v>
      </c>
      <c r="N14" s="628">
        <f>H23</f>
        <v>5.3804244117681047E-2</v>
      </c>
      <c r="O14" s="510">
        <f>N14</f>
        <v>5.3804244117681047E-2</v>
      </c>
      <c r="P14" s="543"/>
      <c r="Q14" s="543"/>
      <c r="R14" s="543"/>
      <c r="S14" s="543"/>
      <c r="T14" s="543"/>
      <c r="U14" s="543"/>
      <c r="V14" s="543"/>
      <c r="W14" s="543"/>
      <c r="X14" s="543"/>
      <c r="Y14" s="543"/>
      <c r="Z14" s="543"/>
      <c r="AA14" s="544"/>
      <c r="AB14" s="544"/>
      <c r="AC14" s="544"/>
      <c r="AD14" s="544"/>
      <c r="AE14" s="544"/>
      <c r="AF14" s="544"/>
      <c r="AG14" s="544"/>
      <c r="AH14" s="544"/>
      <c r="AI14" s="544"/>
    </row>
    <row r="15" spans="1:35" s="542" customFormat="1">
      <c r="A15" s="544" t="s">
        <v>631</v>
      </c>
      <c r="B15" s="544"/>
      <c r="C15" s="544"/>
      <c r="D15" s="544"/>
      <c r="E15" s="544"/>
      <c r="F15" s="509"/>
      <c r="G15" s="621">
        <f>G9/(1+G14)</f>
        <v>7.4709365624914884E-2</v>
      </c>
      <c r="H15" s="621">
        <f>H9/POWER(1+G15,2)</f>
        <v>7.2727258839079739E-2</v>
      </c>
      <c r="I15" s="621">
        <f>I9/POWER(1+G15,3)</f>
        <v>7.1055137531652865E-2</v>
      </c>
      <c r="J15" s="621">
        <f>J9/POWER(1+J14,4)</f>
        <v>7.0436558948986039E-2</v>
      </c>
      <c r="K15" s="622">
        <f>K9/(POWER(1+K14,5))</f>
        <v>6.9067302095933758E-2</v>
      </c>
      <c r="L15" s="584">
        <f>L9/((1+L14)*POWER(1+K14,5))</f>
        <v>6.7328715350266827E-2</v>
      </c>
      <c r="M15" s="584">
        <f>M9/((1+M14)*(1+L14)*POWER(1+K14,5))</f>
        <v>6.5243780409712668E-2</v>
      </c>
      <c r="N15" s="586">
        <f>N9/((1+N14)*(1+M14)*(1+L14)*POWER(1+K14,5))</f>
        <v>6.2841308037532559E-2</v>
      </c>
      <c r="O15" s="544">
        <f>N15*(1+K27)/(H27-H22)/((1+N14)*(1+M14)*(1+L14)*POWER(1+K14,5))</f>
        <v>0.98174288649271235</v>
      </c>
      <c r="P15" s="543"/>
      <c r="Q15" s="543"/>
      <c r="R15" s="543"/>
      <c r="S15" s="543"/>
      <c r="T15" s="543"/>
      <c r="U15" s="543"/>
      <c r="V15" s="543"/>
      <c r="W15" s="543"/>
      <c r="X15" s="543"/>
      <c r="Y15" s="543"/>
      <c r="Z15" s="543"/>
      <c r="AA15" s="544"/>
      <c r="AB15" s="544"/>
      <c r="AC15" s="544"/>
      <c r="AD15" s="544"/>
      <c r="AE15" s="544"/>
      <c r="AF15" s="544"/>
      <c r="AG15" s="544"/>
      <c r="AH15" s="544"/>
      <c r="AI15" s="544"/>
    </row>
    <row r="16" spans="1:35" s="542" customFormat="1">
      <c r="A16" s="544"/>
      <c r="B16" s="544"/>
      <c r="C16" s="544"/>
      <c r="D16" s="544"/>
      <c r="E16" s="544"/>
      <c r="F16" s="544"/>
      <c r="G16" s="544"/>
      <c r="H16" s="544"/>
      <c r="I16" s="544"/>
      <c r="J16" s="544"/>
      <c r="K16" s="544"/>
      <c r="L16" s="544"/>
      <c r="M16" s="544"/>
      <c r="N16" s="544"/>
      <c r="O16" s="544"/>
      <c r="P16" s="543"/>
      <c r="Q16" s="543"/>
      <c r="R16" s="543"/>
      <c r="S16" s="543"/>
      <c r="T16" s="543"/>
      <c r="U16" s="543"/>
      <c r="V16" s="543"/>
      <c r="W16" s="543"/>
      <c r="X16" s="543"/>
      <c r="Y16" s="543"/>
      <c r="Z16" s="543"/>
      <c r="AA16" s="544"/>
      <c r="AB16" s="544"/>
      <c r="AC16" s="544"/>
      <c r="AD16" s="544"/>
      <c r="AE16" s="544"/>
      <c r="AF16" s="544"/>
      <c r="AG16" s="544"/>
      <c r="AH16" s="544"/>
      <c r="AI16" s="544"/>
    </row>
    <row r="17" spans="1:35" s="542" customFormat="1">
      <c r="A17" s="544"/>
      <c r="B17" s="544"/>
      <c r="C17" s="544"/>
      <c r="D17" s="544"/>
      <c r="E17" s="544"/>
      <c r="F17" s="544"/>
      <c r="G17" s="544"/>
      <c r="H17" s="544"/>
      <c r="I17" s="544"/>
      <c r="J17" s="544"/>
      <c r="K17" s="544"/>
      <c r="L17" s="544"/>
      <c r="M17" s="544"/>
      <c r="N17" s="544"/>
      <c r="O17" s="544"/>
      <c r="P17" s="543"/>
      <c r="Q17" s="543"/>
      <c r="R17" s="543"/>
      <c r="S17" s="543"/>
      <c r="T17" s="543"/>
      <c r="U17" s="543"/>
      <c r="V17" s="543"/>
      <c r="W17" s="543"/>
      <c r="X17" s="543"/>
      <c r="Y17" s="543"/>
      <c r="Z17" s="543"/>
      <c r="AA17" s="544"/>
      <c r="AB17" s="544"/>
      <c r="AC17" s="544"/>
      <c r="AD17" s="544"/>
      <c r="AE17" s="544"/>
      <c r="AF17" s="544"/>
      <c r="AG17" s="544"/>
      <c r="AH17" s="544"/>
      <c r="AI17" s="544"/>
    </row>
    <row r="18" spans="1:35" ht="15" thickBo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>
      <c r="A19" s="55"/>
      <c r="B19" s="55"/>
      <c r="C19" s="55"/>
      <c r="D19" s="55"/>
      <c r="E19" s="55"/>
      <c r="F19" s="55"/>
      <c r="G19" s="55"/>
      <c r="H19" s="55"/>
      <c r="I19" s="55"/>
      <c r="J19" s="525" t="s">
        <v>564</v>
      </c>
      <c r="K19" s="301"/>
      <c r="L19" s="301"/>
      <c r="M19" s="298"/>
      <c r="N19" s="55"/>
      <c r="O19" s="5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>
      <c r="A20" s="55"/>
      <c r="B20" s="55"/>
      <c r="C20" s="55"/>
      <c r="D20" s="55"/>
      <c r="E20" s="55"/>
      <c r="F20" s="105" t="s">
        <v>547</v>
      </c>
      <c r="G20" s="105"/>
      <c r="H20" s="105"/>
      <c r="I20" s="55"/>
      <c r="J20" s="262" t="s">
        <v>544</v>
      </c>
      <c r="K20" s="55"/>
      <c r="L20" s="509"/>
      <c r="M20" s="674">
        <f>G15+H15+I15+J15+K15</f>
        <v>0.35799562304056731</v>
      </c>
      <c r="N20" s="55"/>
      <c r="O20" s="5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>
      <c r="A21" s="55"/>
      <c r="B21" s="55"/>
      <c r="C21" s="55"/>
      <c r="D21" s="55"/>
      <c r="E21" s="55"/>
      <c r="F21" s="55" t="s">
        <v>542</v>
      </c>
      <c r="G21" s="55"/>
      <c r="H21" s="510">
        <f>1-(H22/H23)</f>
        <v>0.72121158384472639</v>
      </c>
      <c r="I21" s="55"/>
      <c r="J21" s="262" t="s">
        <v>555</v>
      </c>
      <c r="K21" s="55"/>
      <c r="L21" s="509"/>
      <c r="M21" s="692">
        <f>L15+M15+N15</f>
        <v>0.19541380379751205</v>
      </c>
      <c r="N21" s="55"/>
      <c r="O21" s="5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55"/>
      <c r="AB21" s="55"/>
      <c r="AC21" s="55"/>
      <c r="AD21" s="55"/>
      <c r="AE21" s="55"/>
      <c r="AF21" s="55"/>
      <c r="AG21" s="55"/>
      <c r="AH21" s="55"/>
      <c r="AI21" s="55"/>
    </row>
    <row r="22" spans="1:35">
      <c r="A22" s="55"/>
      <c r="B22" s="55"/>
      <c r="C22" s="55"/>
      <c r="D22" s="55"/>
      <c r="E22" s="55"/>
      <c r="F22" s="55" t="s">
        <v>543</v>
      </c>
      <c r="G22" s="55"/>
      <c r="H22" s="510">
        <f>1.5 %</f>
        <v>1.4999999999999999E-2</v>
      </c>
      <c r="I22" s="55"/>
      <c r="J22" s="288" t="s">
        <v>545</v>
      </c>
      <c r="K22" s="105"/>
      <c r="L22" s="103"/>
      <c r="M22" s="674">
        <f>O15</f>
        <v>0.98174288649271235</v>
      </c>
      <c r="N22" s="55"/>
      <c r="O22" s="5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ht="15" thickBot="1">
      <c r="A23" s="55"/>
      <c r="B23" s="55"/>
      <c r="C23" s="55"/>
      <c r="D23" s="55"/>
      <c r="E23" s="55"/>
      <c r="F23" s="55" t="s">
        <v>548</v>
      </c>
      <c r="G23" s="55"/>
      <c r="H23" s="511">
        <f>'WACC '!E63</f>
        <v>5.3804244117681047E-2</v>
      </c>
      <c r="I23" s="55"/>
      <c r="J23" s="274" t="s">
        <v>546</v>
      </c>
      <c r="K23" s="526"/>
      <c r="L23" s="527"/>
      <c r="M23" s="643">
        <f>M20+M22</f>
        <v>1.3397385095332797</v>
      </c>
      <c r="N23" s="55"/>
      <c r="O23" s="5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>
      <c r="A25" s="55"/>
      <c r="B25" s="55"/>
      <c r="C25" s="55"/>
      <c r="D25" s="55"/>
      <c r="E25" s="55"/>
      <c r="F25" s="105" t="s">
        <v>556</v>
      </c>
      <c r="G25" s="105"/>
      <c r="H25" s="105"/>
      <c r="I25" s="105"/>
      <c r="J25" s="105"/>
      <c r="K25" s="105"/>
      <c r="L25" s="55"/>
      <c r="M25" s="55"/>
      <c r="N25" s="55"/>
      <c r="O25" s="5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5"/>
      <c r="AB25" s="55"/>
      <c r="AC25" s="55"/>
      <c r="AD25" s="55"/>
      <c r="AE25" s="55"/>
      <c r="AF25" s="55"/>
      <c r="AG25" s="55"/>
      <c r="AH25" s="55"/>
      <c r="AI25" s="55"/>
    </row>
    <row r="26" spans="1:35">
      <c r="A26" s="55"/>
      <c r="B26" s="55"/>
      <c r="C26" s="55"/>
      <c r="D26" s="55"/>
      <c r="E26" s="55"/>
      <c r="F26" s="55" t="s">
        <v>557</v>
      </c>
      <c r="G26" s="522"/>
      <c r="H26" s="523">
        <f>G14</f>
        <v>7.081621334662673E-2</v>
      </c>
      <c r="I26" s="55" t="s">
        <v>558</v>
      </c>
      <c r="J26" s="522"/>
      <c r="K26" s="510">
        <f>K11</f>
        <v>5.0000000000000093E-2</v>
      </c>
      <c r="L26" s="55"/>
      <c r="M26" s="55"/>
      <c r="N26" s="55"/>
      <c r="O26" s="51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>
      <c r="A27" s="55"/>
      <c r="B27" s="55"/>
      <c r="C27" s="55"/>
      <c r="D27" s="55"/>
      <c r="E27" s="55"/>
      <c r="F27" s="55" t="s">
        <v>559</v>
      </c>
      <c r="G27" s="509"/>
      <c r="H27" s="524">
        <f>N14</f>
        <v>5.3804244117681047E-2</v>
      </c>
      <c r="I27" s="55" t="s">
        <v>561</v>
      </c>
      <c r="J27" s="509"/>
      <c r="K27" s="510">
        <f>H22</f>
        <v>1.4999999999999999E-2</v>
      </c>
      <c r="L27" s="55"/>
      <c r="M27" s="55"/>
      <c r="N27" s="55"/>
      <c r="O27" s="5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5"/>
      <c r="AB27" s="55"/>
      <c r="AC27" s="55"/>
      <c r="AD27" s="55"/>
      <c r="AE27" s="55"/>
      <c r="AF27" s="55"/>
      <c r="AG27" s="55"/>
      <c r="AH27" s="55"/>
      <c r="AI27" s="55"/>
    </row>
    <row r="28" spans="1:35">
      <c r="A28" s="55"/>
      <c r="B28" s="55"/>
      <c r="C28" s="55"/>
      <c r="D28" s="55"/>
      <c r="E28" s="55"/>
      <c r="F28" s="55" t="s">
        <v>560</v>
      </c>
      <c r="G28" s="509"/>
      <c r="H28" s="524">
        <f>(N14-K14)/3</f>
        <v>-5.6706564096485612E-3</v>
      </c>
      <c r="I28" s="55" t="s">
        <v>562</v>
      </c>
      <c r="J28" s="509"/>
      <c r="K28" s="511">
        <f>(K27-K26)/3</f>
        <v>-1.1666666666666698E-2</v>
      </c>
      <c r="L28" s="55"/>
      <c r="M28" s="55"/>
      <c r="N28" s="55"/>
      <c r="O28" s="5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5"/>
      <c r="AB28" s="55"/>
      <c r="AC28" s="55"/>
      <c r="AD28" s="55"/>
      <c r="AE28" s="55"/>
      <c r="AF28" s="55"/>
      <c r="AG28" s="55"/>
      <c r="AH28" s="55"/>
      <c r="AI28" s="55"/>
    </row>
    <row r="29" spans="1:3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5"/>
      <c r="AB29" s="55"/>
      <c r="AC29" s="55"/>
      <c r="AD29" s="55"/>
      <c r="AE29" s="55"/>
      <c r="AF29" s="55"/>
      <c r="AG29" s="55"/>
      <c r="AH29" s="55"/>
      <c r="AI29" s="55"/>
    </row>
    <row r="30" spans="1:35">
      <c r="A30" s="55"/>
      <c r="B30" s="55"/>
      <c r="C30" s="55"/>
      <c r="D30" s="104"/>
      <c r="E30" s="104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5"/>
      <c r="AB30" s="55"/>
      <c r="AC30" s="55"/>
      <c r="AD30" s="104"/>
      <c r="AE30" s="55"/>
      <c r="AF30" s="55"/>
      <c r="AG30" s="55"/>
      <c r="AH30" s="55"/>
      <c r="AI30" s="55"/>
    </row>
    <row r="31" spans="1:35" s="542" customFormat="1" ht="15" thickBot="1">
      <c r="A31" s="544"/>
      <c r="B31" s="544"/>
      <c r="C31" s="544"/>
      <c r="D31" s="104"/>
      <c r="E31" s="104"/>
      <c r="F31" s="544"/>
      <c r="G31" s="544"/>
      <c r="H31" s="544"/>
      <c r="I31" s="544"/>
      <c r="J31" s="544"/>
      <c r="K31" s="544"/>
      <c r="L31" s="544"/>
      <c r="M31" s="544"/>
      <c r="N31" s="544"/>
      <c r="O31" s="544"/>
      <c r="P31" s="543"/>
      <c r="Q31" s="543"/>
      <c r="R31" s="543"/>
      <c r="S31" s="543"/>
      <c r="T31" s="543"/>
      <c r="U31" s="543"/>
      <c r="V31" s="543"/>
      <c r="W31" s="543"/>
      <c r="X31" s="543"/>
      <c r="Y31" s="543"/>
      <c r="Z31" s="543"/>
      <c r="AA31" s="544"/>
      <c r="AB31" s="544"/>
      <c r="AC31" s="544"/>
      <c r="AD31" s="104"/>
      <c r="AE31" s="544"/>
      <c r="AF31" s="544"/>
      <c r="AG31" s="544"/>
      <c r="AH31" s="544"/>
      <c r="AI31" s="544"/>
    </row>
    <row r="32" spans="1:35" s="542" customFormat="1" ht="15" thickBot="1">
      <c r="A32" s="588" t="s">
        <v>551</v>
      </c>
      <c r="B32" s="517" t="s">
        <v>526</v>
      </c>
      <c r="C32" s="105"/>
      <c r="D32" s="521"/>
      <c r="E32" s="521"/>
      <c r="F32" s="103"/>
      <c r="G32" s="105" t="s">
        <v>525</v>
      </c>
      <c r="H32" s="105"/>
      <c r="I32" s="105"/>
      <c r="J32" s="105"/>
      <c r="K32" s="103"/>
      <c r="L32" s="105" t="s">
        <v>589</v>
      </c>
      <c r="M32" s="103"/>
      <c r="N32" s="544"/>
      <c r="O32" s="544"/>
      <c r="P32" s="543"/>
      <c r="Q32" s="543"/>
      <c r="R32" s="543"/>
      <c r="S32" s="543"/>
      <c r="T32" s="543"/>
      <c r="U32" s="543"/>
      <c r="V32" s="600" t="s">
        <v>420</v>
      </c>
      <c r="W32" s="301"/>
      <c r="X32" s="301"/>
      <c r="Y32" s="301"/>
      <c r="Z32" s="301"/>
      <c r="AA32" s="301"/>
      <c r="AB32" s="298"/>
      <c r="AC32" s="544"/>
      <c r="AD32" s="104"/>
      <c r="AE32" s="544"/>
      <c r="AF32" s="544"/>
      <c r="AG32" s="544"/>
      <c r="AH32" s="544"/>
      <c r="AI32" s="544"/>
    </row>
    <row r="33" spans="1:35" s="542" customFormat="1">
      <c r="A33" s="535"/>
      <c r="B33" s="171">
        <v>2015</v>
      </c>
      <c r="C33" s="171">
        <v>2016</v>
      </c>
      <c r="D33" s="171">
        <v>2017</v>
      </c>
      <c r="E33" s="171">
        <v>2018</v>
      </c>
      <c r="F33" s="589">
        <v>2019</v>
      </c>
      <c r="G33" s="544">
        <v>2020</v>
      </c>
      <c r="H33" s="544">
        <v>2021</v>
      </c>
      <c r="I33" s="544">
        <v>2022</v>
      </c>
      <c r="J33" s="544">
        <v>2023</v>
      </c>
      <c r="K33" s="509">
        <v>2024</v>
      </c>
      <c r="L33" s="544"/>
      <c r="M33" s="509"/>
      <c r="N33" s="544"/>
      <c r="O33" s="544"/>
      <c r="P33" s="543"/>
      <c r="Q33" s="543"/>
      <c r="R33" s="543"/>
      <c r="S33" s="543"/>
      <c r="T33" s="543"/>
      <c r="U33" s="543"/>
      <c r="V33" s="262"/>
      <c r="W33" s="544"/>
      <c r="X33" s="544"/>
      <c r="Y33" s="544"/>
      <c r="Z33" s="544"/>
      <c r="AA33" s="544"/>
      <c r="AB33" s="291"/>
      <c r="AC33" s="544"/>
      <c r="AD33" s="104"/>
      <c r="AE33" s="544"/>
      <c r="AF33" s="544"/>
      <c r="AG33" s="544"/>
      <c r="AH33" s="544"/>
      <c r="AI33" s="544"/>
    </row>
    <row r="34" spans="1:35" s="542" customFormat="1">
      <c r="A34" s="509"/>
      <c r="B34" s="544"/>
      <c r="C34" s="544"/>
      <c r="D34" s="104"/>
      <c r="E34" s="104"/>
      <c r="F34" s="509"/>
      <c r="G34" s="544"/>
      <c r="H34" s="544"/>
      <c r="I34" s="544"/>
      <c r="J34" s="544"/>
      <c r="K34" s="509"/>
      <c r="L34" s="544"/>
      <c r="M34" s="509"/>
      <c r="N34" s="544"/>
      <c r="O34" s="544"/>
      <c r="P34" s="543"/>
      <c r="Q34" s="543"/>
      <c r="R34" s="543"/>
      <c r="S34" s="543"/>
      <c r="T34" s="543"/>
      <c r="U34" s="543"/>
      <c r="V34" s="262" t="s">
        <v>638</v>
      </c>
      <c r="W34" s="544"/>
      <c r="X34" s="544"/>
      <c r="Y34" s="544"/>
      <c r="Z34" s="511">
        <f>E38/E37</f>
        <v>3.5560516664008932E-2</v>
      </c>
      <c r="AA34" s="511">
        <f>F38/F37</f>
        <v>2.8362819432743613E-2</v>
      </c>
      <c r="AB34" s="291"/>
      <c r="AC34" s="544"/>
      <c r="AD34" s="104"/>
      <c r="AE34" s="544"/>
      <c r="AF34" s="544"/>
      <c r="AG34" s="544"/>
      <c r="AH34" s="544"/>
      <c r="AI34" s="544"/>
    </row>
    <row r="35" spans="1:35" s="542" customFormat="1">
      <c r="A35" s="509" t="s">
        <v>552</v>
      </c>
      <c r="B35" s="544">
        <f>'Reorganised Statements'!D53</f>
        <v>3947</v>
      </c>
      <c r="C35" s="544">
        <f>'Reorganised Statements'!E53</f>
        <v>3734</v>
      </c>
      <c r="D35" s="544">
        <f>'Reorganised Statements'!F53</f>
        <v>4633</v>
      </c>
      <c r="E35" s="544">
        <f>'Reorganised Statements'!G53</f>
        <v>5268</v>
      </c>
      <c r="F35" s="509">
        <f>'Reorganised Statements'!H53</f>
        <v>6046</v>
      </c>
      <c r="G35" s="544"/>
      <c r="H35" s="544"/>
      <c r="I35" s="544"/>
      <c r="J35" s="544"/>
      <c r="K35" s="509"/>
      <c r="L35" s="544"/>
      <c r="M35" s="509"/>
      <c r="N35" s="544"/>
      <c r="O35" s="544"/>
      <c r="P35" s="543"/>
      <c r="Q35" s="543"/>
      <c r="R35" s="543"/>
      <c r="S35" s="543"/>
      <c r="T35" s="543"/>
      <c r="U35" s="543"/>
      <c r="V35" s="262" t="s">
        <v>640</v>
      </c>
      <c r="W35" s="544"/>
      <c r="X35" s="544"/>
      <c r="Y35" s="544"/>
      <c r="Z35" s="510">
        <f>AVERAGE(Z34,AA34)</f>
        <v>3.1961668048376274E-2</v>
      </c>
      <c r="AA35" s="544"/>
      <c r="AB35" s="291"/>
      <c r="AC35" s="544"/>
      <c r="AD35" s="104"/>
      <c r="AE35" s="544"/>
      <c r="AF35" s="544"/>
      <c r="AG35" s="544"/>
      <c r="AH35" s="544"/>
      <c r="AI35" s="544"/>
    </row>
    <row r="36" spans="1:35" s="542" customFormat="1">
      <c r="A36" s="103" t="s">
        <v>169</v>
      </c>
      <c r="B36" s="544">
        <f>'Reorganised Statements'!D54</f>
        <v>785</v>
      </c>
      <c r="C36" s="544">
        <f>'Reorganised Statements'!E54</f>
        <v>847</v>
      </c>
      <c r="D36" s="544">
        <f>'Reorganised Statements'!F54</f>
        <v>957</v>
      </c>
      <c r="E36" s="544">
        <f>'Reorganised Statements'!G54</f>
        <v>1003</v>
      </c>
      <c r="F36" s="509">
        <f>'Reorganised Statements'!H54</f>
        <v>1076</v>
      </c>
      <c r="G36" s="544"/>
      <c r="H36" s="544"/>
      <c r="I36" s="544"/>
      <c r="J36" s="544"/>
      <c r="K36" s="509"/>
      <c r="L36" s="544"/>
      <c r="M36" s="509"/>
      <c r="N36" s="544"/>
      <c r="O36" s="544"/>
      <c r="P36" s="543"/>
      <c r="Q36" s="543"/>
      <c r="R36" s="543"/>
      <c r="S36" s="543"/>
      <c r="T36" s="543"/>
      <c r="U36" s="543"/>
      <c r="V36" s="262"/>
      <c r="W36" s="544"/>
      <c r="X36" s="544"/>
      <c r="Y36" s="544"/>
      <c r="Z36" s="544"/>
      <c r="AA36" s="544"/>
      <c r="AB36" s="291"/>
      <c r="AC36" s="544"/>
      <c r="AD36" s="104"/>
      <c r="AE36" s="544"/>
      <c r="AF36" s="544"/>
      <c r="AG36" s="544"/>
      <c r="AH36" s="544"/>
      <c r="AI36" s="544"/>
    </row>
    <row r="37" spans="1:35" s="542" customFormat="1">
      <c r="A37" s="569" t="s">
        <v>632</v>
      </c>
      <c r="B37" s="104">
        <f>B35+B36</f>
        <v>4732</v>
      </c>
      <c r="C37" s="104">
        <f t="shared" ref="C37:F37" si="3">C35+C36</f>
        <v>4581</v>
      </c>
      <c r="D37" s="104">
        <f t="shared" si="3"/>
        <v>5590</v>
      </c>
      <c r="E37" s="104">
        <f t="shared" si="3"/>
        <v>6271</v>
      </c>
      <c r="F37" s="568">
        <f t="shared" si="3"/>
        <v>7122</v>
      </c>
      <c r="G37" s="104">
        <f>G52/G53</f>
        <v>7229.9878811512444</v>
      </c>
      <c r="H37" s="104">
        <f t="shared" ref="H37:K37" si="4">H52/H53</f>
        <v>7339.613136983131</v>
      </c>
      <c r="I37" s="104">
        <f t="shared" si="4"/>
        <v>7450.9005943171169</v>
      </c>
      <c r="J37" s="104">
        <f t="shared" si="4"/>
        <v>7563.8754564132787</v>
      </c>
      <c r="K37" s="568">
        <f t="shared" si="4"/>
        <v>7675.7218275645055</v>
      </c>
      <c r="L37" s="544"/>
      <c r="M37" s="509"/>
      <c r="N37" s="544"/>
      <c r="O37" s="544"/>
      <c r="P37" s="543"/>
      <c r="Q37" s="543"/>
      <c r="R37" s="543"/>
      <c r="S37" s="543"/>
      <c r="T37" s="543"/>
      <c r="U37" s="543"/>
      <c r="V37" s="262" t="s">
        <v>639</v>
      </c>
      <c r="W37" s="544"/>
      <c r="X37" s="544"/>
      <c r="Y37" s="544"/>
      <c r="Z37" s="511">
        <f>-D42/D37</f>
        <v>0.50644007155635062</v>
      </c>
      <c r="AA37" s="511">
        <f t="shared" ref="AA37:AB37" si="5">-E42/E37</f>
        <v>0.53356721416042097</v>
      </c>
      <c r="AB37" s="601">
        <f t="shared" si="5"/>
        <v>0.56220162875596746</v>
      </c>
      <c r="AC37" s="512"/>
      <c r="AD37" s="512"/>
      <c r="AE37" s="544"/>
      <c r="AF37" s="544"/>
      <c r="AG37" s="544"/>
      <c r="AH37" s="544"/>
      <c r="AI37" s="544"/>
    </row>
    <row r="38" spans="1:35" s="542" customFormat="1">
      <c r="A38" s="103" t="s">
        <v>173</v>
      </c>
      <c r="B38" s="105">
        <f>'Reorganised Statements'!D56</f>
        <v>189</v>
      </c>
      <c r="C38" s="105">
        <f>'Reorganised Statements'!E56</f>
        <v>279</v>
      </c>
      <c r="D38" s="105">
        <f>'Reorganised Statements'!F56</f>
        <v>206</v>
      </c>
      <c r="E38" s="105">
        <f>'Reorganised Statements'!G56</f>
        <v>223</v>
      </c>
      <c r="F38" s="103">
        <f>'Reorganised Statements'!H56</f>
        <v>202</v>
      </c>
      <c r="G38" s="105">
        <f>Z35*G37</f>
        <v>231.0824726511394</v>
      </c>
      <c r="H38" s="105">
        <f>Z35*H37</f>
        <v>234.58627868775648</v>
      </c>
      <c r="I38" s="105">
        <f>Z35*I37</f>
        <v>238.14321145701319</v>
      </c>
      <c r="J38" s="105">
        <f>Z35*J37</f>
        <v>241.7540764971418</v>
      </c>
      <c r="K38" s="103">
        <f>Z35*K37</f>
        <v>245.32887308429278</v>
      </c>
      <c r="L38" s="544"/>
      <c r="M38" s="509"/>
      <c r="N38" s="544"/>
      <c r="O38" s="544"/>
      <c r="P38" s="543"/>
      <c r="Q38" s="543"/>
      <c r="R38" s="543"/>
      <c r="S38" s="543"/>
      <c r="T38" s="543"/>
      <c r="U38" s="543"/>
      <c r="V38" s="262" t="s">
        <v>643</v>
      </c>
      <c r="W38" s="544"/>
      <c r="X38" s="544"/>
      <c r="Y38" s="544"/>
      <c r="Z38" s="510">
        <f>AVERAGE(Z37:AB37)</f>
        <v>0.53406963815757968</v>
      </c>
      <c r="AA38" s="544"/>
      <c r="AB38" s="291"/>
      <c r="AC38" s="544"/>
      <c r="AD38" s="104"/>
      <c r="AE38" s="544"/>
      <c r="AF38" s="544"/>
      <c r="AG38" s="544"/>
      <c r="AH38" s="544"/>
      <c r="AI38" s="544"/>
    </row>
    <row r="39" spans="1:35" s="542" customFormat="1">
      <c r="A39" s="568" t="s">
        <v>482</v>
      </c>
      <c r="B39" s="104">
        <f>B35+B36+B38</f>
        <v>4921</v>
      </c>
      <c r="C39" s="104">
        <f t="shared" ref="C39:F39" si="6">C35+C36+C38</f>
        <v>4860</v>
      </c>
      <c r="D39" s="104">
        <f t="shared" si="6"/>
        <v>5796</v>
      </c>
      <c r="E39" s="104">
        <f t="shared" si="6"/>
        <v>6494</v>
      </c>
      <c r="F39" s="568">
        <f t="shared" si="6"/>
        <v>7324</v>
      </c>
      <c r="G39" s="104">
        <f>G37+G38</f>
        <v>7461.0703538023836</v>
      </c>
      <c r="H39" s="104">
        <f t="shared" ref="H39:K39" si="7">H37+H38</f>
        <v>7574.1994156708879</v>
      </c>
      <c r="I39" s="104">
        <f t="shared" si="7"/>
        <v>7689.0438057741303</v>
      </c>
      <c r="J39" s="104">
        <f t="shared" si="7"/>
        <v>7805.6295329104205</v>
      </c>
      <c r="K39" s="568">
        <f t="shared" si="7"/>
        <v>7921.0507006487978</v>
      </c>
      <c r="L39" s="544"/>
      <c r="M39" s="509"/>
      <c r="N39" s="544"/>
      <c r="O39" s="544"/>
      <c r="P39" s="543"/>
      <c r="Q39" s="543"/>
      <c r="R39" s="543"/>
      <c r="S39" s="543"/>
      <c r="T39" s="543"/>
      <c r="U39" s="543"/>
      <c r="V39" s="262"/>
      <c r="W39" s="544"/>
      <c r="X39" s="544"/>
      <c r="Y39" s="544"/>
      <c r="Z39" s="544"/>
      <c r="AA39" s="544"/>
      <c r="AB39" s="291"/>
      <c r="AC39" s="544"/>
      <c r="AD39" s="104"/>
      <c r="AE39" s="544"/>
      <c r="AF39" s="544"/>
      <c r="AG39" s="544"/>
      <c r="AH39" s="544"/>
      <c r="AI39" s="544"/>
    </row>
    <row r="40" spans="1:35" s="542" customFormat="1">
      <c r="A40" s="509"/>
      <c r="B40" s="544"/>
      <c r="C40" s="544"/>
      <c r="D40" s="104"/>
      <c r="E40" s="104"/>
      <c r="F40" s="509"/>
      <c r="G40" s="544"/>
      <c r="H40" s="544"/>
      <c r="I40" s="544"/>
      <c r="J40" s="544"/>
      <c r="K40" s="509"/>
      <c r="L40" s="544"/>
      <c r="M40" s="509"/>
      <c r="N40" s="544"/>
      <c r="O40" s="544"/>
      <c r="P40" s="543"/>
      <c r="Q40" s="543"/>
      <c r="R40" s="543"/>
      <c r="S40" s="543"/>
      <c r="T40" s="543"/>
      <c r="U40" s="543"/>
      <c r="V40" s="262" t="s">
        <v>641</v>
      </c>
      <c r="W40" s="544"/>
      <c r="X40" s="544"/>
      <c r="Y40" s="544"/>
      <c r="Z40" s="511">
        <f>-D43/D37</f>
        <v>0.15205724508050089</v>
      </c>
      <c r="AA40" s="511">
        <f t="shared" ref="AA40:AB40" si="8">-E43/E37</f>
        <v>0.15723170148301707</v>
      </c>
      <c r="AB40" s="601">
        <f t="shared" si="8"/>
        <v>0.16175231676495366</v>
      </c>
      <c r="AC40" s="544"/>
      <c r="AD40" s="104"/>
      <c r="AE40" s="544"/>
      <c r="AF40" s="544"/>
      <c r="AG40" s="544"/>
      <c r="AH40" s="544"/>
      <c r="AI40" s="544"/>
    </row>
    <row r="41" spans="1:35" s="542" customFormat="1">
      <c r="A41" s="103" t="s">
        <v>553</v>
      </c>
      <c r="B41" s="544"/>
      <c r="C41" s="544"/>
      <c r="D41" s="104"/>
      <c r="E41" s="104"/>
      <c r="F41" s="509"/>
      <c r="G41" s="544"/>
      <c r="H41" s="544"/>
      <c r="I41" s="544"/>
      <c r="J41" s="544"/>
      <c r="K41" s="509"/>
      <c r="L41" s="544"/>
      <c r="M41" s="509"/>
      <c r="N41" s="544"/>
      <c r="O41" s="544"/>
      <c r="P41" s="543"/>
      <c r="Q41" s="543"/>
      <c r="R41" s="543"/>
      <c r="S41" s="543"/>
      <c r="T41" s="543"/>
      <c r="U41" s="543"/>
      <c r="V41" s="262" t="s">
        <v>643</v>
      </c>
      <c r="W41" s="544"/>
      <c r="X41" s="544"/>
      <c r="Y41" s="544"/>
      <c r="Z41" s="510">
        <f>AVERAGE(Z40:AB40)</f>
        <v>0.15701375444282387</v>
      </c>
      <c r="AA41" s="544"/>
      <c r="AB41" s="291"/>
      <c r="AC41" s="544"/>
      <c r="AD41" s="104"/>
      <c r="AE41" s="544"/>
      <c r="AF41" s="544"/>
      <c r="AG41" s="544"/>
      <c r="AH41" s="544"/>
      <c r="AI41" s="544"/>
    </row>
    <row r="42" spans="1:35" s="542" customFormat="1">
      <c r="A42" s="509" t="s">
        <v>177</v>
      </c>
      <c r="B42" s="544">
        <f>'Reorganised Statements'!D58</f>
        <v>-2286</v>
      </c>
      <c r="C42" s="544">
        <f>'Reorganised Statements'!E58</f>
        <v>-2101</v>
      </c>
      <c r="D42" s="544">
        <f>'Reorganised Statements'!F58</f>
        <v>-2831</v>
      </c>
      <c r="E42" s="544">
        <f>'Reorganised Statements'!G58</f>
        <v>-3346</v>
      </c>
      <c r="F42" s="509">
        <f>'Reorganised Statements'!H58</f>
        <v>-4004</v>
      </c>
      <c r="G42" s="544">
        <f>-Z38*G37</f>
        <v>-3861.3170115701314</v>
      </c>
      <c r="H42" s="544">
        <f>-Z38*H37</f>
        <v>-3919.8645322851989</v>
      </c>
      <c r="I42" s="544">
        <f>-Z38*I37</f>
        <v>-3979.2997843550379</v>
      </c>
      <c r="J42" s="544">
        <f>-Z38*J37</f>
        <v>-4039.6362280756375</v>
      </c>
      <c r="K42" s="509">
        <f>-Z38*K37</f>
        <v>-4099.3699790456121</v>
      </c>
      <c r="L42" s="544"/>
      <c r="M42" s="509"/>
      <c r="N42" s="544"/>
      <c r="O42" s="544"/>
      <c r="P42" s="543"/>
      <c r="Q42" s="543"/>
      <c r="R42" s="543"/>
      <c r="S42" s="543"/>
      <c r="T42" s="543"/>
      <c r="U42" s="543"/>
      <c r="V42" s="262"/>
      <c r="W42" s="544"/>
      <c r="X42" s="544"/>
      <c r="Y42" s="544"/>
      <c r="Z42" s="544"/>
      <c r="AA42" s="544"/>
      <c r="AB42" s="291"/>
      <c r="AC42" s="544"/>
      <c r="AD42" s="104"/>
      <c r="AE42" s="544"/>
      <c r="AF42" s="544"/>
      <c r="AG42" s="544"/>
      <c r="AH42" s="544"/>
      <c r="AI42" s="544"/>
    </row>
    <row r="43" spans="1:35" s="542" customFormat="1">
      <c r="A43" s="509" t="s">
        <v>179</v>
      </c>
      <c r="B43" s="544">
        <f>'Reorganised Statements'!D59</f>
        <v>-706</v>
      </c>
      <c r="C43" s="544">
        <f>'Reorganised Statements'!E59</f>
        <v>-758</v>
      </c>
      <c r="D43" s="544">
        <f>'Reorganised Statements'!F59</f>
        <v>-850</v>
      </c>
      <c r="E43" s="544">
        <f>'Reorganised Statements'!G59</f>
        <v>-986</v>
      </c>
      <c r="F43" s="509">
        <f>'Reorganised Statements'!H59</f>
        <v>-1152</v>
      </c>
      <c r="G43" s="544">
        <f>-Z41*G37</f>
        <v>-1135.2075417956739</v>
      </c>
      <c r="H43" s="544">
        <f>-Z41*H37</f>
        <v>-1152.4202147955934</v>
      </c>
      <c r="I43" s="544">
        <f>-Z41*I37</f>
        <v>-1169.8938762939981</v>
      </c>
      <c r="J43" s="544">
        <f>-Z41*J37</f>
        <v>-1187.6324835493767</v>
      </c>
      <c r="K43" s="509">
        <f>-Z41*K37</f>
        <v>-1205.1939022046365</v>
      </c>
      <c r="L43" s="544"/>
      <c r="M43" s="509"/>
      <c r="N43" s="544"/>
      <c r="O43" s="544"/>
      <c r="P43" s="543"/>
      <c r="Q43" s="543"/>
      <c r="R43" s="543"/>
      <c r="S43" s="543"/>
      <c r="T43" s="543"/>
      <c r="U43" s="543"/>
      <c r="V43" s="262" t="s">
        <v>642</v>
      </c>
      <c r="W43" s="544"/>
      <c r="X43" s="544"/>
      <c r="Y43" s="544"/>
      <c r="Z43" s="511">
        <f>-D45/D37</f>
        <v>0.11359570661896243</v>
      </c>
      <c r="AA43" s="511">
        <f t="shared" ref="AA43:AB43" si="9">-E45/E37</f>
        <v>0.10604369319087865</v>
      </c>
      <c r="AB43" s="601">
        <f t="shared" si="9"/>
        <v>9.828699803426004E-2</v>
      </c>
      <c r="AC43" s="544"/>
      <c r="AD43" s="104"/>
      <c r="AE43" s="544"/>
      <c r="AF43" s="544"/>
      <c r="AG43" s="544"/>
      <c r="AH43" s="544"/>
      <c r="AI43" s="544"/>
    </row>
    <row r="44" spans="1:35" s="542" customFormat="1" ht="15" thickBot="1">
      <c r="A44" s="509" t="s">
        <v>183</v>
      </c>
      <c r="B44" s="544">
        <f>'Reorganised Statements'!D60</f>
        <v>-252</v>
      </c>
      <c r="C44" s="544">
        <f>'Reorganised Statements'!E60</f>
        <v>-243</v>
      </c>
      <c r="D44" s="544">
        <f>'Reorganised Statements'!F60</f>
        <v>-281</v>
      </c>
      <c r="E44" s="544">
        <f>'Reorganised Statements'!G60</f>
        <v>-266</v>
      </c>
      <c r="F44" s="509">
        <f>'Reorganised Statements'!H60</f>
        <v>-234</v>
      </c>
      <c r="G44" s="541">
        <f>(G46-G42-G43-G45)</f>
        <v>-394.3485356689381</v>
      </c>
      <c r="H44" s="544">
        <f t="shared" ref="H44:K44" si="10">(H46-H42-H43-H45)</f>
        <v>-346.13352111880317</v>
      </c>
      <c r="I44" s="544">
        <f t="shared" si="10"/>
        <v>-294.11338730152363</v>
      </c>
      <c r="J44" s="544">
        <f t="shared" si="10"/>
        <v>-238.05606978490357</v>
      </c>
      <c r="K44" s="509">
        <f t="shared" si="10"/>
        <v>-177.04862284693229</v>
      </c>
      <c r="L44" s="544"/>
      <c r="M44" s="509"/>
      <c r="N44" s="544"/>
      <c r="O44" s="544"/>
      <c r="P44" s="543"/>
      <c r="Q44" s="543"/>
      <c r="R44" s="543"/>
      <c r="S44" s="543"/>
      <c r="T44" s="543"/>
      <c r="U44" s="543"/>
      <c r="V44" s="274" t="s">
        <v>643</v>
      </c>
      <c r="W44" s="526"/>
      <c r="X44" s="526"/>
      <c r="Y44" s="526"/>
      <c r="Z44" s="602">
        <f>AVERAGE(Z43:AB43)</f>
        <v>0.10597546594803371</v>
      </c>
      <c r="AA44" s="526"/>
      <c r="AB44" s="300"/>
      <c r="AC44" s="544"/>
      <c r="AD44" s="104"/>
      <c r="AE44" s="544"/>
      <c r="AF44" s="544"/>
      <c r="AG44" s="544"/>
      <c r="AH44" s="544"/>
      <c r="AI44" s="544"/>
    </row>
    <row r="45" spans="1:35" s="542" customFormat="1">
      <c r="A45" s="103" t="s">
        <v>309</v>
      </c>
      <c r="B45" s="105">
        <f>'Reorganised Statements'!D61</f>
        <v>-629</v>
      </c>
      <c r="C45" s="105">
        <f>'Reorganised Statements'!E61</f>
        <v>-596</v>
      </c>
      <c r="D45" s="105">
        <f>'Reorganised Statements'!F61</f>
        <v>-635</v>
      </c>
      <c r="E45" s="105">
        <f>'Reorganised Statements'!G61</f>
        <v>-665</v>
      </c>
      <c r="F45" s="103">
        <f>'Reorganised Statements'!H61</f>
        <v>-700</v>
      </c>
      <c r="G45" s="105">
        <f>-Z44*G37</f>
        <v>-766.20133450364017</v>
      </c>
      <c r="H45" s="105">
        <f>-Z44*H37</f>
        <v>-777.81892207009673</v>
      </c>
      <c r="I45" s="105">
        <f>-Z44*I37</f>
        <v>-789.61266221523772</v>
      </c>
      <c r="J45" s="105">
        <f>-Z44*J37</f>
        <v>-801.5852258662934</v>
      </c>
      <c r="K45" s="103">
        <f>-Z44*K37</f>
        <v>-813.43819716364135</v>
      </c>
      <c r="L45" s="544"/>
      <c r="M45" s="509"/>
      <c r="N45" s="544"/>
      <c r="O45" s="544"/>
      <c r="P45" s="543"/>
      <c r="Q45" s="543"/>
      <c r="R45" s="543"/>
      <c r="S45" s="543"/>
      <c r="T45" s="543"/>
      <c r="U45" s="543"/>
      <c r="V45" s="543"/>
      <c r="W45" s="543"/>
      <c r="X45" s="543"/>
      <c r="Y45" s="543"/>
      <c r="Z45" s="543"/>
      <c r="AA45" s="544"/>
      <c r="AB45" s="544"/>
      <c r="AC45" s="544"/>
      <c r="AD45" s="104"/>
      <c r="AE45" s="544"/>
      <c r="AF45" s="544"/>
      <c r="AG45" s="544"/>
      <c r="AH45" s="544"/>
      <c r="AI45" s="544"/>
    </row>
    <row r="46" spans="1:35" s="542" customFormat="1">
      <c r="A46" s="568" t="s">
        <v>554</v>
      </c>
      <c r="B46" s="104">
        <f>B42+B43+B44+B45</f>
        <v>-3873</v>
      </c>
      <c r="C46" s="104">
        <f t="shared" ref="C46:F46" si="11">C42+C43+C44+C45</f>
        <v>-3698</v>
      </c>
      <c r="D46" s="104">
        <f t="shared" si="11"/>
        <v>-4597</v>
      </c>
      <c r="E46" s="104">
        <f t="shared" si="11"/>
        <v>-5263</v>
      </c>
      <c r="F46" s="568">
        <f t="shared" si="11"/>
        <v>-6090</v>
      </c>
      <c r="G46" s="590">
        <f>-(G39-G52)</f>
        <v>-6157.0744235383836</v>
      </c>
      <c r="H46" s="590">
        <f t="shared" ref="H46:K46" si="12">-(H39-H52)</f>
        <v>-6196.2371902696923</v>
      </c>
      <c r="I46" s="590">
        <f t="shared" si="12"/>
        <v>-6232.9197101657974</v>
      </c>
      <c r="J46" s="590">
        <f t="shared" si="12"/>
        <v>-6266.9100072762112</v>
      </c>
      <c r="K46" s="608">
        <f t="shared" si="12"/>
        <v>-6295.0507012608223</v>
      </c>
      <c r="L46" s="544"/>
      <c r="M46" s="509"/>
      <c r="N46" s="544"/>
      <c r="O46" s="544"/>
      <c r="P46" s="544"/>
      <c r="Q46" s="544"/>
      <c r="R46" s="543"/>
      <c r="S46" s="543"/>
      <c r="T46" s="543"/>
      <c r="U46" s="543"/>
      <c r="V46" s="543"/>
      <c r="W46" s="543"/>
      <c r="X46" s="543"/>
      <c r="Y46" s="543"/>
      <c r="Z46" s="543"/>
      <c r="AA46" s="544"/>
      <c r="AB46" s="544"/>
      <c r="AC46" s="544"/>
      <c r="AD46" s="104"/>
      <c r="AE46" s="544"/>
      <c r="AF46" s="544"/>
      <c r="AG46" s="544"/>
      <c r="AH46" s="544"/>
      <c r="AI46" s="544"/>
    </row>
    <row r="47" spans="1:35" s="542" customFormat="1">
      <c r="A47" s="509"/>
      <c r="B47" s="544"/>
      <c r="C47" s="544"/>
      <c r="D47" s="104"/>
      <c r="E47" s="104"/>
      <c r="F47" s="509"/>
      <c r="G47" s="544"/>
      <c r="H47" s="544"/>
      <c r="I47" s="544"/>
      <c r="J47" s="544"/>
      <c r="K47" s="509"/>
      <c r="L47" s="544"/>
      <c r="M47" s="509"/>
      <c r="N47" s="544"/>
      <c r="O47" s="544"/>
      <c r="P47" s="543"/>
      <c r="Q47" s="543"/>
      <c r="R47" s="543"/>
      <c r="S47" s="543"/>
      <c r="T47" s="543"/>
      <c r="U47" s="543"/>
      <c r="V47" s="543"/>
      <c r="W47" s="543"/>
      <c r="X47" s="543"/>
      <c r="Y47" s="543"/>
      <c r="Z47" s="543"/>
      <c r="AA47" s="544"/>
      <c r="AB47" s="544"/>
      <c r="AC47" s="544"/>
      <c r="AD47" s="104"/>
      <c r="AE47" s="544"/>
      <c r="AF47" s="544"/>
      <c r="AG47" s="544"/>
      <c r="AH47" s="544"/>
      <c r="AI47" s="544"/>
    </row>
    <row r="48" spans="1:35" s="542" customFormat="1">
      <c r="A48" s="509" t="s">
        <v>565</v>
      </c>
      <c r="B48" s="511">
        <f>-(B46/B39)</f>
        <v>0.78703515545620806</v>
      </c>
      <c r="C48" s="511">
        <f t="shared" ref="C48:F48" si="13">-(C46/C39)</f>
        <v>0.76090534979423863</v>
      </c>
      <c r="D48" s="511">
        <f t="shared" si="13"/>
        <v>0.79313319530710835</v>
      </c>
      <c r="E48" s="511">
        <f t="shared" si="13"/>
        <v>0.81044040652910376</v>
      </c>
      <c r="F48" s="534">
        <f t="shared" si="13"/>
        <v>0.83151283451665758</v>
      </c>
      <c r="G48" s="511">
        <f>-(G46/G39)</f>
        <v>0.82522669423704809</v>
      </c>
      <c r="H48" s="511">
        <f t="shared" ref="H48:K48" si="14">-(H46/H39)</f>
        <v>0.81807156772896483</v>
      </c>
      <c r="I48" s="511">
        <f t="shared" si="14"/>
        <v>0.8106235141338578</v>
      </c>
      <c r="J48" s="511">
        <f t="shared" si="14"/>
        <v>0.80287054117203538</v>
      </c>
      <c r="K48" s="534">
        <f t="shared" si="14"/>
        <v>0.79472420252848619</v>
      </c>
      <c r="L48" s="544"/>
      <c r="M48" s="509"/>
      <c r="N48" s="544"/>
      <c r="O48" s="544"/>
      <c r="P48" s="543"/>
      <c r="Q48" s="543"/>
      <c r="R48" s="543"/>
      <c r="S48" s="543"/>
      <c r="T48" s="543"/>
      <c r="U48" s="543"/>
      <c r="V48" s="543"/>
      <c r="W48" s="543"/>
      <c r="X48" s="543"/>
      <c r="Y48" s="543"/>
      <c r="Z48" s="543"/>
      <c r="AA48" s="544"/>
      <c r="AB48" s="544"/>
      <c r="AC48" s="544"/>
      <c r="AD48" s="104"/>
      <c r="AE48" s="544"/>
      <c r="AF48" s="544"/>
      <c r="AG48" s="544"/>
      <c r="AH48" s="544"/>
      <c r="AI48" s="544"/>
    </row>
    <row r="49" spans="1:35" s="542" customFormat="1">
      <c r="A49" s="509"/>
      <c r="B49" s="544"/>
      <c r="C49" s="544"/>
      <c r="D49" s="104"/>
      <c r="E49" s="104"/>
      <c r="F49" s="509"/>
      <c r="G49" s="544"/>
      <c r="H49" s="544"/>
      <c r="I49" s="544"/>
      <c r="J49" s="544"/>
      <c r="K49" s="509"/>
      <c r="L49" s="544"/>
      <c r="M49" s="509"/>
      <c r="N49" s="544"/>
      <c r="O49" s="544"/>
      <c r="P49" s="543"/>
      <c r="Q49" s="543"/>
      <c r="R49" s="543"/>
      <c r="S49" s="543"/>
      <c r="T49" s="543"/>
      <c r="U49" s="543"/>
      <c r="V49" s="543"/>
      <c r="W49" s="543"/>
      <c r="X49" s="543"/>
      <c r="Y49" s="543"/>
      <c r="Z49" s="543"/>
      <c r="AA49" s="544"/>
      <c r="AB49" s="544"/>
      <c r="AC49" s="544"/>
      <c r="AD49" s="104"/>
      <c r="AE49" s="544"/>
      <c r="AF49" s="544"/>
      <c r="AG49" s="544"/>
      <c r="AH49" s="544"/>
      <c r="AI49" s="544"/>
    </row>
    <row r="50" spans="1:35" s="542" customFormat="1">
      <c r="A50" s="509"/>
      <c r="B50" s="544"/>
      <c r="C50" s="544"/>
      <c r="D50" s="104"/>
      <c r="E50" s="104"/>
      <c r="F50" s="509"/>
      <c r="G50" s="544"/>
      <c r="H50" s="544"/>
      <c r="I50" s="544"/>
      <c r="J50" s="544"/>
      <c r="K50" s="509"/>
      <c r="L50" s="544"/>
      <c r="M50" s="509"/>
      <c r="N50" s="544"/>
      <c r="O50" s="544"/>
      <c r="P50" s="543"/>
      <c r="Q50" s="543"/>
      <c r="R50" s="543"/>
      <c r="S50" s="543"/>
      <c r="T50" s="543"/>
      <c r="U50" s="543"/>
      <c r="V50" s="543"/>
      <c r="W50" s="543"/>
      <c r="X50" s="543"/>
      <c r="Y50" s="543"/>
      <c r="Z50" s="543"/>
      <c r="AA50" s="544"/>
      <c r="AB50" s="544"/>
      <c r="AC50" s="544"/>
      <c r="AD50" s="104"/>
      <c r="AE50" s="544"/>
      <c r="AF50" s="544"/>
      <c r="AG50" s="544"/>
      <c r="AH50" s="544"/>
      <c r="AI50" s="544"/>
    </row>
    <row r="51" spans="1:35" s="542" customFormat="1">
      <c r="A51" s="103"/>
      <c r="B51" s="517"/>
      <c r="C51" s="105"/>
      <c r="D51" s="521"/>
      <c r="E51" s="521"/>
      <c r="F51" s="103"/>
      <c r="G51" s="105"/>
      <c r="H51" s="105"/>
      <c r="I51" s="105"/>
      <c r="J51" s="105"/>
      <c r="K51" s="103"/>
      <c r="L51" s="544"/>
      <c r="M51" s="509"/>
      <c r="N51" s="544"/>
      <c r="O51" s="544"/>
      <c r="P51" s="543"/>
      <c r="Q51" s="543"/>
      <c r="R51" s="543"/>
      <c r="S51" s="543"/>
      <c r="T51" s="543"/>
      <c r="U51" s="543"/>
      <c r="V51" s="543"/>
      <c r="W51" s="543"/>
      <c r="X51" s="543"/>
      <c r="Y51" s="543"/>
      <c r="Z51" s="543"/>
      <c r="AA51" s="544"/>
      <c r="AB51" s="544"/>
      <c r="AC51" s="544"/>
      <c r="AD51" s="104"/>
      <c r="AE51" s="544"/>
      <c r="AF51" s="544"/>
      <c r="AG51" s="544"/>
      <c r="AH51" s="544"/>
      <c r="AI51" s="544"/>
    </row>
    <row r="52" spans="1:35" s="542" customFormat="1">
      <c r="A52" s="631" t="s">
        <v>485</v>
      </c>
      <c r="B52" s="530">
        <f>B39+B46</f>
        <v>1048</v>
      </c>
      <c r="C52" s="530">
        <f t="shared" ref="C52:F52" si="15">C39+C46</f>
        <v>1162</v>
      </c>
      <c r="D52" s="530">
        <f t="shared" si="15"/>
        <v>1199</v>
      </c>
      <c r="E52" s="530">
        <f t="shared" si="15"/>
        <v>1231</v>
      </c>
      <c r="F52" s="531">
        <f t="shared" si="15"/>
        <v>1234</v>
      </c>
      <c r="G52" s="599">
        <f>(1+0.056722796)*F52</f>
        <v>1303.995930264</v>
      </c>
      <c r="H52" s="599">
        <f t="shared" ref="H52:K52" si="16">(1+0.056722796)*G52</f>
        <v>1377.9622254011952</v>
      </c>
      <c r="I52" s="599">
        <f t="shared" si="16"/>
        <v>1456.1240956083332</v>
      </c>
      <c r="J52" s="599">
        <f t="shared" si="16"/>
        <v>1538.7195256342093</v>
      </c>
      <c r="K52" s="630">
        <f t="shared" si="16"/>
        <v>1625.9999993879753</v>
      </c>
      <c r="L52" s="544"/>
      <c r="M52" s="509"/>
      <c r="N52" s="544"/>
      <c r="O52" s="544"/>
      <c r="P52" s="543"/>
      <c r="Q52" s="543"/>
      <c r="R52" s="543"/>
      <c r="S52" s="543"/>
      <c r="T52" s="543"/>
      <c r="U52" s="543"/>
      <c r="V52" s="543"/>
      <c r="W52" s="543"/>
      <c r="X52" s="543"/>
      <c r="Y52" s="543"/>
      <c r="Z52" s="543"/>
      <c r="AA52" s="544"/>
      <c r="AB52" s="544"/>
      <c r="AC52" s="544"/>
      <c r="AD52" s="104"/>
      <c r="AE52" s="544"/>
      <c r="AF52" s="544"/>
      <c r="AG52" s="544"/>
      <c r="AH52" s="544"/>
      <c r="AI52" s="544"/>
    </row>
    <row r="53" spans="1:35">
      <c r="A53" s="100" t="s">
        <v>566</v>
      </c>
      <c r="B53" s="591">
        <f>B52/B37</f>
        <v>0.22147083685545224</v>
      </c>
      <c r="C53" s="529">
        <f t="shared" ref="C53:F53" si="17">C52/C37</f>
        <v>0.25365640689805719</v>
      </c>
      <c r="D53" s="529">
        <f t="shared" si="17"/>
        <v>0.21449016100178891</v>
      </c>
      <c r="E53" s="529">
        <f t="shared" si="17"/>
        <v>0.19630043055334079</v>
      </c>
      <c r="F53" s="609">
        <f t="shared" si="17"/>
        <v>0.17326593653468128</v>
      </c>
      <c r="G53" s="529">
        <f>(1+0.04093947)*F53</f>
        <v>0.18035935214546478</v>
      </c>
      <c r="H53" s="529">
        <f t="shared" ref="H53:J53" si="18">(1+0.04093947)*G53</f>
        <v>0.18774316843184349</v>
      </c>
      <c r="I53" s="529">
        <f t="shared" si="18"/>
        <v>0.19542927424356391</v>
      </c>
      <c r="J53" s="529">
        <f t="shared" si="18"/>
        <v>0.20343004515358007</v>
      </c>
      <c r="K53" s="609">
        <f>AVERAGE(B53,C53,D53,E53,F53)</f>
        <v>0.21183675436866406</v>
      </c>
      <c r="L53" s="55"/>
      <c r="M53" s="509"/>
      <c r="N53" s="544"/>
      <c r="O53" s="5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5"/>
      <c r="AB53" s="55"/>
      <c r="AC53" s="55"/>
      <c r="AD53" s="55"/>
      <c r="AE53" s="55"/>
      <c r="AF53" s="55"/>
      <c r="AG53" s="55"/>
      <c r="AH53" s="55"/>
      <c r="AI53" s="55"/>
    </row>
    <row r="54" spans="1:35" ht="15" thickBot="1">
      <c r="A54" s="55"/>
      <c r="B54" s="55"/>
      <c r="C54" s="55"/>
      <c r="D54" s="55"/>
      <c r="E54" s="55"/>
      <c r="F54" s="509"/>
      <c r="G54" s="55"/>
      <c r="H54" s="55"/>
      <c r="I54" s="55"/>
      <c r="J54" s="55"/>
      <c r="K54" s="509"/>
      <c r="L54" s="55"/>
      <c r="M54" s="509"/>
      <c r="N54" s="544"/>
      <c r="O54" s="5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5"/>
      <c r="AB54" s="55"/>
      <c r="AC54" s="55"/>
      <c r="AD54" s="55"/>
      <c r="AE54" s="55"/>
      <c r="AF54" s="55"/>
      <c r="AG54" s="55"/>
      <c r="AH54" s="55"/>
      <c r="AI54" s="55"/>
    </row>
    <row r="55" spans="1:35" s="542" customFormat="1" ht="15" thickBot="1">
      <c r="A55" s="588" t="s">
        <v>568</v>
      </c>
      <c r="B55" s="544"/>
      <c r="C55" s="544"/>
      <c r="D55" s="544"/>
      <c r="E55" s="544"/>
      <c r="F55" s="509"/>
      <c r="G55" s="544"/>
      <c r="H55" s="544"/>
      <c r="I55" s="544"/>
      <c r="J55" s="544"/>
      <c r="K55" s="509"/>
      <c r="L55" s="544"/>
      <c r="M55" s="509"/>
      <c r="N55" s="544"/>
      <c r="O55" s="544"/>
      <c r="P55" s="543"/>
      <c r="Q55" s="543"/>
      <c r="R55" s="543"/>
      <c r="S55" s="543"/>
      <c r="T55" s="543"/>
      <c r="U55" s="543"/>
      <c r="V55" s="543"/>
      <c r="W55" s="543"/>
      <c r="X55" s="543"/>
      <c r="Y55" s="543"/>
      <c r="Z55" s="543"/>
      <c r="AA55" s="544"/>
      <c r="AB55" s="544"/>
      <c r="AC55" s="544"/>
      <c r="AD55" s="544"/>
      <c r="AE55" s="544"/>
      <c r="AF55" s="544"/>
      <c r="AG55" s="544"/>
      <c r="AH55" s="544"/>
      <c r="AI55" s="544"/>
    </row>
    <row r="56" spans="1:35" s="542" customFormat="1">
      <c r="A56" s="593"/>
      <c r="B56" s="544"/>
      <c r="C56" s="544"/>
      <c r="D56" s="544"/>
      <c r="E56" s="544"/>
      <c r="F56" s="509"/>
      <c r="G56" s="544"/>
      <c r="H56" s="544"/>
      <c r="I56" s="544"/>
      <c r="J56" s="544"/>
      <c r="K56" s="509"/>
      <c r="L56" s="544"/>
      <c r="M56" s="509"/>
      <c r="N56" s="544"/>
      <c r="O56" s="544"/>
      <c r="P56" s="543"/>
      <c r="Q56" s="543"/>
      <c r="R56" s="543"/>
      <c r="S56" s="543"/>
      <c r="T56" s="543"/>
      <c r="U56" s="543"/>
      <c r="V56" s="543"/>
      <c r="W56" s="543"/>
      <c r="X56" s="543"/>
      <c r="Y56" s="543"/>
      <c r="Z56" s="543"/>
      <c r="AA56" s="544"/>
      <c r="AB56" s="544"/>
      <c r="AC56" s="544"/>
      <c r="AD56" s="544"/>
      <c r="AE56" s="544"/>
      <c r="AF56" s="544"/>
      <c r="AG56" s="544"/>
      <c r="AH56" s="544"/>
      <c r="AI56" s="544"/>
    </row>
    <row r="57" spans="1:35" s="542" customFormat="1">
      <c r="A57" s="594" t="s">
        <v>467</v>
      </c>
      <c r="B57" s="105">
        <f>'Reorganised Statements'!D5+'Reorganised Statements'!D6</f>
        <v>6415</v>
      </c>
      <c r="C57" s="105">
        <f>'Reorganised Statements'!E5+'Reorganised Statements'!E6</f>
        <v>6833</v>
      </c>
      <c r="D57" s="105">
        <f>'Reorganised Statements'!F5+'Reorganised Statements'!F6</f>
        <v>6469</v>
      </c>
      <c r="E57" s="105">
        <f>'Reorganised Statements'!G5+'Reorganised Statements'!G6</f>
        <v>6922</v>
      </c>
      <c r="F57" s="103">
        <f>'Reorganised Statements'!H5+'Reorganised Statements'!H6</f>
        <v>7248</v>
      </c>
      <c r="G57" s="563">
        <f>G58+G59</f>
        <v>7509.2239672032174</v>
      </c>
      <c r="H57" s="563">
        <f t="shared" ref="H57:K57" si="19">H58+H59</f>
        <v>7765.5960602293999</v>
      </c>
      <c r="I57" s="563">
        <f t="shared" si="19"/>
        <v>8017.6005150802248</v>
      </c>
      <c r="J57" s="563">
        <f t="shared" si="19"/>
        <v>8265.6896991172107</v>
      </c>
      <c r="K57" s="610">
        <f t="shared" si="19"/>
        <v>8509.9453559661742</v>
      </c>
      <c r="L57" s="105"/>
      <c r="M57" s="509"/>
      <c r="N57" s="544"/>
      <c r="O57" s="544"/>
      <c r="P57" s="543"/>
      <c r="Q57" s="543"/>
      <c r="R57" s="543"/>
      <c r="S57" s="543"/>
      <c r="T57" s="543"/>
      <c r="U57" s="543"/>
      <c r="V57" s="543"/>
      <c r="W57" s="543"/>
      <c r="X57" s="543"/>
      <c r="Y57" s="543"/>
      <c r="Z57" s="543"/>
      <c r="AA57" s="544"/>
      <c r="AB57" s="544"/>
      <c r="AC57" s="544"/>
      <c r="AD57" s="544"/>
      <c r="AE57" s="544"/>
      <c r="AF57" s="544"/>
      <c r="AG57" s="544"/>
      <c r="AH57" s="544"/>
      <c r="AI57" s="544"/>
    </row>
    <row r="58" spans="1:35" s="542" customFormat="1">
      <c r="A58" s="589" t="s">
        <v>633</v>
      </c>
      <c r="B58" s="544">
        <f>'Reorganised Statements'!D5</f>
        <v>5067</v>
      </c>
      <c r="C58" s="544">
        <f>'Reorganised Statements'!E5</f>
        <v>5129</v>
      </c>
      <c r="D58" s="544">
        <f>'Reorganised Statements'!F5</f>
        <v>4606</v>
      </c>
      <c r="E58" s="544">
        <f>'Reorganised Statements'!G5</f>
        <v>4620</v>
      </c>
      <c r="F58" s="509">
        <f>'Reorganised Statements'!H5</f>
        <v>4869</v>
      </c>
      <c r="G58" s="541">
        <f>G68</f>
        <v>4964.9255830968814</v>
      </c>
      <c r="H58" s="541">
        <f t="shared" ref="H58:K58" si="20">H68</f>
        <v>5060.1014455884615</v>
      </c>
      <c r="I58" s="541">
        <f t="shared" si="20"/>
        <v>5154.7360712934978</v>
      </c>
      <c r="J58" s="541">
        <f t="shared" si="20"/>
        <v>5249.0191767306296</v>
      </c>
      <c r="K58" s="596">
        <f t="shared" si="20"/>
        <v>5342.8950490737898</v>
      </c>
      <c r="L58" s="544"/>
      <c r="M58" s="509"/>
      <c r="N58" s="544"/>
      <c r="O58" s="544"/>
      <c r="P58" s="543"/>
      <c r="Q58" s="543"/>
      <c r="R58" s="543"/>
      <c r="S58" s="543"/>
      <c r="T58" s="543"/>
      <c r="U58" s="543"/>
      <c r="V58" s="543"/>
      <c r="W58" s="543"/>
      <c r="X58" s="543"/>
      <c r="Y58" s="543"/>
      <c r="Z58" s="543"/>
      <c r="AA58" s="544"/>
      <c r="AB58" s="544"/>
      <c r="AC58" s="544"/>
      <c r="AD58" s="544"/>
      <c r="AE58" s="544"/>
      <c r="AF58" s="544"/>
      <c r="AG58" s="544"/>
      <c r="AH58" s="544"/>
      <c r="AI58" s="544"/>
    </row>
    <row r="59" spans="1:35" s="542" customFormat="1">
      <c r="A59" s="589" t="s">
        <v>634</v>
      </c>
      <c r="B59" s="544">
        <f>'Reorganised Statements'!D6</f>
        <v>1348</v>
      </c>
      <c r="C59" s="544">
        <f>'Reorganised Statements'!E6</f>
        <v>1704</v>
      </c>
      <c r="D59" s="544">
        <f>'Reorganised Statements'!F6</f>
        <v>1863</v>
      </c>
      <c r="E59" s="544">
        <f>'Reorganised Statements'!G6</f>
        <v>2302</v>
      </c>
      <c r="F59" s="509">
        <f>'Reorganised Statements'!H6</f>
        <v>2379</v>
      </c>
      <c r="G59" s="541">
        <f>G79</f>
        <v>2544.298384106336</v>
      </c>
      <c r="H59" s="541">
        <f t="shared" ref="H59:K59" si="21">H79</f>
        <v>2705.4946146409388</v>
      </c>
      <c r="I59" s="541">
        <f t="shared" si="21"/>
        <v>2862.864443786727</v>
      </c>
      <c r="J59" s="541">
        <f t="shared" si="21"/>
        <v>3016.670522386582</v>
      </c>
      <c r="K59" s="596">
        <f t="shared" si="21"/>
        <v>3167.050306892384</v>
      </c>
      <c r="L59" s="544"/>
      <c r="M59" s="509"/>
      <c r="N59" s="544"/>
      <c r="O59" s="544"/>
      <c r="P59" s="543"/>
      <c r="Q59" s="543"/>
      <c r="R59" s="543"/>
      <c r="S59" s="543"/>
      <c r="T59" s="543"/>
      <c r="U59" s="543"/>
      <c r="V59" s="543"/>
      <c r="W59" s="543"/>
      <c r="X59" s="543"/>
      <c r="Y59" s="543"/>
      <c r="Z59" s="543"/>
      <c r="AA59" s="544"/>
      <c r="AB59" s="544"/>
      <c r="AC59" s="544"/>
      <c r="AD59" s="544"/>
      <c r="AE59" s="544"/>
      <c r="AF59" s="544"/>
      <c r="AG59" s="544"/>
      <c r="AH59" s="544"/>
      <c r="AI59" s="544"/>
    </row>
    <row r="60" spans="1:35" s="542" customFormat="1">
      <c r="A60" s="589" t="s">
        <v>636</v>
      </c>
      <c r="B60" s="511">
        <f>B58/B57</f>
        <v>0.78986749805144196</v>
      </c>
      <c r="C60" s="511">
        <f t="shared" ref="C60:F60" si="22">C58/C57</f>
        <v>0.75062198156007609</v>
      </c>
      <c r="D60" s="511">
        <f t="shared" si="22"/>
        <v>0.71201113000463745</v>
      </c>
      <c r="E60" s="511">
        <f t="shared" si="22"/>
        <v>0.66743715689107197</v>
      </c>
      <c r="F60" s="534">
        <f t="shared" si="22"/>
        <v>0.67177152317880795</v>
      </c>
      <c r="G60" s="511"/>
      <c r="H60" s="511"/>
      <c r="I60" s="511"/>
      <c r="J60" s="511"/>
      <c r="K60" s="534"/>
      <c r="L60" s="544"/>
      <c r="M60" s="509"/>
      <c r="N60" s="544"/>
      <c r="O60" s="544"/>
      <c r="P60" s="543"/>
      <c r="Q60" s="543"/>
      <c r="R60" s="543"/>
      <c r="S60" s="543"/>
      <c r="T60" s="543"/>
      <c r="U60" s="543"/>
      <c r="V60" s="543"/>
      <c r="W60" s="543"/>
      <c r="X60" s="543"/>
      <c r="Y60" s="543"/>
      <c r="Z60" s="543"/>
      <c r="AA60" s="544"/>
      <c r="AB60" s="544"/>
      <c r="AC60" s="544"/>
      <c r="AD60" s="544"/>
      <c r="AE60" s="544"/>
      <c r="AF60" s="544"/>
      <c r="AG60" s="544"/>
      <c r="AH60" s="544"/>
      <c r="AI60" s="544"/>
    </row>
    <row r="61" spans="1:35" s="542" customFormat="1">
      <c r="A61" s="589" t="s">
        <v>637</v>
      </c>
      <c r="B61" s="511">
        <f>1-B60</f>
        <v>0.21013250194855804</v>
      </c>
      <c r="C61" s="511">
        <f t="shared" ref="C61:F61" si="23">1-C60</f>
        <v>0.24937801843992391</v>
      </c>
      <c r="D61" s="511">
        <f t="shared" si="23"/>
        <v>0.28798886999536255</v>
      </c>
      <c r="E61" s="511">
        <f t="shared" si="23"/>
        <v>0.33256284310892803</v>
      </c>
      <c r="F61" s="534">
        <f t="shared" si="23"/>
        <v>0.32822847682119205</v>
      </c>
      <c r="G61" s="544"/>
      <c r="H61" s="544"/>
      <c r="I61" s="544"/>
      <c r="J61" s="544"/>
      <c r="K61" s="509"/>
      <c r="L61" s="544"/>
      <c r="M61" s="509"/>
      <c r="N61" s="544"/>
      <c r="O61" s="544"/>
      <c r="P61" s="543"/>
      <c r="Q61" s="543"/>
      <c r="R61" s="543"/>
      <c r="S61" s="543"/>
      <c r="T61" s="543"/>
      <c r="U61" s="543"/>
      <c r="V61" s="543"/>
      <c r="W61" s="543"/>
      <c r="X61" s="543"/>
      <c r="Y61" s="543"/>
      <c r="Z61" s="543"/>
      <c r="AA61" s="544"/>
      <c r="AB61" s="544"/>
      <c r="AC61" s="544"/>
      <c r="AD61" s="544"/>
      <c r="AE61" s="544"/>
      <c r="AF61" s="544"/>
      <c r="AG61" s="544"/>
      <c r="AH61" s="544"/>
      <c r="AI61" s="544"/>
    </row>
    <row r="62" spans="1:35" s="542" customFormat="1" ht="15" thickBot="1">
      <c r="A62" s="589"/>
      <c r="B62" s="544"/>
      <c r="C62" s="544"/>
      <c r="D62" s="544"/>
      <c r="E62" s="544"/>
      <c r="F62" s="509"/>
      <c r="G62" s="544"/>
      <c r="H62" s="544"/>
      <c r="I62" s="544"/>
      <c r="J62" s="544"/>
      <c r="K62" s="509"/>
      <c r="L62" s="544"/>
      <c r="M62" s="509"/>
      <c r="N62" s="544"/>
      <c r="O62" s="544"/>
      <c r="P62" s="543"/>
      <c r="Q62" s="543"/>
      <c r="R62" s="543"/>
      <c r="S62" s="543"/>
      <c r="T62" s="543"/>
      <c r="U62" s="543"/>
      <c r="V62" s="543"/>
      <c r="W62" s="543"/>
      <c r="X62" s="543"/>
      <c r="Y62" s="543"/>
      <c r="Z62" s="543"/>
      <c r="AA62" s="544"/>
      <c r="AB62" s="544"/>
      <c r="AC62" s="544"/>
      <c r="AD62" s="544"/>
      <c r="AE62" s="544"/>
      <c r="AF62" s="544"/>
      <c r="AG62" s="544"/>
      <c r="AH62" s="544"/>
      <c r="AI62" s="544"/>
    </row>
    <row r="63" spans="1:35" s="542" customFormat="1" ht="15" thickBot="1">
      <c r="A63" s="594" t="s">
        <v>575</v>
      </c>
      <c r="B63" s="105"/>
      <c r="C63" s="105"/>
      <c r="D63" s="105"/>
      <c r="E63" s="105"/>
      <c r="F63" s="103"/>
      <c r="G63" s="105"/>
      <c r="H63" s="105"/>
      <c r="I63" s="105"/>
      <c r="J63" s="105"/>
      <c r="K63" s="103"/>
      <c r="L63" s="105"/>
      <c r="M63" s="509"/>
      <c r="N63" s="544"/>
      <c r="O63" s="544"/>
      <c r="P63" s="543"/>
      <c r="Q63" s="543"/>
      <c r="R63" s="543"/>
      <c r="S63" s="543"/>
      <c r="T63" s="429" t="s">
        <v>420</v>
      </c>
      <c r="U63" s="430"/>
      <c r="V63" s="430"/>
      <c r="W63" s="430"/>
      <c r="X63" s="430"/>
      <c r="Y63" s="430"/>
      <c r="Z63" s="636"/>
      <c r="AA63" s="544"/>
      <c r="AB63" s="544"/>
      <c r="AC63" s="544"/>
      <c r="AD63" s="544"/>
      <c r="AE63" s="544"/>
      <c r="AF63" s="544"/>
      <c r="AG63" s="544"/>
      <c r="AH63" s="544"/>
      <c r="AI63" s="544"/>
    </row>
    <row r="64" spans="1:35" s="542" customFormat="1">
      <c r="A64" s="589" t="s">
        <v>571</v>
      </c>
      <c r="B64" s="544"/>
      <c r="C64" s="544"/>
      <c r="D64" s="544"/>
      <c r="E64" s="544"/>
      <c r="F64" s="509"/>
      <c r="G64" s="544">
        <f>F68</f>
        <v>4869</v>
      </c>
      <c r="H64" s="541">
        <f>G64+G65+G66</f>
        <v>4964.9255830968814</v>
      </c>
      <c r="I64" s="541">
        <f>H64+H65+H66</f>
        <v>5060.1014455884615</v>
      </c>
      <c r="J64" s="541">
        <f>I68</f>
        <v>5154.7360712934978</v>
      </c>
      <c r="K64" s="596">
        <f>J68</f>
        <v>5249.0191767306296</v>
      </c>
      <c r="L64" s="544"/>
      <c r="M64" s="509"/>
      <c r="N64" s="544"/>
      <c r="O64" s="544"/>
      <c r="P64" s="543"/>
      <c r="Q64" s="543"/>
      <c r="R64" s="543"/>
      <c r="S64" s="543"/>
      <c r="T64" s="262" t="s">
        <v>644</v>
      </c>
      <c r="U64" s="544"/>
      <c r="V64" s="291">
        <v>4476</v>
      </c>
      <c r="W64" s="262" t="s">
        <v>679</v>
      </c>
      <c r="X64" s="544"/>
      <c r="Y64" s="544"/>
      <c r="Z64" s="291">
        <f>SUM(G37:K37)</f>
        <v>37260.098896429277</v>
      </c>
      <c r="AA64" s="544"/>
      <c r="AB64" s="544"/>
      <c r="AC64" s="544"/>
      <c r="AD64" s="544"/>
      <c r="AE64" s="544"/>
      <c r="AF64" s="544"/>
      <c r="AG64" s="544"/>
      <c r="AH64" s="544"/>
      <c r="AI64" s="544"/>
    </row>
    <row r="65" spans="1:35" s="542" customFormat="1">
      <c r="A65" s="589" t="s">
        <v>572</v>
      </c>
      <c r="B65" s="544"/>
      <c r="C65" s="544"/>
      <c r="D65" s="544"/>
      <c r="E65" s="544"/>
      <c r="F65" s="509"/>
      <c r="G65" s="541">
        <f>Z69*G37</f>
        <v>581.56987710074998</v>
      </c>
      <c r="H65" s="541">
        <f>Z69*H37</f>
        <v>590.38797577661342</v>
      </c>
      <c r="I65" s="541">
        <f>Z69*I37</f>
        <v>599.33977956224794</v>
      </c>
      <c r="J65" s="541">
        <f>Z69*J37</f>
        <v>608.42731577182133</v>
      </c>
      <c r="K65" s="596">
        <f>Z69*K37</f>
        <v>617.42407778495851</v>
      </c>
      <c r="L65" s="544"/>
      <c r="M65" s="509"/>
      <c r="N65" s="544"/>
      <c r="O65" s="544"/>
      <c r="P65" s="543"/>
      <c r="Q65" s="543"/>
      <c r="R65" s="543"/>
      <c r="S65" s="543"/>
      <c r="T65" s="262" t="s">
        <v>645</v>
      </c>
      <c r="U65" s="544"/>
      <c r="V65" s="291">
        <f>V64/5</f>
        <v>895.2</v>
      </c>
      <c r="W65" s="262" t="s">
        <v>680</v>
      </c>
      <c r="X65" s="544"/>
      <c r="Y65" s="544"/>
      <c r="Z65" s="291">
        <f>V64/Z64</f>
        <v>0.12012850562854908</v>
      </c>
      <c r="AA65" s="544"/>
      <c r="AB65" s="544"/>
      <c r="AC65" s="544"/>
      <c r="AD65" s="544"/>
      <c r="AE65" s="544"/>
      <c r="AF65" s="544"/>
      <c r="AG65" s="544"/>
      <c r="AH65" s="544"/>
      <c r="AI65" s="544"/>
    </row>
    <row r="66" spans="1:35" s="542" customFormat="1">
      <c r="A66" s="589" t="s">
        <v>573</v>
      </c>
      <c r="B66" s="544"/>
      <c r="C66" s="544"/>
      <c r="D66" s="544"/>
      <c r="E66" s="544"/>
      <c r="F66" s="509"/>
      <c r="G66" s="541">
        <f>-AVERAGE(E72,F72)*G64</f>
        <v>-485.64429400386848</v>
      </c>
      <c r="H66" s="541">
        <f>-AVERAGE(E72,F72)*H64</f>
        <v>-495.21211328503387</v>
      </c>
      <c r="I66" s="541">
        <f>-AVERAGE(E72,F72)*I64</f>
        <v>-504.70515385721149</v>
      </c>
      <c r="J66" s="541">
        <f>-AVERAGE(E72,F72)*J64</f>
        <v>-514.14421033469</v>
      </c>
      <c r="K66" s="509">
        <f>-AVERAGE(E72,F72)*K64</f>
        <v>-523.54820544179779</v>
      </c>
      <c r="L66" s="544"/>
      <c r="M66" s="509"/>
      <c r="N66" s="544"/>
      <c r="O66" s="544"/>
      <c r="P66" s="543"/>
      <c r="Q66" s="543"/>
      <c r="R66" s="543"/>
      <c r="S66" s="543"/>
      <c r="T66" s="262"/>
      <c r="U66" s="544"/>
      <c r="V66" s="291"/>
      <c r="W66" s="262"/>
      <c r="X66" s="544"/>
      <c r="Y66" s="544"/>
      <c r="Z66" s="291"/>
      <c r="AA66" s="544"/>
      <c r="AB66" s="544"/>
      <c r="AC66" s="544"/>
      <c r="AD66" s="544"/>
      <c r="AE66" s="544"/>
      <c r="AF66" s="544"/>
      <c r="AG66" s="544"/>
      <c r="AH66" s="544"/>
      <c r="AI66" s="544"/>
    </row>
    <row r="67" spans="1:35" s="542" customFormat="1">
      <c r="A67" s="594"/>
      <c r="B67" s="105"/>
      <c r="C67" s="105"/>
      <c r="D67" s="105"/>
      <c r="E67" s="105"/>
      <c r="F67" s="103"/>
      <c r="G67" s="105"/>
      <c r="H67" s="105"/>
      <c r="I67" s="105"/>
      <c r="J67" s="105"/>
      <c r="K67" s="103"/>
      <c r="L67" s="105"/>
      <c r="M67" s="509"/>
      <c r="N67" s="544"/>
      <c r="O67" s="544"/>
      <c r="P67" s="543"/>
      <c r="Q67" s="543"/>
      <c r="R67" s="543"/>
      <c r="S67" s="543"/>
      <c r="T67" s="262"/>
      <c r="U67" s="544"/>
      <c r="V67" s="291"/>
      <c r="W67" s="262"/>
      <c r="X67" s="544"/>
      <c r="Y67" s="544"/>
      <c r="Z67" s="291"/>
      <c r="AA67" s="544"/>
      <c r="AB67" s="544"/>
      <c r="AC67" s="544"/>
      <c r="AD67" s="544"/>
      <c r="AE67" s="544"/>
      <c r="AF67" s="544"/>
      <c r="AG67" s="544"/>
      <c r="AH67" s="544"/>
      <c r="AI67" s="544"/>
    </row>
    <row r="68" spans="1:35" s="542" customFormat="1">
      <c r="A68" s="589" t="s">
        <v>570</v>
      </c>
      <c r="B68" s="544">
        <f>B58</f>
        <v>5067</v>
      </c>
      <c r="C68" s="544">
        <f t="shared" ref="C68:F68" si="24">C58</f>
        <v>5129</v>
      </c>
      <c r="D68" s="544">
        <f t="shared" si="24"/>
        <v>4606</v>
      </c>
      <c r="E68" s="544">
        <f t="shared" si="24"/>
        <v>4620</v>
      </c>
      <c r="F68" s="509">
        <f t="shared" si="24"/>
        <v>4869</v>
      </c>
      <c r="G68" s="541">
        <f>G64+G65+G66</f>
        <v>4964.9255830968814</v>
      </c>
      <c r="H68" s="541">
        <f>H64+H65+H66</f>
        <v>5060.1014455884615</v>
      </c>
      <c r="I68" s="541">
        <f>I64+I65+I66</f>
        <v>5154.7360712934978</v>
      </c>
      <c r="J68" s="541">
        <f>J64+J65+J66</f>
        <v>5249.0191767306296</v>
      </c>
      <c r="K68" s="596">
        <f>K64+K65+K66</f>
        <v>5342.8950490737898</v>
      </c>
      <c r="L68" s="544"/>
      <c r="M68" s="509"/>
      <c r="N68" s="544"/>
      <c r="O68" s="544"/>
      <c r="P68" s="543"/>
      <c r="Q68" s="543"/>
      <c r="R68" s="543"/>
      <c r="S68" s="543"/>
      <c r="T68" s="262" t="s">
        <v>646</v>
      </c>
      <c r="U68" s="544"/>
      <c r="V68" s="291"/>
      <c r="W68" s="262"/>
      <c r="X68" s="544"/>
      <c r="Y68" s="544"/>
      <c r="Z68" s="291"/>
      <c r="AA68" s="544"/>
      <c r="AB68" s="544"/>
      <c r="AC68" s="544"/>
      <c r="AD68" s="544"/>
      <c r="AE68" s="544"/>
      <c r="AF68" s="544"/>
      <c r="AG68" s="544"/>
      <c r="AH68" s="544"/>
      <c r="AI68" s="544"/>
    </row>
    <row r="69" spans="1:35" s="542" customFormat="1">
      <c r="A69" s="509" t="s">
        <v>580</v>
      </c>
      <c r="B69" s="544">
        <f>-('Reorganised Statements'!D74+'Reorganised Statements'!D75)</f>
        <v>-700</v>
      </c>
      <c r="C69" s="544">
        <f>-('Reorganised Statements'!E74+'Reorganised Statements'!E75)</f>
        <v>-593</v>
      </c>
      <c r="D69" s="544">
        <f>-('Reorganised Statements'!F74+'Reorganised Statements'!F75)</f>
        <v>-372</v>
      </c>
      <c r="E69" s="544">
        <f>-('Reorganised Statements'!G74+'Reorganised Statements'!G75)</f>
        <v>-532</v>
      </c>
      <c r="F69" s="509">
        <f>-('Reorganised Statements'!H74+'Reorganised Statements'!H75)</f>
        <v>-388</v>
      </c>
      <c r="G69" s="541">
        <f>G66</f>
        <v>-485.64429400386848</v>
      </c>
      <c r="H69" s="541">
        <f>H66</f>
        <v>-495.21211328503387</v>
      </c>
      <c r="I69" s="541">
        <f>I66</f>
        <v>-504.70515385721149</v>
      </c>
      <c r="J69" s="541">
        <f>J66</f>
        <v>-514.14421033469</v>
      </c>
      <c r="K69" s="596">
        <f>K66</f>
        <v>-523.54820544179779</v>
      </c>
      <c r="L69" s="544"/>
      <c r="M69" s="509"/>
      <c r="N69" s="544"/>
      <c r="O69" s="544"/>
      <c r="P69" s="543"/>
      <c r="Q69" s="543"/>
      <c r="R69" s="543"/>
      <c r="S69" s="543"/>
      <c r="T69" s="262" t="s">
        <v>647</v>
      </c>
      <c r="U69" s="544"/>
      <c r="V69" s="603">
        <f>AVERAGE(E60:F60)</f>
        <v>0.66960434003493996</v>
      </c>
      <c r="W69" s="262" t="s">
        <v>681</v>
      </c>
      <c r="X69" s="544"/>
      <c r="Y69" s="544"/>
      <c r="Z69" s="291">
        <f>V69*Z65</f>
        <v>8.0438568730788182E-2</v>
      </c>
      <c r="AA69" s="544"/>
      <c r="AB69" s="544"/>
      <c r="AC69" s="544"/>
      <c r="AD69" s="544"/>
      <c r="AE69" s="544"/>
      <c r="AF69" s="544"/>
      <c r="AG69" s="544"/>
      <c r="AH69" s="544"/>
      <c r="AI69" s="544"/>
    </row>
    <row r="70" spans="1:35" s="542" customFormat="1" ht="15" thickBot="1">
      <c r="A70" s="509"/>
      <c r="B70" s="544"/>
      <c r="C70" s="544"/>
      <c r="D70" s="544"/>
      <c r="E70" s="544"/>
      <c r="F70" s="509"/>
      <c r="G70" s="544"/>
      <c r="H70" s="544"/>
      <c r="I70" s="544"/>
      <c r="J70" s="544"/>
      <c r="K70" s="509"/>
      <c r="L70" s="544"/>
      <c r="M70" s="509"/>
      <c r="N70" s="544"/>
      <c r="O70" s="544"/>
      <c r="P70" s="543"/>
      <c r="Q70" s="543"/>
      <c r="R70" s="543"/>
      <c r="S70" s="543"/>
      <c r="T70" s="274" t="s">
        <v>648</v>
      </c>
      <c r="U70" s="526"/>
      <c r="V70" s="604">
        <f>1-V69</f>
        <v>0.33039565996506004</v>
      </c>
      <c r="W70" s="274" t="s">
        <v>648</v>
      </c>
      <c r="X70" s="526"/>
      <c r="Y70" s="526"/>
      <c r="Z70" s="300">
        <f>V70*Z65</f>
        <v>3.9689936897760902E-2</v>
      </c>
      <c r="AA70" s="544"/>
      <c r="AB70" s="544"/>
      <c r="AC70" s="544"/>
      <c r="AD70" s="544"/>
      <c r="AE70" s="544"/>
      <c r="AF70" s="544"/>
      <c r="AG70" s="544"/>
      <c r="AH70" s="544"/>
      <c r="AI70" s="544"/>
    </row>
    <row r="71" spans="1:35" s="542" customFormat="1">
      <c r="A71" s="509" t="s">
        <v>576</v>
      </c>
      <c r="B71" s="544"/>
      <c r="C71" s="544">
        <f>B68-C68+C69</f>
        <v>-655</v>
      </c>
      <c r="D71" s="544">
        <f t="shared" ref="D71:F71" si="25">C68-D68+D69</f>
        <v>151</v>
      </c>
      <c r="E71" s="544">
        <f t="shared" si="25"/>
        <v>-546</v>
      </c>
      <c r="F71" s="509">
        <f t="shared" si="25"/>
        <v>-637</v>
      </c>
      <c r="G71" s="541">
        <f>-G65</f>
        <v>-581.56987710074998</v>
      </c>
      <c r="H71" s="541">
        <f t="shared" ref="H71:K71" si="26">-H65</f>
        <v>-590.38797577661342</v>
      </c>
      <c r="I71" s="541">
        <f t="shared" si="26"/>
        <v>-599.33977956224794</v>
      </c>
      <c r="J71" s="541">
        <f t="shared" si="26"/>
        <v>-608.42731577182133</v>
      </c>
      <c r="K71" s="541">
        <f t="shared" si="26"/>
        <v>-617.42407778495851</v>
      </c>
      <c r="L71" s="544"/>
      <c r="M71" s="509"/>
      <c r="N71" s="544"/>
      <c r="O71" s="544"/>
      <c r="P71" s="543"/>
      <c r="Q71" s="543"/>
      <c r="R71" s="543"/>
      <c r="S71" s="543"/>
      <c r="T71" s="543"/>
      <c r="U71" s="543"/>
      <c r="V71" s="543"/>
      <c r="W71" s="543"/>
      <c r="X71" s="543"/>
      <c r="Y71" s="543"/>
      <c r="Z71" s="543"/>
      <c r="AA71" s="544"/>
      <c r="AB71" s="544"/>
      <c r="AC71" s="544"/>
      <c r="AD71" s="544"/>
      <c r="AE71" s="544"/>
      <c r="AF71" s="544"/>
      <c r="AG71" s="544"/>
      <c r="AH71" s="544"/>
      <c r="AI71" s="544"/>
    </row>
    <row r="72" spans="1:35" s="542" customFormat="1">
      <c r="A72" s="509" t="s">
        <v>635</v>
      </c>
      <c r="B72" s="544"/>
      <c r="C72" s="511">
        <f>-C69/B68</f>
        <v>0.11703177422537991</v>
      </c>
      <c r="D72" s="511">
        <f>-D69/C68</f>
        <v>7.2528758042503416E-2</v>
      </c>
      <c r="E72" s="511">
        <f>-E69/D68</f>
        <v>0.11550151975683891</v>
      </c>
      <c r="F72" s="534">
        <f>-F69/E68</f>
        <v>8.3982683982683978E-2</v>
      </c>
      <c r="G72" s="592">
        <f t="shared" ref="G72:K72" si="27">-G69/F68</f>
        <v>9.9742101869761443E-2</v>
      </c>
      <c r="H72" s="592">
        <f t="shared" si="27"/>
        <v>9.9742101869761443E-2</v>
      </c>
      <c r="I72" s="592">
        <f t="shared" si="27"/>
        <v>9.9742101869761443E-2</v>
      </c>
      <c r="J72" s="592">
        <f t="shared" si="27"/>
        <v>9.9742101869761457E-2</v>
      </c>
      <c r="K72" s="597">
        <f t="shared" si="27"/>
        <v>9.9742101869761443E-2</v>
      </c>
      <c r="L72" s="544"/>
      <c r="M72" s="509"/>
      <c r="N72" s="544"/>
      <c r="O72" s="510"/>
      <c r="P72" s="543"/>
      <c r="Q72" s="543"/>
      <c r="R72" s="543"/>
      <c r="S72" s="543"/>
      <c r="T72" s="543"/>
      <c r="U72" s="543"/>
      <c r="V72" s="543"/>
      <c r="W72" s="543"/>
      <c r="X72" s="543"/>
      <c r="Y72" s="543"/>
      <c r="Z72" s="543"/>
      <c r="AA72" s="544"/>
      <c r="AB72" s="544"/>
      <c r="AC72" s="544"/>
      <c r="AD72" s="544"/>
      <c r="AE72" s="544"/>
      <c r="AF72" s="544"/>
      <c r="AG72" s="544"/>
      <c r="AH72" s="544"/>
      <c r="AI72" s="544"/>
    </row>
    <row r="73" spans="1:35" s="542" customFormat="1">
      <c r="A73" s="509"/>
      <c r="B73" s="544"/>
      <c r="C73" s="544"/>
      <c r="D73" s="544"/>
      <c r="E73" s="544"/>
      <c r="F73" s="509"/>
      <c r="G73" s="544"/>
      <c r="H73" s="544"/>
      <c r="I73" s="544"/>
      <c r="J73" s="544"/>
      <c r="K73" s="509"/>
      <c r="L73" s="544"/>
      <c r="M73" s="509"/>
      <c r="N73" s="544"/>
      <c r="O73" s="510"/>
      <c r="P73" s="543"/>
      <c r="Q73" s="543"/>
      <c r="R73" s="543"/>
      <c r="S73" s="543"/>
      <c r="T73" s="543"/>
      <c r="U73" s="543"/>
      <c r="V73" s="543"/>
      <c r="W73" s="543"/>
      <c r="X73" s="543"/>
      <c r="Y73" s="543"/>
      <c r="Z73" s="543"/>
      <c r="AA73" s="544"/>
      <c r="AB73" s="544"/>
      <c r="AC73" s="544"/>
      <c r="AD73" s="544"/>
      <c r="AE73" s="544"/>
      <c r="AF73" s="544"/>
      <c r="AG73" s="544"/>
      <c r="AH73" s="544"/>
      <c r="AI73" s="544"/>
    </row>
    <row r="74" spans="1:35" s="542" customFormat="1">
      <c r="A74" s="103" t="s">
        <v>574</v>
      </c>
      <c r="B74" s="105"/>
      <c r="C74" s="105"/>
      <c r="D74" s="105"/>
      <c r="E74" s="105"/>
      <c r="F74" s="103"/>
      <c r="G74" s="105"/>
      <c r="H74" s="105"/>
      <c r="I74" s="105"/>
      <c r="J74" s="105"/>
      <c r="K74" s="103"/>
      <c r="L74" s="105"/>
      <c r="M74" s="509"/>
      <c r="N74" s="544"/>
      <c r="O74" s="544"/>
      <c r="P74" s="543"/>
      <c r="Q74" s="543"/>
      <c r="R74" s="543"/>
      <c r="S74" s="543"/>
      <c r="T74" s="543"/>
      <c r="U74" s="543"/>
      <c r="V74" s="543"/>
      <c r="W74" s="543"/>
      <c r="X74" s="543"/>
      <c r="Y74" s="543"/>
      <c r="Z74" s="543"/>
      <c r="AA74" s="544"/>
      <c r="AB74" s="544"/>
      <c r="AC74" s="544"/>
      <c r="AD74" s="544"/>
      <c r="AE74" s="544"/>
      <c r="AF74" s="544"/>
      <c r="AG74" s="544"/>
      <c r="AH74" s="544"/>
      <c r="AI74" s="544"/>
    </row>
    <row r="75" spans="1:35" s="542" customFormat="1">
      <c r="A75" s="509" t="s">
        <v>571</v>
      </c>
      <c r="B75" s="544"/>
      <c r="C75" s="544"/>
      <c r="D75" s="544"/>
      <c r="E75" s="544"/>
      <c r="F75" s="509"/>
      <c r="G75" s="544">
        <f>F79</f>
        <v>2379</v>
      </c>
      <c r="H75" s="541">
        <f>G79</f>
        <v>2544.298384106336</v>
      </c>
      <c r="I75" s="541">
        <f>H79</f>
        <v>2705.4946146409388</v>
      </c>
      <c r="J75" s="541">
        <f>I79</f>
        <v>2862.864443786727</v>
      </c>
      <c r="K75" s="596">
        <f>J79</f>
        <v>3016.670522386582</v>
      </c>
      <c r="L75" s="544"/>
      <c r="M75" s="509"/>
      <c r="N75" s="544"/>
      <c r="O75" s="544"/>
      <c r="P75" s="543"/>
      <c r="Q75" s="543"/>
      <c r="R75" s="543"/>
      <c r="S75" s="543"/>
      <c r="T75" s="543"/>
      <c r="U75" s="543"/>
      <c r="V75" s="543"/>
      <c r="W75" s="543"/>
      <c r="X75" s="543"/>
      <c r="Y75" s="543"/>
      <c r="Z75" s="543"/>
      <c r="AA75" s="544"/>
      <c r="AB75" s="544"/>
      <c r="AC75" s="544"/>
      <c r="AD75" s="544"/>
      <c r="AE75" s="544"/>
      <c r="AF75" s="544"/>
      <c r="AG75" s="544"/>
      <c r="AH75" s="544"/>
      <c r="AI75" s="544"/>
    </row>
    <row r="76" spans="1:35" s="542" customFormat="1">
      <c r="A76" s="509" t="s">
        <v>572</v>
      </c>
      <c r="B76" s="544"/>
      <c r="C76" s="544"/>
      <c r="D76" s="544"/>
      <c r="E76" s="544"/>
      <c r="F76" s="509"/>
      <c r="G76" s="541">
        <f>Z70*G37</f>
        <v>286.95776277446896</v>
      </c>
      <c r="H76" s="541">
        <f>Z70*H37</f>
        <v>291.3087822608374</v>
      </c>
      <c r="I76" s="541">
        <f>Z70*I37</f>
        <v>295.72577441993559</v>
      </c>
      <c r="J76" s="541">
        <f>Z70*J37</f>
        <v>300.20973956756546</v>
      </c>
      <c r="K76" s="596">
        <f>Z70*K37</f>
        <v>304.64891498080124</v>
      </c>
      <c r="L76" s="544"/>
      <c r="M76" s="509"/>
      <c r="N76" s="544"/>
      <c r="O76" s="544"/>
      <c r="P76" s="543"/>
      <c r="Q76" s="543"/>
      <c r="R76" s="543"/>
      <c r="S76" s="543"/>
      <c r="T76" s="543"/>
      <c r="U76" s="543"/>
      <c r="V76" s="543"/>
      <c r="W76" s="543"/>
      <c r="X76" s="543"/>
      <c r="Y76" s="543"/>
      <c r="Z76" s="543"/>
      <c r="AA76" s="544"/>
      <c r="AB76" s="544"/>
      <c r="AC76" s="544"/>
      <c r="AD76" s="544"/>
      <c r="AE76" s="544"/>
      <c r="AF76" s="544"/>
      <c r="AG76" s="544"/>
      <c r="AH76" s="544"/>
      <c r="AI76" s="544"/>
    </row>
    <row r="77" spans="1:35" s="542" customFormat="1">
      <c r="A77" s="509" t="s">
        <v>579</v>
      </c>
      <c r="B77" s="544"/>
      <c r="C77" s="544"/>
      <c r="D77" s="544"/>
      <c r="E77" s="544"/>
      <c r="F77" s="509"/>
      <c r="G77" s="541">
        <f>-AVERAGE(E83,F83)*G75</f>
        <v>-121.65937866813286</v>
      </c>
      <c r="H77" s="544">
        <f>-AVERAGE(E83,F83)*H75</f>
        <v>-130.11255172623424</v>
      </c>
      <c r="I77" s="544">
        <f>-AVERAGE(E83,F83)*I75</f>
        <v>-138.35594527414719</v>
      </c>
      <c r="J77" s="544">
        <f>-AVERAGE(E83,F83)*J75</f>
        <v>-146.40366096771038</v>
      </c>
      <c r="K77" s="509">
        <f>-AVERAGE(E83,F83)*K75</f>
        <v>-154.26913047499932</v>
      </c>
      <c r="L77" s="544"/>
      <c r="M77" s="509"/>
      <c r="N77" s="544"/>
      <c r="O77" s="544"/>
      <c r="P77" s="543"/>
      <c r="Q77" s="543"/>
      <c r="R77" s="543"/>
      <c r="S77" s="543"/>
      <c r="T77" s="543"/>
      <c r="U77" s="543"/>
      <c r="V77" s="543"/>
      <c r="W77" s="543"/>
      <c r="X77" s="543"/>
      <c r="Y77" s="543"/>
      <c r="Z77" s="543"/>
      <c r="AA77" s="544"/>
      <c r="AB77" s="544"/>
      <c r="AC77" s="544"/>
      <c r="AD77" s="544"/>
      <c r="AE77" s="544"/>
      <c r="AF77" s="544"/>
      <c r="AG77" s="544"/>
      <c r="AH77" s="544"/>
      <c r="AI77" s="544"/>
    </row>
    <row r="78" spans="1:35" s="542" customFormat="1">
      <c r="A78" s="103"/>
      <c r="B78" s="105"/>
      <c r="C78" s="105"/>
      <c r="D78" s="105"/>
      <c r="E78" s="105"/>
      <c r="F78" s="103"/>
      <c r="G78" s="105"/>
      <c r="H78" s="105"/>
      <c r="I78" s="105"/>
      <c r="J78" s="105"/>
      <c r="K78" s="103"/>
      <c r="L78" s="105"/>
      <c r="M78" s="509"/>
      <c r="N78" s="544"/>
      <c r="O78" s="544"/>
      <c r="P78" s="543"/>
      <c r="Q78" s="543"/>
      <c r="R78" s="543"/>
      <c r="S78" s="543"/>
      <c r="T78" s="543"/>
      <c r="U78" s="543"/>
      <c r="V78" s="543"/>
      <c r="W78" s="543"/>
      <c r="X78" s="543"/>
      <c r="Y78" s="543"/>
      <c r="Z78" s="543"/>
      <c r="AA78" s="544"/>
      <c r="AB78" s="544"/>
      <c r="AC78" s="544"/>
      <c r="AD78" s="544"/>
      <c r="AE78" s="544"/>
      <c r="AF78" s="544"/>
      <c r="AG78" s="544"/>
      <c r="AH78" s="544"/>
      <c r="AI78" s="544"/>
    </row>
    <row r="79" spans="1:35" s="542" customFormat="1">
      <c r="A79" s="509" t="s">
        <v>569</v>
      </c>
      <c r="B79" s="544">
        <f>B59</f>
        <v>1348</v>
      </c>
      <c r="C79" s="544">
        <f t="shared" ref="C79:F79" si="28">C59</f>
        <v>1704</v>
      </c>
      <c r="D79" s="544">
        <f t="shared" si="28"/>
        <v>1863</v>
      </c>
      <c r="E79" s="544">
        <f t="shared" si="28"/>
        <v>2302</v>
      </c>
      <c r="F79" s="509">
        <f t="shared" si="28"/>
        <v>2379</v>
      </c>
      <c r="G79" s="541">
        <f>G75+G76+G77</f>
        <v>2544.298384106336</v>
      </c>
      <c r="H79" s="541">
        <f>H75+H76+H77</f>
        <v>2705.4946146409388</v>
      </c>
      <c r="I79" s="541">
        <f>I75+I76+I77</f>
        <v>2862.864443786727</v>
      </c>
      <c r="J79" s="541">
        <f>J75+J76+J77</f>
        <v>3016.670522386582</v>
      </c>
      <c r="K79" s="596">
        <f>K75+K76+K77</f>
        <v>3167.050306892384</v>
      </c>
      <c r="L79" s="544"/>
      <c r="M79" s="509"/>
      <c r="N79" s="544"/>
      <c r="O79" s="544"/>
      <c r="P79" s="543"/>
      <c r="Q79" s="543"/>
      <c r="R79" s="543"/>
      <c r="S79" s="543"/>
      <c r="T79" s="543"/>
      <c r="U79" s="543"/>
      <c r="V79" s="543"/>
      <c r="W79" s="543"/>
      <c r="X79" s="543"/>
      <c r="Y79" s="543"/>
      <c r="Z79" s="543"/>
      <c r="AA79" s="544"/>
      <c r="AB79" s="544"/>
      <c r="AC79" s="544"/>
      <c r="AD79" s="544"/>
      <c r="AE79" s="544"/>
      <c r="AF79" s="544"/>
      <c r="AG79" s="544"/>
      <c r="AH79" s="544"/>
      <c r="AI79" s="544"/>
    </row>
    <row r="80" spans="1:35" s="542" customFormat="1">
      <c r="A80" s="509" t="s">
        <v>578</v>
      </c>
      <c r="B80" s="544">
        <f>-'Reorganised Statements'!D73</f>
        <v>-54</v>
      </c>
      <c r="C80" s="544">
        <f>-'Reorganised Statements'!E73</f>
        <v>-55</v>
      </c>
      <c r="D80" s="544">
        <f>-'Reorganised Statements'!F73</f>
        <v>-72</v>
      </c>
      <c r="E80" s="544">
        <f>-'Reorganised Statements'!G73</f>
        <v>-91</v>
      </c>
      <c r="F80" s="509">
        <f>-'Reorganised Statements'!H73</f>
        <v>-123</v>
      </c>
      <c r="G80" s="541">
        <f>G77</f>
        <v>-121.65937866813286</v>
      </c>
      <c r="H80" s="541">
        <f>H77</f>
        <v>-130.11255172623424</v>
      </c>
      <c r="I80" s="541">
        <f>I77</f>
        <v>-138.35594527414719</v>
      </c>
      <c r="J80" s="541">
        <f>J77</f>
        <v>-146.40366096771038</v>
      </c>
      <c r="K80" s="596">
        <f>K77</f>
        <v>-154.26913047499932</v>
      </c>
      <c r="L80" s="544"/>
      <c r="M80" s="509"/>
      <c r="N80" s="544"/>
      <c r="O80" s="544"/>
      <c r="P80" s="543"/>
      <c r="Q80" s="543"/>
      <c r="R80" s="543"/>
      <c r="S80" s="543"/>
      <c r="T80" s="543"/>
      <c r="U80" s="543"/>
      <c r="V80" s="543"/>
      <c r="W80" s="543"/>
      <c r="X80" s="543"/>
      <c r="Y80" s="543"/>
      <c r="Z80" s="543"/>
      <c r="AA80" s="544"/>
      <c r="AB80" s="544"/>
      <c r="AC80" s="544"/>
      <c r="AD80" s="544"/>
      <c r="AE80" s="544"/>
      <c r="AF80" s="544"/>
      <c r="AG80" s="544"/>
      <c r="AH80" s="544"/>
      <c r="AI80" s="544"/>
    </row>
    <row r="81" spans="1:35" s="542" customFormat="1">
      <c r="A81" s="509"/>
      <c r="B81" s="544"/>
      <c r="C81" s="544"/>
      <c r="D81" s="544"/>
      <c r="E81" s="544"/>
      <c r="F81" s="509"/>
      <c r="G81" s="544"/>
      <c r="H81" s="544"/>
      <c r="I81" s="544"/>
      <c r="J81" s="544"/>
      <c r="K81" s="509"/>
      <c r="L81" s="544"/>
      <c r="M81" s="509"/>
      <c r="N81" s="544"/>
      <c r="O81" s="544"/>
      <c r="P81" s="543"/>
      <c r="Q81" s="543"/>
      <c r="R81" s="543"/>
      <c r="S81" s="543"/>
      <c r="T81" s="543"/>
      <c r="U81" s="543"/>
      <c r="V81" s="543"/>
      <c r="W81" s="543"/>
      <c r="X81" s="543"/>
      <c r="Y81" s="543"/>
      <c r="Z81" s="543"/>
      <c r="AA81" s="544"/>
      <c r="AB81" s="544"/>
      <c r="AC81" s="544"/>
      <c r="AD81" s="544"/>
      <c r="AE81" s="544"/>
      <c r="AF81" s="544"/>
      <c r="AG81" s="544"/>
      <c r="AH81" s="544"/>
      <c r="AI81" s="544"/>
    </row>
    <row r="82" spans="1:35" s="542" customFormat="1">
      <c r="A82" s="509" t="s">
        <v>577</v>
      </c>
      <c r="B82" s="544"/>
      <c r="C82" s="544">
        <f>B79-C79+C80</f>
        <v>-411</v>
      </c>
      <c r="D82" s="544">
        <f t="shared" ref="D82:F82" si="29">C79-D79+D80</f>
        <v>-231</v>
      </c>
      <c r="E82" s="544">
        <f t="shared" si="29"/>
        <v>-530</v>
      </c>
      <c r="F82" s="509">
        <f t="shared" si="29"/>
        <v>-200</v>
      </c>
      <c r="G82" s="541">
        <f>-G76</f>
        <v>-286.95776277446896</v>
      </c>
      <c r="H82" s="541">
        <f t="shared" ref="H82:K82" si="30">-H76</f>
        <v>-291.3087822608374</v>
      </c>
      <c r="I82" s="541">
        <f t="shared" si="30"/>
        <v>-295.72577441993559</v>
      </c>
      <c r="J82" s="541">
        <f t="shared" si="30"/>
        <v>-300.20973956756546</v>
      </c>
      <c r="K82" s="596">
        <f t="shared" si="30"/>
        <v>-304.64891498080124</v>
      </c>
      <c r="L82" s="544"/>
      <c r="M82" s="509"/>
      <c r="N82" s="544"/>
      <c r="O82" s="544"/>
      <c r="P82" s="543"/>
      <c r="Q82" s="543"/>
      <c r="R82" s="543"/>
      <c r="S82" s="543"/>
      <c r="T82" s="543"/>
      <c r="U82" s="543"/>
      <c r="V82" s="543"/>
      <c r="W82" s="543"/>
      <c r="X82" s="543"/>
      <c r="Y82" s="543"/>
      <c r="Z82" s="543"/>
      <c r="AA82" s="544"/>
      <c r="AB82" s="544"/>
      <c r="AC82" s="544"/>
      <c r="AD82" s="544"/>
      <c r="AE82" s="544"/>
      <c r="AF82" s="544"/>
      <c r="AG82" s="544"/>
      <c r="AH82" s="544"/>
      <c r="AI82" s="544"/>
    </row>
    <row r="83" spans="1:35" s="542" customFormat="1">
      <c r="A83" s="103" t="s">
        <v>635</v>
      </c>
      <c r="B83" s="105"/>
      <c r="C83" s="529">
        <f>-C80/B79</f>
        <v>4.0801186943620178E-2</v>
      </c>
      <c r="D83" s="529">
        <f t="shared" ref="D83:K83" si="31">-D80/C79</f>
        <v>4.2253521126760563E-2</v>
      </c>
      <c r="E83" s="529">
        <f t="shared" si="31"/>
        <v>4.8845947396672036E-2</v>
      </c>
      <c r="F83" s="609">
        <f t="shared" si="31"/>
        <v>5.3431798436142486E-2</v>
      </c>
      <c r="G83" s="595">
        <f t="shared" si="31"/>
        <v>5.1138872916407258E-2</v>
      </c>
      <c r="H83" s="595">
        <f t="shared" si="31"/>
        <v>5.1138872916407251E-2</v>
      </c>
      <c r="I83" s="595">
        <f t="shared" si="31"/>
        <v>5.1138872916407258E-2</v>
      </c>
      <c r="J83" s="595">
        <f t="shared" si="31"/>
        <v>5.1138872916407258E-2</v>
      </c>
      <c r="K83" s="598">
        <f t="shared" si="31"/>
        <v>5.1138872916407258E-2</v>
      </c>
      <c r="L83" s="105"/>
      <c r="M83" s="509"/>
      <c r="N83" s="544"/>
      <c r="O83" s="544"/>
      <c r="P83" s="543"/>
      <c r="Q83" s="543"/>
      <c r="R83" s="543"/>
      <c r="S83" s="543"/>
      <c r="T83" s="543"/>
      <c r="U83" s="543"/>
      <c r="V83" s="543"/>
      <c r="W83" s="543"/>
      <c r="X83" s="543"/>
      <c r="Y83" s="543"/>
      <c r="Z83" s="543"/>
      <c r="AA83" s="544"/>
      <c r="AB83" s="544"/>
      <c r="AC83" s="544"/>
      <c r="AD83" s="544"/>
      <c r="AE83" s="544"/>
      <c r="AF83" s="544"/>
      <c r="AG83" s="544"/>
      <c r="AH83" s="544"/>
      <c r="AI83" s="544"/>
    </row>
    <row r="84" spans="1:35" s="542" customFormat="1">
      <c r="A84" s="509"/>
      <c r="B84" s="544"/>
      <c r="C84" s="544"/>
      <c r="D84" s="544"/>
      <c r="E84" s="544"/>
      <c r="F84" s="522"/>
      <c r="G84" s="544"/>
      <c r="H84" s="544"/>
      <c r="I84" s="544"/>
      <c r="J84" s="544"/>
      <c r="K84" s="509"/>
      <c r="L84" s="544"/>
      <c r="M84" s="509"/>
      <c r="N84" s="544"/>
      <c r="O84" s="544"/>
      <c r="P84" s="543"/>
      <c r="Q84" s="543"/>
      <c r="R84" s="543"/>
      <c r="S84" s="543"/>
      <c r="T84" s="543"/>
      <c r="U84" s="540"/>
      <c r="V84" s="543"/>
      <c r="W84" s="543"/>
      <c r="X84" s="543"/>
      <c r="Y84" s="543"/>
      <c r="Z84" s="543"/>
      <c r="AA84" s="544"/>
      <c r="AB84" s="544"/>
      <c r="AC84" s="544"/>
      <c r="AD84" s="544"/>
      <c r="AE84" s="544"/>
      <c r="AF84" s="544"/>
      <c r="AG84" s="544"/>
      <c r="AH84" s="544"/>
      <c r="AI84" s="544"/>
    </row>
    <row r="85" spans="1:35" s="542" customFormat="1">
      <c r="A85" s="509" t="s">
        <v>487</v>
      </c>
      <c r="B85" s="544">
        <f>'Reorganised Statements'!D76</f>
        <v>-79</v>
      </c>
      <c r="C85" s="544">
        <f>'Reorganised Statements'!E76</f>
        <v>-71</v>
      </c>
      <c r="D85" s="544">
        <f>'Reorganised Statements'!F76</f>
        <v>-45</v>
      </c>
      <c r="E85" s="544">
        <f>'Reorganised Statements'!G76</f>
        <v>-20</v>
      </c>
      <c r="F85" s="509">
        <f>'Reorganised Statements'!H76</f>
        <v>-36</v>
      </c>
      <c r="G85" s="544">
        <f>AVERAGE(B85,C85,D85,E85,F85)</f>
        <v>-50.2</v>
      </c>
      <c r="H85" s="544">
        <f>G85</f>
        <v>-50.2</v>
      </c>
      <c r="I85" s="544">
        <f>H85</f>
        <v>-50.2</v>
      </c>
      <c r="J85" s="544">
        <f>I85</f>
        <v>-50.2</v>
      </c>
      <c r="K85" s="509">
        <f>J85</f>
        <v>-50.2</v>
      </c>
      <c r="L85" s="544"/>
      <c r="M85" s="509"/>
      <c r="N85" s="544"/>
      <c r="O85" s="544"/>
      <c r="P85" s="543"/>
      <c r="Q85" s="543"/>
      <c r="R85" s="543"/>
      <c r="S85" s="543"/>
      <c r="T85" s="543"/>
      <c r="U85" s="540"/>
      <c r="V85" s="543"/>
      <c r="W85" s="543"/>
      <c r="X85" s="543"/>
      <c r="Y85" s="543"/>
      <c r="Z85" s="543"/>
      <c r="AA85" s="544"/>
      <c r="AB85" s="544"/>
      <c r="AC85" s="544"/>
      <c r="AD85" s="544"/>
      <c r="AE85" s="544"/>
      <c r="AF85" s="544"/>
      <c r="AG85" s="544"/>
      <c r="AH85" s="544"/>
      <c r="AI85" s="544"/>
    </row>
    <row r="86" spans="1:35" s="542" customFormat="1">
      <c r="A86" s="509"/>
      <c r="B86" s="544"/>
      <c r="C86" s="544"/>
      <c r="D86" s="544"/>
      <c r="E86" s="544"/>
      <c r="F86" s="509"/>
      <c r="G86" s="544"/>
      <c r="H86" s="544"/>
      <c r="I86" s="544"/>
      <c r="J86" s="544"/>
      <c r="K86" s="509"/>
      <c r="L86" s="544"/>
      <c r="M86" s="509"/>
      <c r="N86" s="544"/>
      <c r="O86" s="544"/>
      <c r="P86" s="543"/>
      <c r="Q86" s="543"/>
      <c r="R86" s="543"/>
      <c r="S86" s="543"/>
      <c r="T86" s="543"/>
      <c r="U86" s="540"/>
      <c r="V86" s="543"/>
      <c r="W86" s="543"/>
      <c r="X86" s="543"/>
      <c r="Y86" s="543"/>
      <c r="Z86" s="543"/>
      <c r="AA86" s="544"/>
      <c r="AB86" s="544"/>
      <c r="AC86" s="544"/>
      <c r="AD86" s="544"/>
      <c r="AE86" s="544"/>
      <c r="AF86" s="544"/>
      <c r="AG86" s="544"/>
      <c r="AH86" s="544"/>
      <c r="AI86" s="544"/>
    </row>
    <row r="87" spans="1:35" s="542" customFormat="1" ht="15" thickBot="1">
      <c r="A87" s="509"/>
      <c r="B87" s="544"/>
      <c r="C87" s="544"/>
      <c r="D87" s="544"/>
      <c r="E87" s="544"/>
      <c r="F87" s="509"/>
      <c r="G87" s="544"/>
      <c r="H87" s="544"/>
      <c r="I87" s="544"/>
      <c r="J87" s="544"/>
      <c r="K87" s="509"/>
      <c r="L87" s="544"/>
      <c r="M87" s="509"/>
      <c r="N87" s="544"/>
      <c r="O87" s="544"/>
      <c r="P87" s="543"/>
      <c r="Q87" s="543"/>
      <c r="R87" s="543"/>
      <c r="S87" s="543"/>
      <c r="T87" s="543"/>
      <c r="U87" s="543"/>
      <c r="V87" s="543"/>
      <c r="W87" s="543"/>
      <c r="X87" s="543"/>
      <c r="Y87" s="543"/>
      <c r="Z87" s="543"/>
      <c r="AA87" s="544"/>
      <c r="AB87" s="544"/>
      <c r="AC87" s="544"/>
      <c r="AD87" s="544"/>
      <c r="AE87" s="544"/>
      <c r="AF87" s="544"/>
      <c r="AG87" s="544"/>
      <c r="AH87" s="544"/>
      <c r="AI87" s="544"/>
    </row>
    <row r="88" spans="1:35" s="542" customFormat="1" ht="15" thickBot="1">
      <c r="A88" s="632" t="s">
        <v>650</v>
      </c>
      <c r="B88" s="544"/>
      <c r="C88" s="544"/>
      <c r="D88" s="544"/>
      <c r="E88" s="544"/>
      <c r="F88" s="509"/>
      <c r="G88" s="544"/>
      <c r="H88" s="544"/>
      <c r="I88" s="544"/>
      <c r="J88" s="544"/>
      <c r="K88" s="509"/>
      <c r="L88" s="544"/>
      <c r="M88" s="509"/>
      <c r="N88" s="544"/>
      <c r="O88" s="544"/>
      <c r="P88" s="543"/>
      <c r="Q88" s="543"/>
      <c r="R88" s="543"/>
      <c r="S88" s="543"/>
      <c r="T88" s="543"/>
      <c r="U88" s="543"/>
      <c r="V88" s="543"/>
      <c r="W88" s="543"/>
      <c r="X88" s="543"/>
      <c r="Y88" s="543"/>
      <c r="Z88" s="543"/>
      <c r="AA88" s="544"/>
      <c r="AB88" s="544"/>
      <c r="AC88" s="544"/>
      <c r="AD88" s="544"/>
      <c r="AE88" s="544"/>
      <c r="AF88" s="544"/>
      <c r="AG88" s="544"/>
      <c r="AH88" s="544"/>
      <c r="AI88" s="544"/>
    </row>
    <row r="89" spans="1:35" s="542" customFormat="1">
      <c r="A89" s="509"/>
      <c r="B89" s="544"/>
      <c r="C89" s="544"/>
      <c r="D89" s="544"/>
      <c r="E89" s="544"/>
      <c r="F89" s="509"/>
      <c r="G89" s="544"/>
      <c r="H89" s="544"/>
      <c r="I89" s="544"/>
      <c r="J89" s="544"/>
      <c r="K89" s="509"/>
      <c r="L89" s="544"/>
      <c r="M89" s="509"/>
      <c r="N89" s="544"/>
      <c r="O89" s="544"/>
      <c r="P89" s="543"/>
      <c r="Q89" s="543"/>
      <c r="R89" s="543"/>
      <c r="S89" s="543"/>
      <c r="T89" s="543"/>
      <c r="U89" s="543"/>
      <c r="V89" s="543"/>
      <c r="W89" s="543"/>
      <c r="X89" s="543"/>
      <c r="Y89" s="543"/>
      <c r="Z89" s="543"/>
      <c r="AA89" s="544"/>
      <c r="AB89" s="544"/>
      <c r="AC89" s="544"/>
      <c r="AD89" s="544"/>
      <c r="AE89" s="544"/>
      <c r="AF89" s="544"/>
      <c r="AG89" s="544"/>
      <c r="AH89" s="544"/>
      <c r="AI89" s="544"/>
    </row>
    <row r="90" spans="1:35" s="542" customFormat="1">
      <c r="A90" s="509" t="s">
        <v>468</v>
      </c>
      <c r="B90" s="544">
        <f>'Reorganised Statements'!D10</f>
        <v>184</v>
      </c>
      <c r="C90" s="544">
        <f>'Reorganised Statements'!E10</f>
        <v>159</v>
      </c>
      <c r="D90" s="544">
        <f>'Reorganised Statements'!F10</f>
        <v>147</v>
      </c>
      <c r="E90" s="544">
        <f>'Reorganised Statements'!G10</f>
        <v>187</v>
      </c>
      <c r="F90" s="509">
        <f>'Reorganised Statements'!H10</f>
        <v>184</v>
      </c>
      <c r="G90" s="564">
        <f>-((G94*G42)/365)</f>
        <v>190.42111289934894</v>
      </c>
      <c r="H90" s="564">
        <f t="shared" ref="H90:K90" si="32">-((H94*H42)/365)</f>
        <v>193.30838789351665</v>
      </c>
      <c r="I90" s="564">
        <f t="shared" si="32"/>
        <v>196.23944142024843</v>
      </c>
      <c r="J90" s="564">
        <f t="shared" si="32"/>
        <v>199.21493727496295</v>
      </c>
      <c r="K90" s="565">
        <f t="shared" si="32"/>
        <v>202.16071129540006</v>
      </c>
      <c r="L90" s="544"/>
      <c r="M90" s="509"/>
      <c r="N90" s="544"/>
      <c r="O90" s="544"/>
      <c r="P90" s="543"/>
      <c r="Q90" s="543"/>
      <c r="R90" s="543"/>
      <c r="S90" s="543"/>
      <c r="T90" s="543"/>
      <c r="U90" s="543"/>
      <c r="V90" s="543"/>
      <c r="W90" s="543"/>
      <c r="X90" s="543"/>
      <c r="Y90" s="543"/>
      <c r="Z90" s="543"/>
      <c r="AA90" s="544"/>
      <c r="AB90" s="544"/>
      <c r="AC90" s="544"/>
      <c r="AD90" s="544"/>
      <c r="AE90" s="544"/>
      <c r="AF90" s="544"/>
      <c r="AG90" s="544"/>
      <c r="AH90" s="544"/>
      <c r="AI90" s="544"/>
    </row>
    <row r="91" spans="1:35" s="542" customFormat="1">
      <c r="A91" s="509" t="s">
        <v>469</v>
      </c>
      <c r="B91" s="544">
        <f>'Reorganised Statements'!D11</f>
        <v>1485</v>
      </c>
      <c r="C91" s="544">
        <f>'Reorganised Statements'!E11</f>
        <v>1821</v>
      </c>
      <c r="D91" s="544">
        <f>'Reorganised Statements'!F11</f>
        <v>1671</v>
      </c>
      <c r="E91" s="544">
        <f>'Reorganised Statements'!G11</f>
        <v>1781</v>
      </c>
      <c r="F91" s="509">
        <f>'Reorganised Statements'!H11</f>
        <v>1852</v>
      </c>
      <c r="G91" s="564">
        <f>((G95*G37)/365)</f>
        <v>1921.3940396484129</v>
      </c>
      <c r="H91" s="564">
        <f t="shared" ref="H91:K91" si="33">((H95*H37)/365)</f>
        <v>1950.527326814695</v>
      </c>
      <c r="I91" s="564">
        <f t="shared" si="33"/>
        <v>1980.1023497226311</v>
      </c>
      <c r="J91" s="564">
        <f t="shared" si="33"/>
        <v>2010.1258062248985</v>
      </c>
      <c r="K91" s="565">
        <f t="shared" si="33"/>
        <v>2039.8493623938548</v>
      </c>
      <c r="L91" s="544"/>
      <c r="M91" s="509"/>
      <c r="N91" s="544"/>
      <c r="O91" s="544"/>
      <c r="P91" s="543"/>
      <c r="Q91" s="543"/>
      <c r="R91" s="543"/>
      <c r="S91" s="543"/>
      <c r="T91" s="543"/>
      <c r="U91" s="543"/>
      <c r="V91" s="543"/>
      <c r="W91" s="543"/>
      <c r="X91" s="543"/>
      <c r="Y91" s="543"/>
      <c r="Z91" s="543"/>
      <c r="AA91" s="544"/>
      <c r="AB91" s="544"/>
      <c r="AC91" s="544"/>
      <c r="AD91" s="544"/>
      <c r="AE91" s="544"/>
      <c r="AF91" s="544"/>
      <c r="AG91" s="544"/>
      <c r="AH91" s="544"/>
      <c r="AI91" s="544"/>
    </row>
    <row r="92" spans="1:35" s="542" customFormat="1">
      <c r="A92" s="509" t="s">
        <v>469</v>
      </c>
      <c r="B92" s="544">
        <f>'Reorganised Statements'!D12</f>
        <v>-1170</v>
      </c>
      <c r="C92" s="544">
        <f>'Reorganised Statements'!E12</f>
        <v>-1384</v>
      </c>
      <c r="D92" s="544">
        <f>'Reorganised Statements'!F12</f>
        <v>-1381</v>
      </c>
      <c r="E92" s="544">
        <f>'Reorganised Statements'!G12</f>
        <v>-1413</v>
      </c>
      <c r="F92" s="509">
        <f>'Reorganised Statements'!H12</f>
        <v>-1481</v>
      </c>
      <c r="G92" s="564">
        <f>((G96*G42)/365)</f>
        <v>-1529.4201698824452</v>
      </c>
      <c r="H92" s="564">
        <f t="shared" ref="H92:K92" si="34">((H96*H42)/365)</f>
        <v>-1552.6101226394769</v>
      </c>
      <c r="I92" s="564">
        <f t="shared" si="34"/>
        <v>-1576.1516948660721</v>
      </c>
      <c r="J92" s="564">
        <f t="shared" si="34"/>
        <v>-1600.0502180198957</v>
      </c>
      <c r="K92" s="565">
        <f t="shared" si="34"/>
        <v>-1623.7100219889735</v>
      </c>
      <c r="L92" s="544"/>
      <c r="M92" s="509"/>
      <c r="N92" s="544"/>
      <c r="O92" s="544"/>
      <c r="P92" s="543"/>
      <c r="Q92" s="543"/>
      <c r="R92" s="543"/>
      <c r="S92" s="543"/>
      <c r="T92" s="543"/>
      <c r="U92" s="543"/>
      <c r="V92" s="543"/>
      <c r="W92" s="543"/>
      <c r="X92" s="543"/>
      <c r="Y92" s="543"/>
      <c r="Z92" s="543"/>
      <c r="AA92" s="544"/>
      <c r="AB92" s="544"/>
      <c r="AC92" s="544"/>
      <c r="AD92" s="544"/>
      <c r="AE92" s="544"/>
      <c r="AF92" s="544"/>
      <c r="AG92" s="544"/>
      <c r="AH92" s="544"/>
      <c r="AI92" s="544"/>
    </row>
    <row r="93" spans="1:35" s="542" customFormat="1">
      <c r="A93" s="103" t="s">
        <v>691</v>
      </c>
      <c r="B93" s="105">
        <f>'Reorganised Statements'!D15+'Reorganised Statements'!D21</f>
        <v>-47</v>
      </c>
      <c r="C93" s="105">
        <f>'Reorganised Statements'!E15+'Reorganised Statements'!E21</f>
        <v>-198</v>
      </c>
      <c r="D93" s="105">
        <f>'Reorganised Statements'!F15+'Reorganised Statements'!F21</f>
        <v>-110</v>
      </c>
      <c r="E93" s="105">
        <f>'Reorganised Statements'!G15+'Reorganised Statements'!G21</f>
        <v>-253</v>
      </c>
      <c r="F93" s="103">
        <f>'Reorganised Statements'!H15+'Reorganised Statements'!H21</f>
        <v>-334</v>
      </c>
      <c r="G93" s="572">
        <f>-((G97*G37)/365)</f>
        <v>-315.37706633831738</v>
      </c>
      <c r="H93" s="572">
        <f t="shared" ref="H93:K93" si="35">-((H97*H37)/365)</f>
        <v>-320.15899573421319</v>
      </c>
      <c r="I93" s="572">
        <f t="shared" si="35"/>
        <v>-325.01343150799136</v>
      </c>
      <c r="J93" s="572">
        <f t="shared" si="35"/>
        <v>-329.94147304326845</v>
      </c>
      <c r="K93" s="573">
        <f t="shared" si="35"/>
        <v>-334.82028902388998</v>
      </c>
      <c r="L93" s="544"/>
      <c r="M93" s="509"/>
      <c r="N93" s="544"/>
      <c r="O93" s="544"/>
      <c r="P93" s="543"/>
      <c r="Q93" s="543"/>
      <c r="R93" s="543"/>
      <c r="S93" s="543"/>
      <c r="T93" s="543"/>
      <c r="U93" s="543"/>
      <c r="V93" s="543"/>
      <c r="W93" s="543"/>
      <c r="X93" s="543"/>
      <c r="Y93" s="543"/>
      <c r="Z93" s="543"/>
      <c r="AA93" s="544"/>
      <c r="AB93" s="544"/>
      <c r="AC93" s="544"/>
      <c r="AD93" s="544"/>
      <c r="AE93" s="544"/>
      <c r="AF93" s="544"/>
      <c r="AG93" s="544"/>
      <c r="AH93" s="544"/>
      <c r="AI93" s="544"/>
    </row>
    <row r="94" spans="1:35" s="542" customFormat="1">
      <c r="A94" s="509" t="s">
        <v>695</v>
      </c>
      <c r="B94" s="564">
        <f>-(B90)/(B42/365)</f>
        <v>29.378827646544181</v>
      </c>
      <c r="C94" s="564">
        <f>-(C90)/(C42/365)</f>
        <v>27.62256068538791</v>
      </c>
      <c r="D94" s="564">
        <f t="shared" ref="D94:F94" si="36">-(D90)/(D42/365)</f>
        <v>18.952666902154714</v>
      </c>
      <c r="E94" s="564">
        <f t="shared" si="36"/>
        <v>20.398983861326958</v>
      </c>
      <c r="F94" s="565">
        <f t="shared" si="36"/>
        <v>16.773226773226774</v>
      </c>
      <c r="G94" s="564">
        <v>18</v>
      </c>
      <c r="H94" s="564">
        <f>G94</f>
        <v>18</v>
      </c>
      <c r="I94" s="564">
        <f t="shared" ref="I94:K94" si="37">H94</f>
        <v>18</v>
      </c>
      <c r="J94" s="564">
        <f t="shared" si="37"/>
        <v>18</v>
      </c>
      <c r="K94" s="565">
        <f t="shared" si="37"/>
        <v>18</v>
      </c>
      <c r="L94" s="544"/>
      <c r="M94" s="509"/>
      <c r="N94" s="544"/>
      <c r="O94" s="544"/>
      <c r="P94" s="543"/>
      <c r="Q94" s="543"/>
      <c r="R94" s="543"/>
      <c r="S94" s="543"/>
      <c r="T94" s="543"/>
      <c r="U94" s="543"/>
      <c r="V94" s="543"/>
      <c r="W94" s="543"/>
      <c r="X94" s="543"/>
      <c r="Y94" s="543"/>
      <c r="Z94" s="543"/>
      <c r="AA94" s="544"/>
      <c r="AB94" s="544"/>
      <c r="AC94" s="544"/>
      <c r="AD94" s="544"/>
      <c r="AE94" s="544"/>
      <c r="AF94" s="544"/>
      <c r="AG94" s="544"/>
      <c r="AH94" s="544"/>
      <c r="AI94" s="544"/>
    </row>
    <row r="95" spans="1:35" s="542" customFormat="1">
      <c r="A95" s="509" t="s">
        <v>694</v>
      </c>
      <c r="B95" s="564">
        <f>(B91)/(B37/365)</f>
        <v>114.54459002535926</v>
      </c>
      <c r="C95" s="564">
        <f>(C91)/(C37/365)</f>
        <v>145.09168303863785</v>
      </c>
      <c r="D95" s="564">
        <f t="shared" ref="D95:F95" si="38">(D91)/(D37/365)</f>
        <v>109.10822898032201</v>
      </c>
      <c r="E95" s="564">
        <f t="shared" si="38"/>
        <v>103.66209535959176</v>
      </c>
      <c r="F95" s="565">
        <f t="shared" si="38"/>
        <v>94.91434990171301</v>
      </c>
      <c r="G95" s="564">
        <f>97</f>
        <v>97</v>
      </c>
      <c r="H95" s="564">
        <f t="shared" ref="H95:K97" si="39">G95</f>
        <v>97</v>
      </c>
      <c r="I95" s="564">
        <f t="shared" si="39"/>
        <v>97</v>
      </c>
      <c r="J95" s="564">
        <f t="shared" si="39"/>
        <v>97</v>
      </c>
      <c r="K95" s="565">
        <f t="shared" si="39"/>
        <v>97</v>
      </c>
      <c r="L95" s="544"/>
      <c r="M95" s="509"/>
      <c r="N95" s="544"/>
      <c r="O95" s="544"/>
      <c r="P95" s="543"/>
      <c r="Q95" s="543"/>
      <c r="R95" s="543"/>
      <c r="S95" s="543"/>
      <c r="T95" s="543"/>
      <c r="U95" s="543"/>
      <c r="V95" s="543"/>
      <c r="W95" s="543"/>
      <c r="X95" s="543"/>
      <c r="Y95" s="543"/>
      <c r="Z95" s="543"/>
      <c r="AA95" s="544"/>
      <c r="AB95" s="544"/>
      <c r="AC95" s="544"/>
      <c r="AD95" s="544"/>
      <c r="AE95" s="544"/>
      <c r="AF95" s="544"/>
      <c r="AG95" s="544"/>
      <c r="AH95" s="544"/>
      <c r="AI95" s="544"/>
    </row>
    <row r="96" spans="1:35" s="542" customFormat="1">
      <c r="A96" s="509" t="s">
        <v>693</v>
      </c>
      <c r="B96" s="564">
        <f>(B92)/(B42/365)</f>
        <v>186.81102362204726</v>
      </c>
      <c r="C96" s="564">
        <f>(C92)/(C42/365)</f>
        <v>240.43788672060924</v>
      </c>
      <c r="D96" s="564">
        <f t="shared" ref="D96:F96" si="40">(D92)/(D42/365)</f>
        <v>178.05192511480041</v>
      </c>
      <c r="E96" s="564">
        <f t="shared" si="40"/>
        <v>154.13777644949192</v>
      </c>
      <c r="F96" s="565">
        <f t="shared" si="40"/>
        <v>135.00624375624375</v>
      </c>
      <c r="G96" s="564">
        <f>AVERAGE(E96:F96)</f>
        <v>144.57201010286784</v>
      </c>
      <c r="H96" s="564">
        <f t="shared" si="39"/>
        <v>144.57201010286784</v>
      </c>
      <c r="I96" s="564">
        <f t="shared" si="39"/>
        <v>144.57201010286784</v>
      </c>
      <c r="J96" s="564">
        <f t="shared" si="39"/>
        <v>144.57201010286784</v>
      </c>
      <c r="K96" s="565">
        <f t="shared" si="39"/>
        <v>144.57201010286784</v>
      </c>
      <c r="L96" s="544"/>
      <c r="M96" s="509"/>
      <c r="N96" s="544"/>
      <c r="O96" s="544"/>
      <c r="P96" s="543"/>
      <c r="Q96" s="543"/>
      <c r="R96" s="543"/>
      <c r="S96" s="543"/>
      <c r="T96" s="543"/>
      <c r="U96" s="543"/>
      <c r="V96" s="543"/>
      <c r="W96" s="543"/>
      <c r="X96" s="543"/>
      <c r="Y96" s="543"/>
      <c r="Z96" s="543"/>
      <c r="AA96" s="544"/>
      <c r="AB96" s="544"/>
      <c r="AC96" s="544"/>
      <c r="AD96" s="544"/>
      <c r="AE96" s="544"/>
      <c r="AF96" s="544"/>
      <c r="AG96" s="544"/>
      <c r="AH96" s="544"/>
      <c r="AI96" s="544"/>
    </row>
    <row r="97" spans="1:35" s="542" customFormat="1">
      <c r="A97" s="509" t="s">
        <v>692</v>
      </c>
      <c r="B97" s="564">
        <f>-(B93)/(B37/365)</f>
        <v>3.6253169907016063</v>
      </c>
      <c r="C97" s="564">
        <f>-(C93)/(C37/365)</f>
        <v>15.776031434184675</v>
      </c>
      <c r="D97" s="564">
        <f t="shared" ref="D97:F97" si="41">-(D93)/(D37/365)</f>
        <v>7.1824686940966007</v>
      </c>
      <c r="E97" s="564">
        <f t="shared" si="41"/>
        <v>14.725721575506297</v>
      </c>
      <c r="F97" s="565">
        <f t="shared" si="41"/>
        <v>17.117382757652347</v>
      </c>
      <c r="G97" s="564">
        <f>AVERAGE(E97:F97)</f>
        <v>15.921552166579321</v>
      </c>
      <c r="H97" s="564">
        <f t="shared" si="39"/>
        <v>15.921552166579321</v>
      </c>
      <c r="I97" s="564">
        <f t="shared" si="39"/>
        <v>15.921552166579321</v>
      </c>
      <c r="J97" s="564">
        <f t="shared" si="39"/>
        <v>15.921552166579321</v>
      </c>
      <c r="K97" s="565">
        <f t="shared" si="39"/>
        <v>15.921552166579321</v>
      </c>
      <c r="L97" s="544"/>
      <c r="M97" s="509"/>
      <c r="N97" s="544"/>
      <c r="O97" s="544"/>
      <c r="P97" s="543"/>
      <c r="Q97" s="543"/>
      <c r="R97" s="543"/>
      <c r="S97" s="543"/>
      <c r="T97" s="543"/>
      <c r="U97" s="543"/>
      <c r="V97" s="543"/>
      <c r="W97" s="543"/>
      <c r="X97" s="543"/>
      <c r="Y97" s="543"/>
      <c r="Z97" s="543"/>
      <c r="AA97" s="544"/>
      <c r="AB97" s="544"/>
      <c r="AC97" s="544"/>
      <c r="AD97" s="544"/>
      <c r="AE97" s="544"/>
      <c r="AF97" s="544"/>
      <c r="AG97" s="544"/>
      <c r="AH97" s="544"/>
      <c r="AI97" s="544"/>
    </row>
    <row r="98" spans="1:35" s="542" customFormat="1">
      <c r="A98" s="103"/>
      <c r="B98" s="105"/>
      <c r="C98" s="572"/>
      <c r="D98" s="572"/>
      <c r="E98" s="572"/>
      <c r="F98" s="573"/>
      <c r="G98" s="572"/>
      <c r="H98" s="572"/>
      <c r="I98" s="572"/>
      <c r="J98" s="572"/>
      <c r="K98" s="573"/>
      <c r="L98" s="544"/>
      <c r="M98" s="509"/>
      <c r="N98" s="544"/>
      <c r="O98" s="544"/>
      <c r="P98" s="543"/>
      <c r="Q98" s="543"/>
      <c r="R98" s="543"/>
      <c r="S98" s="543"/>
      <c r="T98" s="543"/>
      <c r="U98" s="543"/>
      <c r="V98" s="543"/>
      <c r="W98" s="543"/>
      <c r="X98" s="543"/>
      <c r="Y98" s="543"/>
      <c r="Z98" s="543"/>
      <c r="AA98" s="544"/>
      <c r="AB98" s="544"/>
      <c r="AC98" s="544"/>
      <c r="AD98" s="544"/>
      <c r="AE98" s="544"/>
      <c r="AF98" s="544"/>
      <c r="AG98" s="544"/>
      <c r="AH98" s="544"/>
      <c r="AI98" s="544"/>
    </row>
    <row r="99" spans="1:35" s="542" customFormat="1">
      <c r="A99" s="509" t="s">
        <v>696</v>
      </c>
      <c r="B99" s="544"/>
      <c r="C99" s="544">
        <f>SUM(B90:B93)-SUM(C90:C93)</f>
        <v>54</v>
      </c>
      <c r="D99" s="544">
        <f t="shared" ref="D99:K99" si="42">SUM(C90:C93)-SUM(D90:D93)</f>
        <v>71</v>
      </c>
      <c r="E99" s="544">
        <f t="shared" si="42"/>
        <v>25</v>
      </c>
      <c r="F99" s="509">
        <f t="shared" si="42"/>
        <v>81</v>
      </c>
      <c r="G99" s="564">
        <f>SUM(F90:F93) - SUM(G90:G93)</f>
        <v>-46.017916326999398</v>
      </c>
      <c r="H99" s="564">
        <f t="shared" ref="H99:K99" si="43">SUM(G90:G93) - SUM(H90:H93)</f>
        <v>-4.0486800075220231</v>
      </c>
      <c r="I99" s="564">
        <f t="shared" si="43"/>
        <v>-4.1100684342947034</v>
      </c>
      <c r="J99" s="564">
        <f t="shared" si="43"/>
        <v>-4.1723876678813667</v>
      </c>
      <c r="K99" s="565">
        <f t="shared" si="43"/>
        <v>-4.1307102396940536</v>
      </c>
      <c r="L99" s="544"/>
      <c r="M99" s="509"/>
      <c r="N99" s="544"/>
      <c r="O99" s="544"/>
      <c r="P99" s="543"/>
      <c r="Q99" s="543"/>
      <c r="R99" s="543"/>
      <c r="S99" s="543"/>
      <c r="T99" s="543"/>
      <c r="U99" s="543"/>
      <c r="V99" s="543"/>
      <c r="W99" s="543"/>
      <c r="X99" s="543"/>
      <c r="Y99" s="543"/>
      <c r="Z99" s="543"/>
      <c r="AA99" s="544"/>
      <c r="AB99" s="544"/>
      <c r="AC99" s="544"/>
      <c r="AD99" s="544"/>
      <c r="AE99" s="544"/>
      <c r="AF99" s="544"/>
      <c r="AG99" s="544"/>
      <c r="AH99" s="544"/>
      <c r="AI99" s="544"/>
    </row>
    <row r="100" spans="1:35" s="542" customFormat="1">
      <c r="A100" s="509"/>
      <c r="B100" s="544"/>
      <c r="C100" s="564"/>
      <c r="D100" s="564"/>
      <c r="E100" s="564"/>
      <c r="F100" s="565"/>
      <c r="G100" s="564"/>
      <c r="H100" s="564"/>
      <c r="I100" s="564"/>
      <c r="J100" s="564"/>
      <c r="K100" s="565"/>
      <c r="L100" s="544"/>
      <c r="M100" s="509"/>
      <c r="N100" s="544"/>
      <c r="O100" s="544"/>
      <c r="P100" s="543"/>
      <c r="Q100" s="543"/>
      <c r="R100" s="543"/>
      <c r="S100" s="543"/>
      <c r="T100" s="543"/>
      <c r="U100" s="543"/>
      <c r="V100" s="543"/>
      <c r="W100" s="543"/>
      <c r="X100" s="543"/>
      <c r="Y100" s="543"/>
      <c r="Z100" s="543"/>
      <c r="AA100" s="544"/>
      <c r="AB100" s="544"/>
      <c r="AC100" s="544"/>
      <c r="AD100" s="544"/>
      <c r="AE100" s="544"/>
      <c r="AF100" s="544"/>
      <c r="AG100" s="544"/>
      <c r="AH100" s="544"/>
      <c r="AI100" s="544"/>
    </row>
    <row r="101" spans="1:35" s="542" customFormat="1">
      <c r="A101" s="509"/>
      <c r="B101" s="544"/>
      <c r="C101" s="564"/>
      <c r="D101" s="564"/>
      <c r="E101" s="564"/>
      <c r="F101" s="565"/>
      <c r="G101" s="564"/>
      <c r="H101" s="564"/>
      <c r="I101" s="564"/>
      <c r="J101" s="564"/>
      <c r="K101" s="565"/>
      <c r="L101" s="544"/>
      <c r="M101" s="509"/>
      <c r="N101" s="544"/>
      <c r="O101" s="544"/>
      <c r="P101" s="543"/>
      <c r="Q101" s="543"/>
      <c r="R101" s="543"/>
      <c r="S101" s="543"/>
      <c r="T101" s="543"/>
      <c r="U101" s="543"/>
      <c r="V101" s="543"/>
      <c r="W101" s="543"/>
      <c r="X101" s="543"/>
      <c r="Y101" s="543"/>
      <c r="Z101" s="543"/>
      <c r="AA101" s="544"/>
      <c r="AB101" s="544"/>
      <c r="AC101" s="544"/>
      <c r="AD101" s="544"/>
      <c r="AE101" s="544"/>
      <c r="AF101" s="544"/>
      <c r="AG101" s="544"/>
      <c r="AH101" s="544"/>
      <c r="AI101" s="544"/>
    </row>
    <row r="102" spans="1:35" s="542" customFormat="1" ht="15" thickBot="1">
      <c r="A102" s="509"/>
      <c r="B102" s="544"/>
      <c r="C102" s="544"/>
      <c r="D102" s="544"/>
      <c r="E102" s="544"/>
      <c r="F102" s="509"/>
      <c r="G102" s="544"/>
      <c r="H102" s="544"/>
      <c r="I102" s="544"/>
      <c r="J102" s="544"/>
      <c r="K102" s="509"/>
      <c r="L102" s="544"/>
      <c r="M102" s="509"/>
      <c r="N102" s="544"/>
      <c r="O102" s="544"/>
      <c r="P102" s="543"/>
      <c r="Q102" s="543"/>
      <c r="R102" s="543"/>
      <c r="S102" s="543"/>
      <c r="T102" s="543"/>
      <c r="U102" s="543"/>
      <c r="V102" s="543"/>
      <c r="W102" s="543"/>
      <c r="X102" s="543"/>
      <c r="Y102" s="543"/>
      <c r="Z102" s="543"/>
      <c r="AA102" s="544"/>
      <c r="AB102" s="544"/>
      <c r="AC102" s="544"/>
      <c r="AD102" s="544"/>
      <c r="AE102" s="544"/>
      <c r="AF102" s="544"/>
      <c r="AG102" s="544"/>
      <c r="AH102" s="544"/>
      <c r="AI102" s="544"/>
    </row>
    <row r="103" spans="1:35" s="542" customFormat="1">
      <c r="A103" s="605" t="s">
        <v>581</v>
      </c>
      <c r="B103" s="544"/>
      <c r="C103" s="544"/>
      <c r="D103" s="544"/>
      <c r="E103" s="544"/>
      <c r="F103" s="509"/>
      <c r="G103" s="544"/>
      <c r="H103" s="544"/>
      <c r="I103" s="544"/>
      <c r="J103" s="544"/>
      <c r="K103" s="509"/>
      <c r="L103" s="544"/>
      <c r="M103" s="509"/>
      <c r="N103" s="544"/>
      <c r="O103" s="544"/>
      <c r="P103" s="543"/>
      <c r="Q103" s="543"/>
      <c r="R103" s="543"/>
      <c r="S103" s="543"/>
      <c r="T103" s="543"/>
      <c r="U103" s="543"/>
      <c r="V103" s="543"/>
      <c r="W103" s="543"/>
      <c r="X103" s="543"/>
      <c r="Y103" s="543"/>
      <c r="Z103" s="543"/>
      <c r="AA103" s="544"/>
      <c r="AB103" s="544"/>
      <c r="AC103" s="544"/>
      <c r="AD103" s="544"/>
      <c r="AE103" s="544"/>
      <c r="AF103" s="544"/>
      <c r="AG103" s="544"/>
      <c r="AH103" s="544"/>
      <c r="AI103" s="544"/>
    </row>
    <row r="104" spans="1:35" s="542" customFormat="1">
      <c r="A104" s="606"/>
      <c r="B104" s="544">
        <f>'Reorganised Statements'!D26</f>
        <v>452</v>
      </c>
      <c r="C104" s="544">
        <f>'Reorganised Statements'!E26</f>
        <v>398</v>
      </c>
      <c r="D104" s="544">
        <f>'Reorganised Statements'!F26</f>
        <v>327</v>
      </c>
      <c r="E104" s="544">
        <f>'Reorganised Statements'!G26</f>
        <v>302</v>
      </c>
      <c r="F104" s="509">
        <f>'Reorganised Statements'!H26</f>
        <v>221</v>
      </c>
      <c r="G104" s="544">
        <f>G106*G37</f>
        <v>286.26702444732001</v>
      </c>
      <c r="H104" s="544">
        <f t="shared" ref="H104:K104" si="44">H106*H37</f>
        <v>290.60757055986392</v>
      </c>
      <c r="I104" s="544">
        <f t="shared" si="44"/>
        <v>295.01393054178902</v>
      </c>
      <c r="J104" s="544">
        <f t="shared" si="44"/>
        <v>299.48710230102921</v>
      </c>
      <c r="K104" s="509">
        <f t="shared" si="44"/>
        <v>303.91559213960329</v>
      </c>
      <c r="L104" s="544"/>
      <c r="M104" s="509"/>
      <c r="N104" s="544"/>
      <c r="O104" s="544"/>
      <c r="P104" s="543"/>
      <c r="Q104" s="543"/>
      <c r="R104" s="543"/>
      <c r="S104" s="543"/>
      <c r="T104" s="543"/>
      <c r="U104" s="543"/>
      <c r="V104" s="543"/>
      <c r="W104" s="543"/>
      <c r="X104" s="543"/>
      <c r="Y104" s="543"/>
      <c r="Z104" s="543"/>
      <c r="AA104" s="544"/>
      <c r="AB104" s="544"/>
      <c r="AC104" s="544"/>
      <c r="AD104" s="544"/>
      <c r="AE104" s="544"/>
      <c r="AF104" s="544"/>
      <c r="AG104" s="544"/>
      <c r="AH104" s="544"/>
      <c r="AI104" s="544"/>
    </row>
    <row r="105" spans="1:35" s="542" customFormat="1">
      <c r="A105" s="606"/>
      <c r="B105" s="544"/>
      <c r="C105" s="544"/>
      <c r="D105" s="544"/>
      <c r="E105" s="544"/>
      <c r="F105" s="509"/>
      <c r="G105" s="544"/>
      <c r="H105" s="544"/>
      <c r="I105" s="544"/>
      <c r="J105" s="544"/>
      <c r="K105" s="509"/>
      <c r="L105" s="544"/>
      <c r="M105" s="509"/>
      <c r="N105" s="544"/>
      <c r="O105" s="544"/>
      <c r="P105" s="543"/>
      <c r="Q105" s="543"/>
      <c r="R105" s="543"/>
      <c r="S105" s="543"/>
      <c r="T105" s="543"/>
      <c r="U105" s="543"/>
      <c r="V105" s="543"/>
      <c r="W105" s="543"/>
      <c r="X105" s="543"/>
      <c r="Y105" s="543"/>
      <c r="Z105" s="543"/>
      <c r="AA105" s="544"/>
      <c r="AB105" s="544"/>
      <c r="AC105" s="544"/>
      <c r="AD105" s="544"/>
      <c r="AE105" s="544"/>
      <c r="AF105" s="544"/>
      <c r="AG105" s="544"/>
      <c r="AH105" s="544"/>
      <c r="AI105" s="544"/>
    </row>
    <row r="106" spans="1:35" s="542" customFormat="1">
      <c r="A106" s="606" t="s">
        <v>651</v>
      </c>
      <c r="B106" s="511">
        <f>B104/B37</f>
        <v>9.5519864750633982E-2</v>
      </c>
      <c r="C106" s="511">
        <f t="shared" ref="C106:F106" si="45">C104/C37</f>
        <v>8.6880593756821653E-2</v>
      </c>
      <c r="D106" s="511">
        <f t="shared" si="45"/>
        <v>5.8497316636851523E-2</v>
      </c>
      <c r="E106" s="511">
        <f t="shared" si="45"/>
        <v>4.8158188486684739E-2</v>
      </c>
      <c r="F106" s="534">
        <f t="shared" si="45"/>
        <v>3.1030609379387813E-2</v>
      </c>
      <c r="G106" s="511">
        <f>AVERAGE(E106,F106)</f>
        <v>3.9594398933036276E-2</v>
      </c>
      <c r="H106" s="510">
        <f>G106</f>
        <v>3.9594398933036276E-2</v>
      </c>
      <c r="I106" s="510">
        <f t="shared" ref="I106:K106" si="46">H106</f>
        <v>3.9594398933036276E-2</v>
      </c>
      <c r="J106" s="510">
        <f t="shared" si="46"/>
        <v>3.9594398933036276E-2</v>
      </c>
      <c r="K106" s="628">
        <f t="shared" si="46"/>
        <v>3.9594398933036276E-2</v>
      </c>
      <c r="L106" s="544"/>
      <c r="M106" s="509"/>
      <c r="N106" s="544"/>
      <c r="O106" s="544"/>
      <c r="P106" s="543"/>
      <c r="Q106" s="543"/>
      <c r="R106" s="543"/>
      <c r="S106" s="543"/>
      <c r="T106" s="543"/>
      <c r="U106" s="543"/>
      <c r="V106" s="543"/>
      <c r="W106" s="543"/>
      <c r="X106" s="543"/>
      <c r="Y106" s="543"/>
      <c r="Z106" s="543"/>
      <c r="AA106" s="544"/>
      <c r="AB106" s="544"/>
      <c r="AC106" s="544"/>
      <c r="AD106" s="544"/>
      <c r="AE106" s="544"/>
      <c r="AF106" s="544"/>
      <c r="AG106" s="544"/>
      <c r="AH106" s="544"/>
      <c r="AI106" s="544"/>
    </row>
    <row r="107" spans="1:35" s="542" customFormat="1">
      <c r="A107" s="606"/>
      <c r="B107" s="544"/>
      <c r="C107" s="511"/>
      <c r="D107" s="511"/>
      <c r="E107" s="511"/>
      <c r="F107" s="534"/>
      <c r="G107" s="544"/>
      <c r="H107" s="544"/>
      <c r="I107" s="544"/>
      <c r="J107" s="544"/>
      <c r="K107" s="509"/>
      <c r="L107" s="544"/>
      <c r="M107" s="509"/>
      <c r="N107" s="544"/>
      <c r="O107" s="544"/>
      <c r="P107" s="543"/>
      <c r="Q107" s="543"/>
      <c r="R107" s="543"/>
      <c r="S107" s="543"/>
      <c r="T107" s="543"/>
      <c r="U107" s="543"/>
      <c r="V107" s="543"/>
      <c r="W107" s="543"/>
      <c r="X107" s="543"/>
      <c r="Y107" s="543"/>
      <c r="Z107" s="543"/>
      <c r="AA107" s="544"/>
      <c r="AB107" s="544"/>
      <c r="AC107" s="544"/>
      <c r="AD107" s="544"/>
      <c r="AE107" s="544"/>
      <c r="AF107" s="544"/>
      <c r="AG107" s="544"/>
      <c r="AH107" s="544"/>
      <c r="AI107" s="544"/>
    </row>
    <row r="108" spans="1:35" s="542" customFormat="1">
      <c r="A108" s="606"/>
      <c r="B108" s="544"/>
      <c r="C108" s="544"/>
      <c r="D108" s="544"/>
      <c r="E108" s="544"/>
      <c r="F108" s="509"/>
      <c r="G108" s="544"/>
      <c r="H108" s="544"/>
      <c r="I108" s="544"/>
      <c r="J108" s="544"/>
      <c r="K108" s="509"/>
      <c r="L108" s="544"/>
      <c r="M108" s="509"/>
      <c r="N108" s="544"/>
      <c r="O108" s="544"/>
      <c r="P108" s="543"/>
      <c r="Q108" s="543"/>
      <c r="R108" s="543"/>
      <c r="S108" s="543"/>
      <c r="T108" s="543"/>
      <c r="U108" s="543"/>
      <c r="V108" s="543"/>
      <c r="W108" s="543"/>
      <c r="X108" s="543"/>
      <c r="Y108" s="543"/>
      <c r="Z108" s="543"/>
      <c r="AA108" s="544"/>
      <c r="AB108" s="544"/>
      <c r="AC108" s="544"/>
      <c r="AD108" s="544"/>
      <c r="AE108" s="544"/>
      <c r="AF108" s="544"/>
      <c r="AG108" s="544"/>
      <c r="AH108" s="544"/>
      <c r="AI108" s="544"/>
    </row>
    <row r="109" spans="1:35" s="542" customFormat="1" ht="15" thickBot="1">
      <c r="A109" s="509"/>
      <c r="B109" s="544"/>
      <c r="C109" s="544"/>
      <c r="D109" s="544"/>
      <c r="E109" s="544"/>
      <c r="F109" s="509"/>
      <c r="G109" s="544"/>
      <c r="H109" s="544"/>
      <c r="I109" s="544"/>
      <c r="J109" s="544"/>
      <c r="K109" s="509"/>
      <c r="L109" s="544"/>
      <c r="M109" s="509"/>
      <c r="N109" s="544"/>
      <c r="O109" s="544"/>
      <c r="P109" s="543"/>
      <c r="Q109" s="543"/>
      <c r="R109" s="543"/>
      <c r="S109" s="543"/>
      <c r="T109" s="543"/>
      <c r="U109" s="543"/>
      <c r="V109" s="543"/>
      <c r="W109" s="543"/>
      <c r="X109" s="543"/>
      <c r="Y109" s="543"/>
      <c r="Z109" s="543"/>
      <c r="AA109" s="544"/>
      <c r="AB109" s="544"/>
      <c r="AC109" s="544"/>
      <c r="AD109" s="544"/>
      <c r="AE109" s="544"/>
      <c r="AF109" s="544"/>
      <c r="AG109" s="544"/>
      <c r="AH109" s="544"/>
      <c r="AI109" s="544"/>
    </row>
    <row r="110" spans="1:35" s="542" customFormat="1" ht="15" thickBot="1">
      <c r="A110" s="588" t="s">
        <v>582</v>
      </c>
      <c r="B110" s="544"/>
      <c r="C110" s="544"/>
      <c r="D110" s="544"/>
      <c r="E110" s="544"/>
      <c r="F110" s="509"/>
      <c r="G110" s="544"/>
      <c r="H110" s="544"/>
      <c r="I110" s="544"/>
      <c r="J110" s="544"/>
      <c r="K110" s="509"/>
      <c r="L110" s="544"/>
      <c r="M110" s="509"/>
      <c r="N110" s="544"/>
      <c r="O110" s="544"/>
      <c r="P110" s="543"/>
      <c r="Q110" s="543"/>
      <c r="R110" s="543"/>
      <c r="S110" s="543"/>
      <c r="T110" s="543"/>
      <c r="U110" s="543"/>
      <c r="V110" s="543"/>
      <c r="W110" s="543"/>
      <c r="X110" s="543"/>
      <c r="Y110" s="543"/>
      <c r="Z110" s="543"/>
      <c r="AA110" s="544"/>
      <c r="AB110" s="544"/>
      <c r="AC110" s="544"/>
      <c r="AD110" s="544"/>
      <c r="AE110" s="544"/>
      <c r="AF110" s="544"/>
      <c r="AG110" s="544"/>
      <c r="AH110" s="544"/>
      <c r="AI110" s="544"/>
    </row>
    <row r="111" spans="1:35" s="542" customFormat="1">
      <c r="A111" s="509"/>
      <c r="B111" s="544"/>
      <c r="C111" s="544"/>
      <c r="D111" s="544"/>
      <c r="E111" s="544"/>
      <c r="F111" s="509"/>
      <c r="G111" s="544"/>
      <c r="H111" s="544"/>
      <c r="I111" s="544"/>
      <c r="J111" s="544"/>
      <c r="K111" s="509"/>
      <c r="L111" s="544"/>
      <c r="M111" s="509"/>
      <c r="N111" s="544"/>
      <c r="O111" s="544"/>
      <c r="P111" s="543"/>
      <c r="Q111" s="543"/>
      <c r="R111" s="543"/>
      <c r="S111" s="543"/>
      <c r="T111" s="543"/>
      <c r="U111" s="543"/>
      <c r="V111" s="543"/>
      <c r="W111" s="543"/>
      <c r="X111" s="543"/>
      <c r="Y111" s="543"/>
      <c r="Z111" s="543"/>
      <c r="AA111" s="544"/>
      <c r="AB111" s="544"/>
      <c r="AC111" s="544"/>
      <c r="AD111" s="544"/>
      <c r="AE111" s="544"/>
      <c r="AF111" s="544"/>
      <c r="AG111" s="544"/>
      <c r="AH111" s="544"/>
      <c r="AI111" s="544"/>
    </row>
    <row r="112" spans="1:35" s="542" customFormat="1">
      <c r="A112" s="607" t="s">
        <v>583</v>
      </c>
      <c r="B112" s="544">
        <f>'Reorganised Statements'!D28</f>
        <v>308</v>
      </c>
      <c r="C112" s="544">
        <f>'Reorganised Statements'!E28</f>
        <v>341</v>
      </c>
      <c r="D112" s="544">
        <f>'Reorganised Statements'!F28</f>
        <v>301</v>
      </c>
      <c r="E112" s="544">
        <f>'Reorganised Statements'!G28</f>
        <v>264</v>
      </c>
      <c r="F112" s="509">
        <f>'Reorganised Statements'!H28</f>
        <v>277</v>
      </c>
      <c r="G112" s="544">
        <f>F112</f>
        <v>277</v>
      </c>
      <c r="H112" s="544">
        <f t="shared" ref="H112:K112" si="47">G112</f>
        <v>277</v>
      </c>
      <c r="I112" s="544">
        <f t="shared" si="47"/>
        <v>277</v>
      </c>
      <c r="J112" s="544">
        <f t="shared" si="47"/>
        <v>277</v>
      </c>
      <c r="K112" s="509">
        <f t="shared" si="47"/>
        <v>277</v>
      </c>
      <c r="L112" s="544"/>
      <c r="M112" s="509"/>
      <c r="N112" s="544"/>
      <c r="O112" s="544"/>
      <c r="P112" s="543"/>
      <c r="Q112" s="543"/>
      <c r="R112" s="543"/>
      <c r="S112" s="543"/>
      <c r="T112" s="543"/>
      <c r="U112" s="543"/>
      <c r="V112" s="543"/>
      <c r="W112" s="543"/>
      <c r="X112" s="543"/>
      <c r="Y112" s="543"/>
      <c r="Z112" s="543"/>
      <c r="AA112" s="544"/>
      <c r="AB112" s="544"/>
      <c r="AC112" s="544"/>
      <c r="AD112" s="544"/>
      <c r="AE112" s="544"/>
      <c r="AF112" s="544"/>
      <c r="AG112" s="544"/>
      <c r="AH112" s="544"/>
      <c r="AI112" s="544"/>
    </row>
    <row r="113" spans="1:35" s="542" customFormat="1">
      <c r="A113" s="607" t="s">
        <v>584</v>
      </c>
      <c r="B113" s="544">
        <f>'Reorganised Statements'!D29</f>
        <v>-332</v>
      </c>
      <c r="C113" s="544">
        <f>'Reorganised Statements'!E29</f>
        <v>-365</v>
      </c>
      <c r="D113" s="544">
        <f>'Reorganised Statements'!F29</f>
        <v>-319</v>
      </c>
      <c r="E113" s="544">
        <f>'Reorganised Statements'!G29</f>
        <v>-314</v>
      </c>
      <c r="F113" s="509">
        <f>'Reorganised Statements'!H29</f>
        <v>-307</v>
      </c>
      <c r="G113" s="544">
        <f>F113</f>
        <v>-307</v>
      </c>
      <c r="H113" s="544">
        <f t="shared" ref="H113:K113" si="48">G113</f>
        <v>-307</v>
      </c>
      <c r="I113" s="544">
        <f t="shared" si="48"/>
        <v>-307</v>
      </c>
      <c r="J113" s="544">
        <f t="shared" si="48"/>
        <v>-307</v>
      </c>
      <c r="K113" s="509">
        <f t="shared" si="48"/>
        <v>-307</v>
      </c>
      <c r="L113" s="544"/>
      <c r="M113" s="509"/>
      <c r="N113" s="544"/>
      <c r="O113" s="544"/>
      <c r="P113" s="543"/>
      <c r="Q113" s="543"/>
      <c r="R113" s="543"/>
      <c r="S113" s="543"/>
      <c r="T113" s="543"/>
      <c r="U113" s="543"/>
      <c r="V113" s="543"/>
      <c r="W113" s="543"/>
      <c r="X113" s="543"/>
      <c r="Y113" s="543"/>
      <c r="Z113" s="543"/>
      <c r="AA113" s="544"/>
      <c r="AB113" s="544"/>
      <c r="AC113" s="544"/>
      <c r="AD113" s="544"/>
      <c r="AE113" s="544"/>
      <c r="AF113" s="544"/>
      <c r="AG113" s="544"/>
      <c r="AH113" s="544"/>
      <c r="AI113" s="544"/>
    </row>
    <row r="114" spans="1:35" s="542" customFormat="1">
      <c r="A114" s="607" t="s">
        <v>585</v>
      </c>
      <c r="B114" s="544">
        <f>'Reorganised Statements'!D30</f>
        <v>-576</v>
      </c>
      <c r="C114" s="544">
        <f>'Reorganised Statements'!E30</f>
        <v>-671</v>
      </c>
      <c r="D114" s="544">
        <f>'Reorganised Statements'!F30</f>
        <v>-625</v>
      </c>
      <c r="E114" s="544">
        <f>'Reorganised Statements'!G30</f>
        <v>-642</v>
      </c>
      <c r="F114" s="509">
        <f>'Reorganised Statements'!H30</f>
        <v>-676</v>
      </c>
      <c r="G114" s="544">
        <f>F114</f>
        <v>-676</v>
      </c>
      <c r="H114" s="544">
        <f t="shared" ref="H114:K114" si="49">G114</f>
        <v>-676</v>
      </c>
      <c r="I114" s="544">
        <f t="shared" si="49"/>
        <v>-676</v>
      </c>
      <c r="J114" s="544">
        <f t="shared" si="49"/>
        <v>-676</v>
      </c>
      <c r="K114" s="509">
        <f t="shared" si="49"/>
        <v>-676</v>
      </c>
      <c r="L114" s="544"/>
      <c r="M114" s="509"/>
      <c r="N114" s="544"/>
      <c r="O114" s="544"/>
      <c r="P114" s="543"/>
      <c r="Q114" s="543"/>
      <c r="R114" s="543"/>
      <c r="S114" s="543"/>
      <c r="T114" s="543"/>
      <c r="U114" s="543"/>
      <c r="V114" s="543"/>
      <c r="W114" s="543"/>
      <c r="X114" s="543"/>
      <c r="Y114" s="543"/>
      <c r="Z114" s="543"/>
      <c r="AA114" s="544"/>
      <c r="AB114" s="544"/>
      <c r="AC114" s="544"/>
      <c r="AD114" s="544"/>
      <c r="AE114" s="544"/>
      <c r="AF114" s="544"/>
      <c r="AG114" s="544"/>
      <c r="AH114" s="544"/>
      <c r="AI114" s="544"/>
    </row>
    <row r="115" spans="1:35" s="542" customFormat="1">
      <c r="A115" s="509"/>
      <c r="B115" s="544"/>
      <c r="C115" s="544"/>
      <c r="D115" s="544"/>
      <c r="E115" s="544"/>
      <c r="F115" s="509"/>
      <c r="G115" s="544"/>
      <c r="H115" s="544"/>
      <c r="I115" s="544"/>
      <c r="J115" s="544"/>
      <c r="K115" s="509"/>
      <c r="L115" s="544"/>
      <c r="M115" s="509"/>
      <c r="N115" s="544"/>
      <c r="O115" s="544"/>
      <c r="P115" s="543"/>
      <c r="Q115" s="543"/>
      <c r="R115" s="543"/>
      <c r="S115" s="543"/>
      <c r="T115" s="543"/>
      <c r="U115" s="543"/>
      <c r="V115" s="543"/>
      <c r="W115" s="543"/>
      <c r="X115" s="543"/>
      <c r="Y115" s="543"/>
      <c r="Z115" s="543"/>
      <c r="AA115" s="544"/>
      <c r="AB115" s="544"/>
      <c r="AC115" s="544"/>
      <c r="AD115" s="544"/>
      <c r="AE115" s="544"/>
      <c r="AF115" s="544"/>
      <c r="AG115" s="544"/>
      <c r="AH115" s="544"/>
      <c r="AI115" s="544"/>
    </row>
    <row r="116" spans="1:35" s="542" customFormat="1" ht="15" thickBot="1">
      <c r="A116" s="463"/>
      <c r="B116" s="544"/>
      <c r="C116" s="544"/>
      <c r="D116" s="544"/>
      <c r="E116" s="544"/>
      <c r="F116" s="509"/>
      <c r="G116" s="544"/>
      <c r="H116" s="544"/>
      <c r="I116" s="544"/>
      <c r="J116" s="544"/>
      <c r="K116" s="509"/>
      <c r="L116" s="544"/>
      <c r="M116" s="509"/>
      <c r="N116" s="544"/>
      <c r="O116" s="544"/>
      <c r="P116" s="543"/>
      <c r="Q116" s="543"/>
      <c r="R116" s="543"/>
      <c r="S116" s="543"/>
      <c r="T116" s="543"/>
      <c r="U116" s="543"/>
      <c r="V116" s="543"/>
      <c r="W116" s="543"/>
      <c r="X116" s="543"/>
      <c r="Y116" s="543"/>
      <c r="Z116" s="543"/>
      <c r="AA116" s="544"/>
      <c r="AB116" s="544"/>
      <c r="AC116" s="544"/>
      <c r="AD116" s="544"/>
      <c r="AE116" s="544"/>
      <c r="AF116" s="544"/>
      <c r="AG116" s="544"/>
      <c r="AH116" s="544"/>
      <c r="AI116" s="544"/>
    </row>
    <row r="117" spans="1:35" s="542" customFormat="1" ht="15" thickBot="1">
      <c r="A117" s="588" t="s">
        <v>590</v>
      </c>
      <c r="B117" s="544"/>
      <c r="C117" s="544"/>
      <c r="D117" s="544"/>
      <c r="E117" s="544"/>
      <c r="F117" s="509"/>
      <c r="G117" s="544"/>
      <c r="H117" s="544"/>
      <c r="I117" s="544"/>
      <c r="J117" s="544"/>
      <c r="K117" s="509"/>
      <c r="L117" s="544"/>
      <c r="M117" s="509"/>
      <c r="N117" s="544"/>
      <c r="O117" s="544"/>
      <c r="P117" s="543"/>
      <c r="Q117" s="543"/>
      <c r="R117" s="543"/>
      <c r="S117" s="543"/>
      <c r="T117" s="543"/>
      <c r="U117" s="528" t="s">
        <v>663</v>
      </c>
      <c r="V117" s="107"/>
      <c r="W117" s="107"/>
      <c r="X117" s="107"/>
      <c r="Y117" s="107"/>
      <c r="Z117" s="522"/>
      <c r="AA117" s="544"/>
      <c r="AB117" s="544"/>
      <c r="AC117" s="544"/>
      <c r="AD117" s="544"/>
      <c r="AE117" s="544"/>
      <c r="AF117" s="544"/>
      <c r="AG117" s="544"/>
      <c r="AH117" s="544"/>
      <c r="AI117" s="544"/>
    </row>
    <row r="118" spans="1:35" s="542" customFormat="1">
      <c r="A118" s="535" t="s">
        <v>591</v>
      </c>
      <c r="B118" s="544">
        <f>'Reorganised Statements'!D38</f>
        <v>-692</v>
      </c>
      <c r="C118" s="544">
        <f>'Reorganised Statements'!E38</f>
        <v>-359</v>
      </c>
      <c r="D118" s="544">
        <f>'Reorganised Statements'!F38</f>
        <v>-437</v>
      </c>
      <c r="E118" s="544">
        <f>'Reorganised Statements'!G38</f>
        <v>-694</v>
      </c>
      <c r="F118" s="509">
        <f>'Reorganised Statements'!H38</f>
        <v>-304</v>
      </c>
      <c r="G118" s="544">
        <v>-465</v>
      </c>
      <c r="H118" s="544">
        <v>-598</v>
      </c>
      <c r="I118" s="544">
        <v>-394</v>
      </c>
      <c r="J118" s="544">
        <v>-372</v>
      </c>
      <c r="K118" s="509">
        <v>-372</v>
      </c>
      <c r="L118" s="544"/>
      <c r="M118" s="509"/>
      <c r="N118" s="544"/>
      <c r="O118" s="544"/>
      <c r="P118" s="543"/>
      <c r="Q118" s="543"/>
      <c r="R118" s="543"/>
      <c r="S118" s="543"/>
      <c r="T118" s="543"/>
      <c r="U118" s="536"/>
      <c r="V118" s="544"/>
      <c r="W118" s="544"/>
      <c r="X118" s="544"/>
      <c r="Y118" s="544"/>
      <c r="Z118" s="509"/>
      <c r="AA118" s="544"/>
      <c r="AB118" s="544"/>
      <c r="AC118" s="544"/>
      <c r="AD118" s="544"/>
      <c r="AE118" s="544"/>
      <c r="AF118" s="544"/>
      <c r="AG118" s="544"/>
      <c r="AH118" s="544"/>
      <c r="AI118" s="544"/>
    </row>
    <row r="119" spans="1:35" s="542" customFormat="1">
      <c r="A119" s="509"/>
      <c r="B119" s="544"/>
      <c r="C119" s="544"/>
      <c r="D119" s="544"/>
      <c r="E119" s="544"/>
      <c r="F119" s="509"/>
      <c r="G119" s="544"/>
      <c r="H119" s="544"/>
      <c r="I119" s="544"/>
      <c r="J119" s="544"/>
      <c r="K119" s="509"/>
      <c r="L119" s="544"/>
      <c r="M119" s="509"/>
      <c r="N119" s="544"/>
      <c r="O119" s="544"/>
      <c r="P119" s="543"/>
      <c r="Q119" s="543"/>
      <c r="R119" s="543"/>
      <c r="S119" s="543"/>
      <c r="T119" s="543"/>
      <c r="U119" s="536" t="s">
        <v>665</v>
      </c>
      <c r="V119" s="638">
        <f>AVERAGE(B122:F122)</f>
        <v>0.73578288562725003</v>
      </c>
      <c r="W119" s="544"/>
      <c r="X119" s="544"/>
      <c r="Y119" s="544"/>
      <c r="Z119" s="509"/>
      <c r="AA119" s="544"/>
      <c r="AB119" s="544"/>
      <c r="AC119" s="544"/>
      <c r="AD119" s="544"/>
      <c r="AE119" s="544"/>
      <c r="AF119" s="544"/>
      <c r="AG119" s="544"/>
      <c r="AH119" s="544"/>
      <c r="AI119" s="544"/>
    </row>
    <row r="120" spans="1:35" s="542" customFormat="1">
      <c r="A120" s="103" t="s">
        <v>592</v>
      </c>
      <c r="B120" s="105">
        <f>'Reorganised Statements'!D37</f>
        <v>-3089</v>
      </c>
      <c r="C120" s="105">
        <f>'Reorganised Statements'!E37</f>
        <v>-3436</v>
      </c>
      <c r="D120" s="105">
        <f>'Reorganised Statements'!F37</f>
        <v>-3501</v>
      </c>
      <c r="E120" s="105">
        <f>'Reorganised Statements'!G37</f>
        <v>-2984</v>
      </c>
      <c r="F120" s="103">
        <f>'Reorganised Statements'!H37</f>
        <v>-3307</v>
      </c>
      <c r="G120" s="572">
        <f>G127-G118</f>
        <v>-3386.4393811435498</v>
      </c>
      <c r="H120" s="572">
        <f t="shared" ref="H120:K120" si="50">H127-H118</f>
        <v>-3380.5442191171983</v>
      </c>
      <c r="I120" s="572">
        <f t="shared" si="50"/>
        <v>-3715.8437589250243</v>
      </c>
      <c r="J120" s="572">
        <f t="shared" si="50"/>
        <v>-3873.4764337199913</v>
      </c>
      <c r="K120" s="573">
        <f t="shared" si="50"/>
        <v>-4016.8739353367855</v>
      </c>
      <c r="L120" s="544"/>
      <c r="M120" s="509"/>
      <c r="N120" s="544"/>
      <c r="O120" s="544"/>
      <c r="P120" s="543"/>
      <c r="Q120" s="543"/>
      <c r="R120" s="543"/>
      <c r="S120" s="543"/>
      <c r="T120" s="543"/>
      <c r="U120" s="517" t="s">
        <v>666</v>
      </c>
      <c r="V120" s="637">
        <f>1-V119</f>
        <v>0.26421711437274997</v>
      </c>
      <c r="W120" s="105"/>
      <c r="X120" s="105"/>
      <c r="Y120" s="105"/>
      <c r="Z120" s="103"/>
      <c r="AA120" s="544"/>
      <c r="AB120" s="544"/>
      <c r="AC120" s="544"/>
      <c r="AD120" s="544"/>
      <c r="AE120" s="544"/>
      <c r="AF120" s="544"/>
      <c r="AG120" s="544"/>
      <c r="AH120" s="544"/>
      <c r="AI120" s="544"/>
    </row>
    <row r="121" spans="1:35" s="542" customFormat="1">
      <c r="A121" s="509" t="s">
        <v>649</v>
      </c>
      <c r="B121" s="544"/>
      <c r="C121" s="544"/>
      <c r="D121" s="544"/>
      <c r="E121" s="544"/>
      <c r="F121" s="509"/>
      <c r="G121" s="544"/>
      <c r="H121" s="544"/>
      <c r="I121" s="544"/>
      <c r="J121" s="544"/>
      <c r="K121" s="509"/>
      <c r="L121" s="544"/>
      <c r="M121" s="509"/>
      <c r="N121" s="544"/>
      <c r="O121" s="544"/>
      <c r="P121" s="543"/>
      <c r="Q121" s="543"/>
      <c r="R121" s="543"/>
      <c r="S121" s="543"/>
      <c r="T121" s="543"/>
      <c r="U121" s="536"/>
      <c r="V121" s="544">
        <v>2020</v>
      </c>
      <c r="W121" s="544">
        <v>2021</v>
      </c>
      <c r="X121" s="544">
        <v>2022</v>
      </c>
      <c r="Y121" s="544">
        <v>2023</v>
      </c>
      <c r="Z121" s="509">
        <v>2024</v>
      </c>
      <c r="AA121" s="544"/>
      <c r="AB121" s="544"/>
      <c r="AC121" s="544"/>
      <c r="AD121" s="544"/>
      <c r="AE121" s="544"/>
      <c r="AF121" s="544"/>
      <c r="AG121" s="544"/>
      <c r="AH121" s="544"/>
      <c r="AI121" s="544"/>
    </row>
    <row r="122" spans="1:35" s="542" customFormat="1">
      <c r="A122" s="509" t="s">
        <v>657</v>
      </c>
      <c r="B122" s="537">
        <v>0.79</v>
      </c>
      <c r="C122" s="537">
        <v>0.67</v>
      </c>
      <c r="D122" s="537">
        <v>0.76</v>
      </c>
      <c r="E122" s="537">
        <v>0.74</v>
      </c>
      <c r="F122" s="597">
        <f>-2596/F127</f>
        <v>0.71891442813625039</v>
      </c>
      <c r="G122" s="544"/>
      <c r="H122" s="544"/>
      <c r="I122" s="544"/>
      <c r="J122" s="544"/>
      <c r="K122" s="509"/>
      <c r="L122" s="544"/>
      <c r="M122" s="509"/>
      <c r="N122" s="544"/>
      <c r="O122" s="544"/>
      <c r="P122" s="543"/>
      <c r="Q122" s="543"/>
      <c r="R122" s="543"/>
      <c r="S122" s="544"/>
      <c r="T122" s="543"/>
      <c r="U122" s="536" t="s">
        <v>667</v>
      </c>
      <c r="V122" s="544">
        <f>-V119*G134</f>
        <v>400.58917890691527</v>
      </c>
      <c r="W122" s="544">
        <f>-V119*H134</f>
        <v>435.6606062781064</v>
      </c>
      <c r="X122" s="544">
        <f>-V119*I134</f>
        <v>536.60611988642768</v>
      </c>
      <c r="Y122" s="544">
        <f>-V119*J134</f>
        <v>389.69465778311968</v>
      </c>
      <c r="Z122" s="544">
        <f>-V119*K134</f>
        <v>379.22066098468014</v>
      </c>
      <c r="AA122" s="544"/>
      <c r="AB122" s="544"/>
      <c r="AC122" s="544"/>
      <c r="AD122" s="544"/>
      <c r="AE122" s="544"/>
      <c r="AF122" s="544"/>
      <c r="AG122" s="544"/>
      <c r="AH122" s="544"/>
      <c r="AI122" s="544"/>
    </row>
    <row r="123" spans="1:35" s="542" customFormat="1">
      <c r="A123" s="509" t="s">
        <v>658</v>
      </c>
      <c r="B123" s="537">
        <v>0.21</v>
      </c>
      <c r="C123" s="537">
        <v>0.33</v>
      </c>
      <c r="D123" s="537">
        <v>0.24</v>
      </c>
      <c r="E123" s="537">
        <v>0.26</v>
      </c>
      <c r="F123" s="597">
        <f>1-F122</f>
        <v>0.28108557186374961</v>
      </c>
      <c r="G123" s="544"/>
      <c r="H123" s="544"/>
      <c r="I123" s="544"/>
      <c r="J123" s="544"/>
      <c r="K123" s="509"/>
      <c r="L123" s="544"/>
      <c r="M123" s="509"/>
      <c r="N123" s="544"/>
      <c r="O123" s="544"/>
      <c r="P123" s="543"/>
      <c r="Q123" s="543"/>
      <c r="R123" s="543"/>
      <c r="S123" s="543"/>
      <c r="T123" s="543"/>
      <c r="U123" s="536"/>
      <c r="V123" s="544"/>
      <c r="W123" s="544"/>
      <c r="X123" s="544"/>
      <c r="Y123" s="544"/>
      <c r="Z123" s="509"/>
      <c r="AA123" s="544"/>
      <c r="AB123" s="544"/>
      <c r="AC123" s="544"/>
      <c r="AD123" s="544"/>
      <c r="AE123" s="544"/>
      <c r="AF123" s="544"/>
      <c r="AG123" s="544"/>
      <c r="AH123" s="544"/>
      <c r="AI123" s="544"/>
    </row>
    <row r="124" spans="1:35" s="542" customFormat="1">
      <c r="A124" s="509" t="s">
        <v>656</v>
      </c>
      <c r="B124" s="625">
        <f>B122*B127</f>
        <v>-2986.9900000000002</v>
      </c>
      <c r="C124" s="625">
        <f t="shared" ref="C124:F124" si="51">C122*C127</f>
        <v>-2542.65</v>
      </c>
      <c r="D124" s="625">
        <f t="shared" si="51"/>
        <v>-2992.88</v>
      </c>
      <c r="E124" s="625">
        <f t="shared" si="51"/>
        <v>-2721.72</v>
      </c>
      <c r="F124" s="575">
        <f t="shared" si="51"/>
        <v>-2596</v>
      </c>
      <c r="G124" s="544">
        <f>V119*G127</f>
        <v>-2833.8231816762309</v>
      </c>
      <c r="H124" s="544">
        <f>V119*H127</f>
        <v>-2927.3447461376663</v>
      </c>
      <c r="I124" s="544">
        <f>V119*I127</f>
        <v>-3023.9527004189986</v>
      </c>
      <c r="J124" s="544">
        <f>V119*J127</f>
        <v>-3123.7489012649817</v>
      </c>
      <c r="K124" s="509">
        <f>V119*K127</f>
        <v>-3229.2583287963248</v>
      </c>
      <c r="L124" s="544"/>
      <c r="M124" s="509"/>
      <c r="N124" s="544"/>
      <c r="O124" s="544"/>
      <c r="P124" s="543"/>
      <c r="Q124" s="543"/>
      <c r="R124" s="543"/>
      <c r="S124" s="543"/>
      <c r="T124" s="543"/>
      <c r="U124" s="517"/>
      <c r="V124" s="105"/>
      <c r="W124" s="105"/>
      <c r="X124" s="105"/>
      <c r="Y124" s="105"/>
      <c r="Z124" s="103"/>
      <c r="AA124" s="544"/>
      <c r="AB124" s="544"/>
      <c r="AC124" s="544"/>
      <c r="AD124" s="544"/>
      <c r="AE124" s="544"/>
      <c r="AF124" s="544"/>
      <c r="AG124" s="544"/>
      <c r="AH124" s="544"/>
      <c r="AI124" s="544"/>
    </row>
    <row r="125" spans="1:35" s="542" customFormat="1">
      <c r="A125" s="103" t="s">
        <v>607</v>
      </c>
      <c r="B125" s="626">
        <f>B123*B127</f>
        <v>-794.01</v>
      </c>
      <c r="C125" s="626">
        <f t="shared" ref="C125:F125" si="52">C123*C127</f>
        <v>-1252.3500000000001</v>
      </c>
      <c r="D125" s="626">
        <f t="shared" si="52"/>
        <v>-945.12</v>
      </c>
      <c r="E125" s="626">
        <f t="shared" si="52"/>
        <v>-956.28000000000009</v>
      </c>
      <c r="F125" s="627">
        <f t="shared" si="52"/>
        <v>-1014.9999999999998</v>
      </c>
      <c r="G125" s="572">
        <f>G127-G124</f>
        <v>-1017.6161994673189</v>
      </c>
      <c r="H125" s="572">
        <f t="shared" ref="H125:K125" si="53">H127-H124</f>
        <v>-1051.1994729795319</v>
      </c>
      <c r="I125" s="572">
        <f t="shared" si="53"/>
        <v>-1085.8910585060257</v>
      </c>
      <c r="J125" s="572">
        <f t="shared" si="53"/>
        <v>-1121.7275324550096</v>
      </c>
      <c r="K125" s="573">
        <f t="shared" si="53"/>
        <v>-1159.6156065404607</v>
      </c>
      <c r="L125" s="105"/>
      <c r="M125" s="103"/>
      <c r="N125" s="544"/>
      <c r="O125" s="544"/>
      <c r="P125" s="543"/>
      <c r="Q125" s="543"/>
      <c r="R125" s="543"/>
      <c r="S125" s="543"/>
      <c r="T125" s="543"/>
      <c r="U125" s="543"/>
      <c r="V125" s="543"/>
      <c r="W125" s="543"/>
      <c r="X125" s="543"/>
      <c r="Y125" s="543"/>
      <c r="Z125" s="543"/>
      <c r="AA125" s="544"/>
      <c r="AB125" s="544"/>
      <c r="AC125" s="544"/>
      <c r="AD125" s="544"/>
      <c r="AE125" s="544"/>
      <c r="AF125" s="544"/>
      <c r="AG125" s="544"/>
      <c r="AH125" s="544"/>
      <c r="AI125" s="544"/>
    </row>
    <row r="126" spans="1:35" s="542" customFormat="1">
      <c r="A126" s="509"/>
      <c r="B126" s="544"/>
      <c r="C126" s="544"/>
      <c r="D126" s="544"/>
      <c r="E126" s="544"/>
      <c r="F126" s="509"/>
      <c r="G126" s="544"/>
      <c r="H126" s="544"/>
      <c r="I126" s="544"/>
      <c r="J126" s="544"/>
      <c r="K126" s="522"/>
      <c r="L126" s="544"/>
      <c r="M126" s="509"/>
      <c r="N126" s="544"/>
      <c r="O126" s="544"/>
      <c r="P126" s="543"/>
      <c r="Q126" s="543"/>
      <c r="R126" s="543"/>
      <c r="S126" s="543"/>
      <c r="T126" s="543"/>
      <c r="U126" s="543"/>
      <c r="V126" s="543"/>
      <c r="W126" s="543"/>
      <c r="X126" s="543"/>
      <c r="Y126" s="543"/>
      <c r="Z126" s="543"/>
      <c r="AA126" s="544"/>
      <c r="AB126" s="544"/>
      <c r="AC126" s="544"/>
      <c r="AD126" s="544"/>
      <c r="AE126" s="544"/>
      <c r="AF126" s="544"/>
      <c r="AG126" s="544"/>
      <c r="AH126" s="544"/>
      <c r="AI126" s="544"/>
    </row>
    <row r="127" spans="1:35" s="542" customFormat="1">
      <c r="A127" s="568" t="s">
        <v>428</v>
      </c>
      <c r="B127" s="619">
        <f>B118+B120</f>
        <v>-3781</v>
      </c>
      <c r="C127" s="619">
        <f>C118+C120</f>
        <v>-3795</v>
      </c>
      <c r="D127" s="619">
        <f>D118+D120</f>
        <v>-3938</v>
      </c>
      <c r="E127" s="619">
        <f>E118+E120</f>
        <v>-3678</v>
      </c>
      <c r="F127" s="620">
        <f>F118+F120</f>
        <v>-3611</v>
      </c>
      <c r="G127" s="619">
        <f>G129/G130</f>
        <v>-3851.4393811435498</v>
      </c>
      <c r="H127" s="619">
        <f t="shared" ref="H127:K127" si="54">H129/H130</f>
        <v>-3978.5442191171983</v>
      </c>
      <c r="I127" s="619">
        <f t="shared" si="54"/>
        <v>-4109.8437589250243</v>
      </c>
      <c r="J127" s="619">
        <f t="shared" si="54"/>
        <v>-4245.4764337199913</v>
      </c>
      <c r="K127" s="620">
        <f t="shared" si="54"/>
        <v>-4388.8739353367855</v>
      </c>
      <c r="L127" s="544"/>
      <c r="M127" s="509"/>
      <c r="N127" s="544"/>
      <c r="O127" s="544"/>
      <c r="P127" s="543"/>
      <c r="Q127" s="543"/>
      <c r="R127" s="543"/>
      <c r="S127" s="543"/>
      <c r="T127" s="543"/>
      <c r="U127" s="543"/>
      <c r="V127" s="543"/>
      <c r="W127" s="543"/>
      <c r="X127" s="543"/>
      <c r="Y127" s="543"/>
      <c r="Z127" s="543"/>
      <c r="AA127" s="544"/>
      <c r="AB127" s="544"/>
      <c r="AC127" s="544"/>
      <c r="AD127" s="544"/>
      <c r="AE127" s="544"/>
      <c r="AF127" s="544"/>
      <c r="AG127" s="544"/>
      <c r="AH127" s="544"/>
      <c r="AI127" s="544"/>
    </row>
    <row r="128" spans="1:35" s="542" customFormat="1">
      <c r="A128" s="103"/>
      <c r="B128" s="105"/>
      <c r="C128" s="105"/>
      <c r="D128" s="105"/>
      <c r="E128" s="105"/>
      <c r="F128" s="103"/>
      <c r="G128" s="105"/>
      <c r="H128" s="105"/>
      <c r="I128" s="105"/>
      <c r="J128" s="105"/>
      <c r="K128" s="103"/>
      <c r="L128" s="105"/>
      <c r="M128" s="103"/>
      <c r="N128" s="544"/>
      <c r="O128" s="544"/>
      <c r="P128" s="543"/>
      <c r="Q128" s="543"/>
      <c r="R128" s="543"/>
      <c r="S128" s="543"/>
      <c r="T128" s="543"/>
      <c r="U128" s="543"/>
      <c r="V128" s="543"/>
      <c r="W128" s="543"/>
      <c r="X128" s="543"/>
      <c r="Y128" s="543"/>
      <c r="Z128" s="543"/>
      <c r="AA128" s="544"/>
      <c r="AB128" s="544"/>
      <c r="AC128" s="544"/>
      <c r="AD128" s="544"/>
      <c r="AE128" s="544"/>
      <c r="AF128" s="544"/>
      <c r="AG128" s="544"/>
      <c r="AH128" s="544"/>
      <c r="AI128" s="544"/>
    </row>
    <row r="129" spans="1:35" s="542" customFormat="1">
      <c r="A129" s="663" t="s">
        <v>479</v>
      </c>
      <c r="B129" s="617">
        <f>'Reorganised Statements'!D42</f>
        <v>-3145</v>
      </c>
      <c r="C129" s="617">
        <f>'Reorganised Statements'!E42</f>
        <v>-3393</v>
      </c>
      <c r="D129" s="617">
        <f>'Reorganised Statements'!F42</f>
        <v>-3247</v>
      </c>
      <c r="E129" s="617">
        <f>'Reorganised Statements'!G42</f>
        <v>-3054</v>
      </c>
      <c r="F129" s="663">
        <f>'Reorganised Statements'!H42</f>
        <v>-3177</v>
      </c>
      <c r="G129" s="617">
        <f>-G52*G131</f>
        <v>-3281.8470533430491</v>
      </c>
      <c r="H129" s="617">
        <f t="shared" ref="H129:K129" si="55">-H52*H131</f>
        <v>-3390.1542592182741</v>
      </c>
      <c r="I129" s="617">
        <f t="shared" si="55"/>
        <v>-3502.0358092520873</v>
      </c>
      <c r="J129" s="617">
        <f t="shared" si="55"/>
        <v>-3617.6096636121511</v>
      </c>
      <c r="K129" s="663">
        <f t="shared" si="55"/>
        <v>-3739.7999985923429</v>
      </c>
      <c r="L129" s="107"/>
      <c r="M129" s="522"/>
      <c r="N129" s="544"/>
      <c r="O129" s="544"/>
      <c r="P129" s="543"/>
      <c r="Q129" s="543"/>
      <c r="R129" s="543"/>
      <c r="S129" s="543"/>
      <c r="T129" s="543"/>
      <c r="U129" s="543"/>
      <c r="V129" s="543"/>
      <c r="W129" s="543"/>
      <c r="X129" s="543"/>
      <c r="Y129" s="543"/>
      <c r="Z129" s="543"/>
      <c r="AA129" s="544"/>
      <c r="AB129" s="544"/>
      <c r="AC129" s="544"/>
      <c r="AD129" s="544"/>
      <c r="AE129" s="544"/>
      <c r="AF129" s="544"/>
      <c r="AG129" s="544"/>
      <c r="AH129" s="544"/>
      <c r="AI129" s="544"/>
    </row>
    <row r="130" spans="1:35" s="542" customFormat="1">
      <c r="A130" s="509" t="s">
        <v>604</v>
      </c>
      <c r="B130" s="511">
        <f>B129/B127</f>
        <v>0.8317905316053954</v>
      </c>
      <c r="C130" s="511">
        <f t="shared" ref="C130:F130" si="56">C129/C127</f>
        <v>0.89407114624505923</v>
      </c>
      <c r="D130" s="511">
        <f t="shared" si="56"/>
        <v>0.82453021838496698</v>
      </c>
      <c r="E130" s="511">
        <f t="shared" si="56"/>
        <v>0.83034257748776508</v>
      </c>
      <c r="F130" s="534">
        <f t="shared" si="56"/>
        <v>0.87981168651343122</v>
      </c>
      <c r="G130" s="510">
        <f>AVERAGE(B130:F130)</f>
        <v>0.85210923204732347</v>
      </c>
      <c r="H130" s="510">
        <f>G130</f>
        <v>0.85210923204732347</v>
      </c>
      <c r="I130" s="510">
        <f t="shared" ref="I130:K130" si="57">H130</f>
        <v>0.85210923204732347</v>
      </c>
      <c r="J130" s="510">
        <f t="shared" si="57"/>
        <v>0.85210923204732347</v>
      </c>
      <c r="K130" s="628">
        <f t="shared" si="57"/>
        <v>0.85210923204732347</v>
      </c>
      <c r="L130" s="544"/>
      <c r="M130" s="509"/>
      <c r="N130" s="544"/>
      <c r="O130" s="544"/>
      <c r="P130" s="543"/>
      <c r="Q130" s="543"/>
      <c r="R130" s="543"/>
      <c r="S130" s="543"/>
      <c r="T130" s="543"/>
      <c r="U130" s="543"/>
      <c r="V130" s="543"/>
      <c r="W130" s="543"/>
      <c r="X130" s="543"/>
      <c r="Y130" s="543"/>
      <c r="Z130" s="543"/>
      <c r="AA130" s="544"/>
      <c r="AB130" s="544"/>
      <c r="AC130" s="544"/>
      <c r="AD130" s="544"/>
      <c r="AE130" s="544"/>
      <c r="AF130" s="544"/>
      <c r="AG130" s="544"/>
      <c r="AH130" s="544"/>
      <c r="AI130" s="544"/>
    </row>
    <row r="131" spans="1:35" s="542" customFormat="1">
      <c r="A131" s="103" t="s">
        <v>603</v>
      </c>
      <c r="B131" s="563">
        <f>-B129/B52</f>
        <v>3.0009541984732824</v>
      </c>
      <c r="C131" s="563">
        <f t="shared" ref="C131:F131" si="58">-C129/C52</f>
        <v>2.9199655765920824</v>
      </c>
      <c r="D131" s="563">
        <f t="shared" si="58"/>
        <v>2.7080900750625521</v>
      </c>
      <c r="E131" s="563">
        <f t="shared" si="58"/>
        <v>2.4809098294069862</v>
      </c>
      <c r="F131" s="610">
        <f t="shared" si="58"/>
        <v>2.5745542949756888</v>
      </c>
      <c r="G131" s="563">
        <f>F131*(1-0.0224476)</f>
        <v>2.5167617299837923</v>
      </c>
      <c r="H131" s="563">
        <f t="shared" ref="H131:J131" si="59">G131*(1-0.0224476)</f>
        <v>2.4602664693738081</v>
      </c>
      <c r="I131" s="563">
        <f t="shared" si="59"/>
        <v>2.4050393917758925</v>
      </c>
      <c r="J131" s="563">
        <f t="shared" si="59"/>
        <v>2.3510520295250639</v>
      </c>
      <c r="K131" s="629">
        <v>2.2999999999999998</v>
      </c>
      <c r="L131" s="105"/>
      <c r="M131" s="103"/>
      <c r="N131" s="544"/>
      <c r="O131" s="544"/>
      <c r="P131" s="543"/>
      <c r="Q131" s="543"/>
      <c r="R131" s="543"/>
      <c r="S131" s="543"/>
      <c r="T131" s="543"/>
      <c r="U131" s="543"/>
      <c r="V131" s="543"/>
      <c r="W131" s="543"/>
      <c r="X131" s="543"/>
      <c r="Y131" s="543"/>
      <c r="Z131" s="543"/>
      <c r="AA131" s="544"/>
      <c r="AB131" s="544"/>
      <c r="AC131" s="544"/>
      <c r="AD131" s="544"/>
      <c r="AE131" s="544"/>
      <c r="AF131" s="544"/>
      <c r="AG131" s="544"/>
      <c r="AH131" s="544"/>
      <c r="AI131" s="544"/>
    </row>
    <row r="132" spans="1:35" s="542" customFormat="1">
      <c r="A132" s="509"/>
      <c r="B132" s="544"/>
      <c r="C132" s="544"/>
      <c r="D132" s="544"/>
      <c r="E132" s="544"/>
      <c r="F132" s="509"/>
      <c r="G132" s="544"/>
      <c r="H132" s="544"/>
      <c r="I132" s="544"/>
      <c r="J132" s="544"/>
      <c r="K132" s="509"/>
      <c r="L132" s="544"/>
      <c r="M132" s="509"/>
      <c r="N132" s="544"/>
      <c r="O132" s="544"/>
      <c r="P132" s="543"/>
      <c r="Q132" s="543"/>
      <c r="R132" s="543"/>
      <c r="S132" s="543"/>
      <c r="T132" s="543"/>
      <c r="U132" s="543"/>
      <c r="V132" s="543"/>
      <c r="W132" s="543"/>
      <c r="X132" s="543"/>
      <c r="Y132" s="543"/>
      <c r="Z132" s="543"/>
      <c r="AA132" s="544"/>
      <c r="AB132" s="544"/>
      <c r="AC132" s="544"/>
      <c r="AD132" s="544"/>
      <c r="AE132" s="544"/>
      <c r="AF132" s="544"/>
      <c r="AG132" s="544"/>
      <c r="AH132" s="544"/>
      <c r="AI132" s="544"/>
    </row>
    <row r="133" spans="1:35" s="542" customFormat="1">
      <c r="A133" s="509" t="s">
        <v>659</v>
      </c>
      <c r="B133" s="544"/>
      <c r="C133" s="544"/>
      <c r="D133" s="544"/>
      <c r="E133" s="544"/>
      <c r="F133" s="509"/>
      <c r="G133" s="544">
        <f>-F118</f>
        <v>304</v>
      </c>
      <c r="H133" s="544">
        <f t="shared" ref="H133:K133" si="60">-G118</f>
        <v>465</v>
      </c>
      <c r="I133" s="544">
        <f t="shared" si="60"/>
        <v>598</v>
      </c>
      <c r="J133" s="544">
        <f t="shared" si="60"/>
        <v>394</v>
      </c>
      <c r="K133" s="509">
        <f t="shared" si="60"/>
        <v>372</v>
      </c>
      <c r="L133" s="544"/>
      <c r="M133" s="509"/>
      <c r="N133" s="544"/>
      <c r="O133" s="544"/>
      <c r="P133" s="543"/>
      <c r="Q133" s="543"/>
      <c r="R133" s="543"/>
      <c r="S133" s="543"/>
      <c r="T133" s="543"/>
      <c r="U133" s="543"/>
      <c r="V133" s="543"/>
      <c r="W133" s="543"/>
      <c r="X133" s="543"/>
      <c r="Y133" s="543"/>
      <c r="Z133" s="543"/>
      <c r="AA133" s="544"/>
      <c r="AB133" s="544"/>
      <c r="AC133" s="544"/>
      <c r="AD133" s="544"/>
      <c r="AE133" s="544"/>
      <c r="AF133" s="544"/>
      <c r="AG133" s="544"/>
      <c r="AH133" s="544"/>
      <c r="AI133" s="544"/>
    </row>
    <row r="134" spans="1:35" s="542" customFormat="1">
      <c r="A134" s="509" t="s">
        <v>660</v>
      </c>
      <c r="B134" s="544"/>
      <c r="C134" s="544"/>
      <c r="D134" s="544"/>
      <c r="E134" s="544"/>
      <c r="F134" s="509"/>
      <c r="G134" s="564">
        <f>G127-F127-G133</f>
        <v>-544.43938114354978</v>
      </c>
      <c r="H134" s="564">
        <f t="shared" ref="H134:K134" si="61">H127-G127-H133</f>
        <v>-592.1048379736485</v>
      </c>
      <c r="I134" s="564">
        <f t="shared" si="61"/>
        <v>-729.29953980782602</v>
      </c>
      <c r="J134" s="564">
        <f t="shared" si="61"/>
        <v>-529.63267479496699</v>
      </c>
      <c r="K134" s="565">
        <f t="shared" si="61"/>
        <v>-515.39750161679422</v>
      </c>
      <c r="L134" s="544"/>
      <c r="M134" s="509"/>
      <c r="N134" s="544"/>
      <c r="O134" s="544"/>
      <c r="P134" s="543"/>
      <c r="Q134" s="543"/>
      <c r="R134" s="543"/>
      <c r="S134" s="543"/>
      <c r="T134" s="543"/>
      <c r="U134" s="543"/>
      <c r="V134" s="543"/>
      <c r="W134" s="543"/>
      <c r="X134" s="543"/>
      <c r="Y134" s="543"/>
      <c r="Z134" s="543"/>
      <c r="AA134" s="544"/>
      <c r="AB134" s="544"/>
      <c r="AC134" s="544"/>
      <c r="AD134" s="544"/>
      <c r="AE134" s="544"/>
      <c r="AF134" s="544"/>
      <c r="AG134" s="544"/>
      <c r="AH134" s="544"/>
      <c r="AI134" s="544"/>
    </row>
    <row r="135" spans="1:35" s="542" customFormat="1" ht="15" thickBot="1">
      <c r="A135" s="509"/>
      <c r="B135" s="544"/>
      <c r="C135" s="544"/>
      <c r="D135" s="544"/>
      <c r="E135" s="544"/>
      <c r="F135" s="509"/>
      <c r="G135" s="544"/>
      <c r="H135" s="544"/>
      <c r="I135" s="544"/>
      <c r="J135" s="544"/>
      <c r="K135" s="509"/>
      <c r="L135" s="544"/>
      <c r="M135" s="509"/>
      <c r="N135" s="544"/>
      <c r="O135" s="544"/>
      <c r="P135" s="543"/>
      <c r="Q135" s="543"/>
      <c r="R135" s="543"/>
      <c r="S135" s="543"/>
      <c r="T135" s="543"/>
      <c r="U135" s="543"/>
      <c r="V135" s="543"/>
      <c r="W135" s="543"/>
      <c r="X135" s="543"/>
      <c r="Y135" s="543"/>
      <c r="Z135" s="543"/>
      <c r="AA135" s="544"/>
      <c r="AB135" s="544"/>
      <c r="AC135" s="544"/>
      <c r="AD135" s="544"/>
      <c r="AE135" s="544"/>
      <c r="AF135" s="544"/>
      <c r="AG135" s="544"/>
      <c r="AH135" s="544"/>
      <c r="AI135" s="544"/>
    </row>
    <row r="136" spans="1:35" s="542" customFormat="1" ht="15" thickBot="1">
      <c r="A136" s="633" t="s">
        <v>605</v>
      </c>
      <c r="B136" s="544"/>
      <c r="C136" s="544"/>
      <c r="D136" s="544"/>
      <c r="E136" s="544"/>
      <c r="F136" s="509"/>
      <c r="G136" s="544"/>
      <c r="H136" s="544"/>
      <c r="I136" s="544"/>
      <c r="J136" s="544"/>
      <c r="K136" s="509"/>
      <c r="L136" s="544"/>
      <c r="M136" s="509"/>
      <c r="N136" s="544"/>
      <c r="O136" s="544"/>
      <c r="P136" s="543"/>
      <c r="Q136" s="543"/>
      <c r="R136" s="543"/>
      <c r="S136" s="543"/>
      <c r="T136" s="543"/>
      <c r="U136" s="543"/>
      <c r="V136" s="543"/>
      <c r="W136" s="543"/>
      <c r="X136" s="543"/>
      <c r="Y136" s="543"/>
      <c r="Z136" s="543"/>
      <c r="AA136" s="544"/>
      <c r="AB136" s="544"/>
      <c r="AC136" s="544"/>
      <c r="AD136" s="544"/>
      <c r="AE136" s="544"/>
      <c r="AF136" s="544"/>
      <c r="AG136" s="544"/>
      <c r="AH136" s="544"/>
      <c r="AI136" s="544"/>
    </row>
    <row r="137" spans="1:35" s="542" customFormat="1" ht="15" thickBot="1">
      <c r="A137" s="509"/>
      <c r="B137" s="544"/>
      <c r="C137" s="544"/>
      <c r="D137" s="544"/>
      <c r="E137" s="544"/>
      <c r="F137" s="509"/>
      <c r="G137" s="544"/>
      <c r="H137" s="544"/>
      <c r="I137" s="544"/>
      <c r="J137" s="544"/>
      <c r="K137" s="509"/>
      <c r="L137" s="544"/>
      <c r="M137" s="509"/>
      <c r="N137" s="544"/>
      <c r="O137" s="544"/>
      <c r="P137" s="543"/>
      <c r="Q137" s="543"/>
      <c r="R137" s="543"/>
      <c r="S137" s="543"/>
      <c r="T137" s="543"/>
      <c r="U137" s="433" t="s">
        <v>663</v>
      </c>
      <c r="V137" s="636"/>
      <c r="W137" s="543"/>
      <c r="X137" s="543"/>
      <c r="Y137" s="543"/>
      <c r="Z137" s="543"/>
      <c r="AA137" s="544"/>
      <c r="AB137" s="544"/>
      <c r="AC137" s="544"/>
      <c r="AD137" s="544"/>
      <c r="AE137" s="544"/>
      <c r="AF137" s="544"/>
      <c r="AG137" s="544"/>
      <c r="AH137" s="544"/>
      <c r="AI137" s="544"/>
    </row>
    <row r="138" spans="1:35" s="542" customFormat="1">
      <c r="A138" s="634" t="s">
        <v>228</v>
      </c>
      <c r="B138" s="544">
        <f>-'Reorganised Statements'!D89</f>
        <v>-125</v>
      </c>
      <c r="C138" s="544">
        <f>-'Reorganised Statements'!E89</f>
        <v>-125</v>
      </c>
      <c r="D138" s="544">
        <f>-'Reorganised Statements'!F89</f>
        <v>-104</v>
      </c>
      <c r="E138" s="544">
        <f>-'Reorganised Statements'!G89</f>
        <v>-102</v>
      </c>
      <c r="F138" s="509">
        <f>-'Reorganised Statements'!H89</f>
        <v>-94</v>
      </c>
      <c r="G138" s="541">
        <f>-(U139+U140+U141+U142+U143+U144+U145+W150)*W147</f>
        <v>-74.929244775865939</v>
      </c>
      <c r="H138" s="541">
        <f>-(U139+U140+U141+U142+U143+U144+U145+W150+X150)*X147</f>
        <v>-84.408457460312206</v>
      </c>
      <c r="I138" s="541">
        <f>-(U140+U141+U142+U143+U144+U145+W150+X150+Y150)*Y147</f>
        <v>-80.705942935251173</v>
      </c>
      <c r="J138" s="541">
        <f>-(U141+U142+U143+U144+U145+W150+X150+Y150+Z150)*Z147</f>
        <v>-70.745016989425835</v>
      </c>
      <c r="K138" s="596">
        <f>-(U142+U143+U144+U145+W150+X150+Y150+Z150+AA150)*AA147</f>
        <v>-66.825195195598937</v>
      </c>
      <c r="L138" s="544"/>
      <c r="M138" s="509"/>
      <c r="N138" s="544"/>
      <c r="O138" s="544"/>
      <c r="P138" s="543"/>
      <c r="Q138" s="543"/>
      <c r="R138" s="543"/>
      <c r="S138" s="543"/>
      <c r="T138" s="543"/>
      <c r="U138" s="600" t="s">
        <v>609</v>
      </c>
      <c r="V138" s="535" t="s">
        <v>608</v>
      </c>
      <c r="W138" s="301">
        <v>2020</v>
      </c>
      <c r="X138" s="301">
        <v>2021</v>
      </c>
      <c r="Y138" s="301">
        <v>2022</v>
      </c>
      <c r="Z138" s="301">
        <v>2023</v>
      </c>
      <c r="AA138" s="298">
        <v>2024</v>
      </c>
      <c r="AB138" s="544"/>
      <c r="AC138" s="544"/>
      <c r="AD138" s="544"/>
      <c r="AE138" s="544"/>
      <c r="AF138" s="544"/>
      <c r="AG138" s="544"/>
      <c r="AH138" s="544"/>
      <c r="AI138" s="544"/>
    </row>
    <row r="139" spans="1:35" s="542" customFormat="1">
      <c r="A139" s="635" t="s">
        <v>230</v>
      </c>
      <c r="B139" s="105">
        <f>-'Reorganised Statements'!D90</f>
        <v>-15</v>
      </c>
      <c r="C139" s="105">
        <f>-'Reorganised Statements'!E90</f>
        <v>-9</v>
      </c>
      <c r="D139" s="105">
        <f>-'Reorganised Statements'!F90</f>
        <v>-9</v>
      </c>
      <c r="E139" s="105">
        <f>-'Reorganised Statements'!G90</f>
        <v>-6</v>
      </c>
      <c r="F139" s="103">
        <f>-'Reorganised Statements'!H90</f>
        <v>-4</v>
      </c>
      <c r="G139" s="563">
        <f>-(-0.0051*G125)</f>
        <v>-5.1898426172833263</v>
      </c>
      <c r="H139" s="563">
        <f>-(-0.0051*H125)</f>
        <v>-5.3611173121956135</v>
      </c>
      <c r="I139" s="563">
        <f>-(-0.0051*I125)</f>
        <v>-5.5380443983807313</v>
      </c>
      <c r="J139" s="563">
        <f>-(-0.0051*J125)</f>
        <v>-5.7208104155205497</v>
      </c>
      <c r="K139" s="610">
        <f>-(-0.0051*K125)</f>
        <v>-5.9140395933563497</v>
      </c>
      <c r="L139" s="105"/>
      <c r="M139" s="103"/>
      <c r="N139" s="544"/>
      <c r="O139" s="544"/>
      <c r="P139" s="543"/>
      <c r="Q139" s="543"/>
      <c r="R139" s="543"/>
      <c r="S139" s="543"/>
      <c r="T139" s="543"/>
      <c r="U139" s="262">
        <v>351.5</v>
      </c>
      <c r="V139" s="509">
        <v>2021</v>
      </c>
      <c r="W139" s="511">
        <v>4.3749999999999997E-2</v>
      </c>
      <c r="X139" s="511">
        <v>4.3749999999999997E-2</v>
      </c>
      <c r="Y139" s="574">
        <v>0</v>
      </c>
      <c r="Z139" s="574">
        <v>0</v>
      </c>
      <c r="AA139" s="640">
        <v>0</v>
      </c>
      <c r="AB139" s="544"/>
      <c r="AC139" s="544"/>
      <c r="AD139" s="544"/>
      <c r="AE139" s="544"/>
      <c r="AF139" s="544"/>
      <c r="AG139" s="544"/>
      <c r="AH139" s="544"/>
      <c r="AI139" s="544"/>
    </row>
    <row r="140" spans="1:35" s="542" customFormat="1">
      <c r="A140" s="78" t="s">
        <v>664</v>
      </c>
      <c r="B140" s="106">
        <f>B138+B139</f>
        <v>-140</v>
      </c>
      <c r="C140" s="106">
        <f t="shared" ref="C140:F140" si="62">C138+C139</f>
        <v>-134</v>
      </c>
      <c r="D140" s="106">
        <f t="shared" si="62"/>
        <v>-113</v>
      </c>
      <c r="E140" s="106">
        <f t="shared" si="62"/>
        <v>-108</v>
      </c>
      <c r="F140" s="78">
        <f t="shared" si="62"/>
        <v>-98</v>
      </c>
      <c r="G140" s="646">
        <f>G138+G139</f>
        <v>-80.119087393149272</v>
      </c>
      <c r="H140" s="646">
        <f t="shared" ref="H140:K140" si="63">H138+H139</f>
        <v>-89.769574772507823</v>
      </c>
      <c r="I140" s="646">
        <f t="shared" si="63"/>
        <v>-86.243987333631907</v>
      </c>
      <c r="J140" s="646">
        <f t="shared" si="63"/>
        <v>-76.465827404946381</v>
      </c>
      <c r="K140" s="650">
        <f t="shared" si="63"/>
        <v>-72.739234788955287</v>
      </c>
      <c r="L140" s="106"/>
      <c r="M140" s="78"/>
      <c r="N140" s="544"/>
      <c r="O140" s="544"/>
      <c r="P140" s="543"/>
      <c r="Q140" s="543"/>
      <c r="R140" s="543"/>
      <c r="S140" s="543"/>
      <c r="T140" s="543"/>
      <c r="U140" s="262">
        <v>500</v>
      </c>
      <c r="V140" s="509">
        <v>2022</v>
      </c>
      <c r="W140" s="511">
        <v>3.6880000000000003E-2</v>
      </c>
      <c r="X140" s="511">
        <v>3.6880000000000003E-2</v>
      </c>
      <c r="Y140" s="511">
        <v>3.6880000000000003E-2</v>
      </c>
      <c r="Z140" s="574">
        <v>0</v>
      </c>
      <c r="AA140" s="640">
        <v>0</v>
      </c>
      <c r="AB140" s="544"/>
      <c r="AC140" s="544"/>
      <c r="AD140" s="544"/>
      <c r="AE140" s="544"/>
      <c r="AF140" s="544"/>
      <c r="AG140" s="544"/>
      <c r="AH140" s="544"/>
      <c r="AI140" s="544"/>
    </row>
    <row r="141" spans="1:35" s="542" customFormat="1">
      <c r="A141" s="509" t="s">
        <v>242</v>
      </c>
      <c r="B141" s="544">
        <f>-'Reorganised Statements'!D96</f>
        <v>-162</v>
      </c>
      <c r="C141" s="544">
        <f>-'Reorganised Statements'!E96</f>
        <v>-192</v>
      </c>
      <c r="D141" s="544">
        <f>-'Reorganised Statements'!F96</f>
        <v>-158</v>
      </c>
      <c r="E141" s="544">
        <f>-'Reorganised Statements'!G96</f>
        <v>-132</v>
      </c>
      <c r="F141" s="509">
        <f>-'Reorganised Statements'!H96</f>
        <v>-130</v>
      </c>
      <c r="G141" s="541">
        <f>G140/G142</f>
        <v>-101.93086741299238</v>
      </c>
      <c r="H141" s="541">
        <f t="shared" ref="H141:K141" si="64">H140/H142</f>
        <v>-114.20862270879553</v>
      </c>
      <c r="I141" s="541">
        <f t="shared" si="64"/>
        <v>-109.72322231947831</v>
      </c>
      <c r="J141" s="541">
        <f t="shared" si="64"/>
        <v>-97.283036645083016</v>
      </c>
      <c r="K141" s="596">
        <f t="shared" si="64"/>
        <v>-92.541909028653066</v>
      </c>
      <c r="L141" s="544"/>
      <c r="M141" s="509"/>
      <c r="N141" s="544"/>
      <c r="O141" s="544"/>
      <c r="P141" s="543"/>
      <c r="Q141" s="543"/>
      <c r="R141" s="543"/>
      <c r="S141" s="543"/>
      <c r="T141" s="543"/>
      <c r="U141" s="262">
        <v>300</v>
      </c>
      <c r="V141" s="509">
        <v>2023</v>
      </c>
      <c r="W141" s="511">
        <v>4.0570000000000002E-2</v>
      </c>
      <c r="X141" s="511">
        <v>4.0570000000000002E-2</v>
      </c>
      <c r="Y141" s="511">
        <v>4.0570000000000002E-2</v>
      </c>
      <c r="Z141" s="511">
        <v>4.0570000000000002E-2</v>
      </c>
      <c r="AA141" s="640">
        <v>0</v>
      </c>
      <c r="AB141" s="544"/>
      <c r="AC141" s="544"/>
      <c r="AD141" s="544"/>
      <c r="AE141" s="544"/>
      <c r="AF141" s="544"/>
      <c r="AG141" s="544"/>
      <c r="AH141" s="544"/>
      <c r="AI141" s="544"/>
    </row>
    <row r="142" spans="1:35" s="542" customFormat="1">
      <c r="A142" s="509" t="s">
        <v>662</v>
      </c>
      <c r="B142" s="511">
        <f>B140/B141</f>
        <v>0.86419753086419748</v>
      </c>
      <c r="C142" s="511">
        <f t="shared" ref="C142:F142" si="65">C140/C141</f>
        <v>0.69791666666666663</v>
      </c>
      <c r="D142" s="511">
        <f t="shared" si="65"/>
        <v>0.71518987341772156</v>
      </c>
      <c r="E142" s="511">
        <f t="shared" si="65"/>
        <v>0.81818181818181823</v>
      </c>
      <c r="F142" s="534">
        <f t="shared" si="65"/>
        <v>0.75384615384615383</v>
      </c>
      <c r="G142" s="510">
        <f>AVERAGE(E142,F142)</f>
        <v>0.78601398601398609</v>
      </c>
      <c r="H142" s="510">
        <f>G142</f>
        <v>0.78601398601398609</v>
      </c>
      <c r="I142" s="510">
        <f t="shared" ref="I142:K142" si="66">H142</f>
        <v>0.78601398601398609</v>
      </c>
      <c r="J142" s="510">
        <f t="shared" si="66"/>
        <v>0.78601398601398609</v>
      </c>
      <c r="K142" s="628">
        <f t="shared" si="66"/>
        <v>0.78601398601398609</v>
      </c>
      <c r="L142" s="544"/>
      <c r="M142" s="509"/>
      <c r="N142" s="544"/>
      <c r="O142" s="544"/>
      <c r="P142" s="543"/>
      <c r="Q142" s="543"/>
      <c r="R142" s="543"/>
      <c r="S142" s="543"/>
      <c r="T142" s="543"/>
      <c r="U142" s="262">
        <v>300</v>
      </c>
      <c r="V142" s="509">
        <v>2024</v>
      </c>
      <c r="W142" s="511">
        <v>1.2840000000000001E-2</v>
      </c>
      <c r="X142" s="511">
        <v>1.2840000000000001E-2</v>
      </c>
      <c r="Y142" s="511">
        <v>1.2840000000000001E-2</v>
      </c>
      <c r="Z142" s="511">
        <v>1.2840000000000001E-2</v>
      </c>
      <c r="AA142" s="601">
        <v>1.2840000000000001E-2</v>
      </c>
      <c r="AB142" s="544"/>
      <c r="AC142" s="544"/>
      <c r="AD142" s="544"/>
      <c r="AE142" s="544"/>
      <c r="AF142" s="544"/>
      <c r="AG142" s="544"/>
      <c r="AH142" s="544"/>
      <c r="AI142" s="544"/>
    </row>
    <row r="143" spans="1:35" s="542" customFormat="1">
      <c r="A143" s="509"/>
      <c r="B143" s="544"/>
      <c r="C143" s="544"/>
      <c r="D143" s="544"/>
      <c r="E143" s="544"/>
      <c r="F143" s="509"/>
      <c r="G143" s="544"/>
      <c r="H143" s="544"/>
      <c r="I143" s="544"/>
      <c r="J143" s="544"/>
      <c r="K143" s="509"/>
      <c r="L143" s="544"/>
      <c r="M143" s="509"/>
      <c r="N143" s="544"/>
      <c r="O143" s="544"/>
      <c r="P143" s="543"/>
      <c r="Q143" s="543"/>
      <c r="R143" s="543"/>
      <c r="S143" s="543"/>
      <c r="T143" s="543"/>
      <c r="U143" s="262">
        <v>300</v>
      </c>
      <c r="V143" s="509">
        <v>2025</v>
      </c>
      <c r="W143" s="511">
        <v>1.8360000000000001E-2</v>
      </c>
      <c r="X143" s="511">
        <v>1.8360000000000001E-2</v>
      </c>
      <c r="Y143" s="511">
        <v>1.8360000000000001E-2</v>
      </c>
      <c r="Z143" s="511">
        <v>1.8360000000000001E-2</v>
      </c>
      <c r="AA143" s="601">
        <v>1.8360000000000001E-2</v>
      </c>
      <c r="AB143" s="544"/>
      <c r="AC143" s="544"/>
      <c r="AD143" s="544"/>
      <c r="AE143" s="544"/>
      <c r="AF143" s="544"/>
      <c r="AG143" s="544"/>
      <c r="AH143" s="544"/>
      <c r="AI143" s="544"/>
    </row>
    <row r="144" spans="1:35" s="542" customFormat="1">
      <c r="A144" s="509" t="s">
        <v>661</v>
      </c>
      <c r="B144" s="544">
        <f>'Reorganised Statements'!D83</f>
        <v>-138</v>
      </c>
      <c r="C144" s="544">
        <f>'Reorganised Statements'!E83</f>
        <v>-161</v>
      </c>
      <c r="D144" s="544">
        <f>'Reorganised Statements'!F83</f>
        <v>-134</v>
      </c>
      <c r="E144" s="544">
        <f>'Reorganised Statements'!G83</f>
        <v>-112</v>
      </c>
      <c r="F144" s="509">
        <f>'Reorganised Statements'!H83</f>
        <v>-110</v>
      </c>
      <c r="G144" s="544"/>
      <c r="H144" s="544"/>
      <c r="I144" s="544"/>
      <c r="J144" s="544"/>
      <c r="K144" s="509"/>
      <c r="L144" s="544"/>
      <c r="M144" s="509"/>
      <c r="N144" s="544"/>
      <c r="O144" s="544"/>
      <c r="P144" s="543"/>
      <c r="Q144" s="543"/>
      <c r="R144" s="543"/>
      <c r="S144" s="543"/>
      <c r="T144" s="543"/>
      <c r="U144" s="262">
        <v>300</v>
      </c>
      <c r="V144" s="509">
        <v>2027</v>
      </c>
      <c r="W144" s="511">
        <v>1.7680000000000001E-2</v>
      </c>
      <c r="X144" s="511">
        <v>1.7680000000000001E-2</v>
      </c>
      <c r="Y144" s="511">
        <v>1.7680000000000001E-2</v>
      </c>
      <c r="Z144" s="511">
        <v>1.7680000000000001E-2</v>
      </c>
      <c r="AA144" s="601">
        <v>1.7680000000000001E-2</v>
      </c>
      <c r="AB144" s="544"/>
      <c r="AC144" s="544"/>
      <c r="AD144" s="544"/>
      <c r="AE144" s="544"/>
      <c r="AF144" s="544"/>
      <c r="AG144" s="544"/>
      <c r="AH144" s="544"/>
      <c r="AI144" s="544"/>
    </row>
    <row r="145" spans="1:35" s="542" customFormat="1">
      <c r="A145" s="509" t="s">
        <v>606</v>
      </c>
      <c r="B145" s="544">
        <f>'Reorganised Statements'!D99</f>
        <v>-137</v>
      </c>
      <c r="C145" s="544">
        <f>'Reorganised Statements'!E99</f>
        <v>-109</v>
      </c>
      <c r="D145" s="544">
        <f>'Reorganised Statements'!F99</f>
        <v>-134</v>
      </c>
      <c r="E145" s="544">
        <f>'Reorganised Statements'!G99</f>
        <v>-98</v>
      </c>
      <c r="F145" s="509">
        <f>'Reorganised Statements'!H99</f>
        <v>-106</v>
      </c>
      <c r="G145" s="541">
        <f>G141</f>
        <v>-101.93086741299238</v>
      </c>
      <c r="H145" s="541">
        <f t="shared" ref="H145:K145" si="67">H141</f>
        <v>-114.20862270879553</v>
      </c>
      <c r="I145" s="541">
        <f t="shared" si="67"/>
        <v>-109.72322231947831</v>
      </c>
      <c r="J145" s="541">
        <f t="shared" si="67"/>
        <v>-97.283036645083016</v>
      </c>
      <c r="K145" s="596">
        <f t="shared" si="67"/>
        <v>-92.541909028653066</v>
      </c>
      <c r="L145" s="544"/>
      <c r="M145" s="509"/>
      <c r="N145" s="544"/>
      <c r="O145" s="544"/>
      <c r="P145" s="543"/>
      <c r="Q145" s="543"/>
      <c r="R145" s="543"/>
      <c r="S145" s="543"/>
      <c r="T145" s="543"/>
      <c r="U145" s="262">
        <v>400</v>
      </c>
      <c r="V145" s="509">
        <v>2029</v>
      </c>
      <c r="W145" s="511">
        <v>1.3899999999999999E-2</v>
      </c>
      <c r="X145" s="511">
        <v>1.3899999999999999E-2</v>
      </c>
      <c r="Y145" s="511">
        <v>1.3899999999999999E-2</v>
      </c>
      <c r="Z145" s="511">
        <v>1.3899999999999999E-2</v>
      </c>
      <c r="AA145" s="601">
        <v>1.3899999999999999E-2</v>
      </c>
      <c r="AB145" s="544"/>
      <c r="AC145" s="544"/>
      <c r="AD145" s="544"/>
      <c r="AE145" s="544"/>
      <c r="AF145" s="544"/>
      <c r="AG145" s="544"/>
      <c r="AH145" s="544"/>
      <c r="AI145" s="544"/>
    </row>
    <row r="146" spans="1:35" s="542" customFormat="1" ht="15" thickBot="1">
      <c r="A146" s="509"/>
      <c r="B146" s="544"/>
      <c r="C146" s="544"/>
      <c r="D146" s="544"/>
      <c r="E146" s="544"/>
      <c r="F146" s="509"/>
      <c r="G146" s="544"/>
      <c r="H146" s="544"/>
      <c r="I146" s="544"/>
      <c r="J146" s="544"/>
      <c r="K146" s="509"/>
      <c r="L146" s="544"/>
      <c r="M146" s="509"/>
      <c r="N146" s="544"/>
      <c r="O146" s="544"/>
      <c r="P146" s="543"/>
      <c r="Q146" s="543"/>
      <c r="R146" s="543"/>
      <c r="S146" s="543"/>
      <c r="T146" s="543"/>
      <c r="U146" s="288"/>
      <c r="V146" s="103" t="s">
        <v>610</v>
      </c>
      <c r="W146" s="529">
        <f>'WACC '!C22</f>
        <v>2.1758250683779193E-2</v>
      </c>
      <c r="X146" s="529">
        <f>W146</f>
        <v>2.1758250683779193E-2</v>
      </c>
      <c r="Y146" s="529">
        <f t="shared" ref="Y146:AA146" si="68">X146</f>
        <v>2.1758250683779193E-2</v>
      </c>
      <c r="Z146" s="529">
        <f t="shared" si="68"/>
        <v>2.1758250683779193E-2</v>
      </c>
      <c r="AA146" s="641">
        <f t="shared" si="68"/>
        <v>2.1758250683779193E-2</v>
      </c>
      <c r="AB146" s="544"/>
      <c r="AC146" s="544"/>
      <c r="AD146" s="544"/>
      <c r="AE146" s="544"/>
      <c r="AF146" s="544"/>
      <c r="AG146" s="544"/>
      <c r="AH146" s="544"/>
      <c r="AI146" s="544"/>
    </row>
    <row r="147" spans="1:35" s="542" customFormat="1" ht="15" thickBot="1">
      <c r="A147" s="649" t="s">
        <v>453</v>
      </c>
      <c r="B147" s="544"/>
      <c r="C147" s="544"/>
      <c r="D147" s="544"/>
      <c r="E147" s="544"/>
      <c r="F147" s="509"/>
      <c r="G147" s="544"/>
      <c r="H147" s="544"/>
      <c r="I147" s="544"/>
      <c r="J147" s="544"/>
      <c r="K147" s="509"/>
      <c r="L147" s="544"/>
      <c r="M147" s="509"/>
      <c r="N147" s="544"/>
      <c r="O147" s="544"/>
      <c r="P147" s="543"/>
      <c r="Q147" s="543"/>
      <c r="R147" s="543"/>
      <c r="S147" s="543"/>
      <c r="T147" s="543"/>
      <c r="U147" s="579" t="s">
        <v>612</v>
      </c>
      <c r="V147" s="580"/>
      <c r="W147" s="578">
        <f>(SUM((W139*U139),(W140*U140),(W141*U141),(W142*U142),(W143*U143),(W144*U144),(W145*U145),W146*W150))/(SUM(U139:U145) +W150)</f>
        <v>2.6271704731400839E-2</v>
      </c>
      <c r="X147" s="578">
        <f>(SUM((W139*U139),(W140*U140),(W141*U141),(W142*U142),(W143*U143),(W144*U144),(W145*U145),(W146*X150),(W150*W146)))/(SUM(U139:U145) +X150+W150)</f>
        <v>2.5673625724398619E-2</v>
      </c>
      <c r="Y147" s="578">
        <f>(SUM((W140*U140),(W141*U141),(W142*U142),(W143*U143),(W144*U144),(W145*U145),(W146*Y150),(X150*W146),(W150*W146)))/(SUM(U140:U145)+Y150+W150+X150)</f>
        <v>2.3239070419649548E-2</v>
      </c>
      <c r="Z147" s="578">
        <f>(SUM((W141*U141),(W142*U142),(W143*U143),(W144*U144),(W145*U145),(W146*Z150),(Y150*W146),(X150*W146),(W150*W146)))/(SUM(U141:U145)+Z150+Y150+X150+W150)</f>
        <v>2.103909388632904E-2</v>
      </c>
      <c r="AA147" s="639">
        <f>SUM((U142*W142),(U143*W143),(U144*W144),(U145*W145),(AA146*AA150),(Z150*W146),(Y150*W146),(X150*W146),(W150*W146))/(U142+U143+U144+U145+W150+X150+Y150+Z150+AA150)</f>
        <v>1.9415931754190315E-2</v>
      </c>
      <c r="AB147" s="544"/>
      <c r="AC147" s="544"/>
      <c r="AD147" s="544"/>
      <c r="AE147" s="544"/>
      <c r="AF147" s="544"/>
      <c r="AG147" s="544"/>
      <c r="AH147" s="544"/>
      <c r="AI147" s="544"/>
    </row>
    <row r="148" spans="1:35" s="542" customFormat="1">
      <c r="A148" s="509" t="s">
        <v>614</v>
      </c>
      <c r="B148" s="544"/>
      <c r="C148" s="544"/>
      <c r="D148" s="544"/>
      <c r="E148" s="544"/>
      <c r="F148" s="509"/>
      <c r="G148" s="564">
        <f>'Output forecasts simo '!G22</f>
        <v>544.56139017900625</v>
      </c>
      <c r="H148" s="564">
        <f>'Output forecasts simo '!H22</f>
        <v>588.22893768113204</v>
      </c>
      <c r="I148" s="564">
        <f>'Output forecasts simo '!I22</f>
        <v>653.13977415749594</v>
      </c>
      <c r="J148" s="564">
        <f>'Output forecasts simo '!J22</f>
        <v>730.68861768672582</v>
      </c>
      <c r="K148" s="565">
        <f>'Output forecasts simo '!K22</f>
        <v>805.4407544425253</v>
      </c>
      <c r="L148" s="544"/>
      <c r="M148" s="509"/>
      <c r="N148" s="544"/>
      <c r="O148" s="544"/>
      <c r="P148" s="543"/>
      <c r="Q148" s="543"/>
      <c r="R148" s="543"/>
      <c r="S148" s="543"/>
      <c r="T148" s="543"/>
      <c r="U148" s="262"/>
      <c r="V148" s="509"/>
      <c r="W148" s="544"/>
      <c r="X148" s="544"/>
      <c r="Y148" s="544"/>
      <c r="Z148" s="544"/>
      <c r="AA148" s="291"/>
      <c r="AB148" s="544"/>
      <c r="AC148" s="544"/>
      <c r="AD148" s="544"/>
      <c r="AE148" s="544"/>
      <c r="AF148" s="544"/>
      <c r="AG148" s="544"/>
      <c r="AH148" s="544"/>
      <c r="AI148" s="544"/>
    </row>
    <row r="149" spans="1:35" s="542" customFormat="1">
      <c r="A149" s="103" t="s">
        <v>615</v>
      </c>
      <c r="B149" s="105"/>
      <c r="C149" s="105"/>
      <c r="D149" s="105"/>
      <c r="E149" s="105"/>
      <c r="F149" s="103"/>
      <c r="G149" s="637">
        <v>0.24</v>
      </c>
      <c r="H149" s="637">
        <f>G149</f>
        <v>0.24</v>
      </c>
      <c r="I149" s="637">
        <f t="shared" ref="I149:K149" si="69">H149</f>
        <v>0.24</v>
      </c>
      <c r="J149" s="637">
        <f t="shared" si="69"/>
        <v>0.24</v>
      </c>
      <c r="K149" s="657">
        <f t="shared" si="69"/>
        <v>0.24</v>
      </c>
      <c r="L149" s="105"/>
      <c r="M149" s="103"/>
      <c r="N149" s="544"/>
      <c r="O149" s="544"/>
      <c r="P149" s="543"/>
      <c r="Q149" s="543"/>
      <c r="R149" s="543"/>
      <c r="S149" s="543"/>
      <c r="T149" s="543"/>
      <c r="U149" s="262"/>
      <c r="V149" s="509"/>
      <c r="W149" s="517">
        <v>2020</v>
      </c>
      <c r="X149" s="105">
        <v>2021</v>
      </c>
      <c r="Y149" s="105">
        <v>2022</v>
      </c>
      <c r="Z149" s="105">
        <v>2023</v>
      </c>
      <c r="AA149" s="294">
        <v>2024</v>
      </c>
      <c r="AB149" s="544"/>
      <c r="AC149" s="544"/>
      <c r="AD149" s="544"/>
      <c r="AE149" s="544"/>
      <c r="AF149" s="544"/>
      <c r="AG149" s="544"/>
      <c r="AH149" s="544"/>
      <c r="AI149" s="544"/>
    </row>
    <row r="150" spans="1:35" s="542" customFormat="1" ht="15" thickBot="1">
      <c r="A150" s="509" t="s">
        <v>616</v>
      </c>
      <c r="B150" s="544"/>
      <c r="C150" s="544"/>
      <c r="D150" s="544"/>
      <c r="E150" s="544"/>
      <c r="F150" s="509"/>
      <c r="G150" s="541">
        <f>-G149*G148</f>
        <v>-130.69473364296149</v>
      </c>
      <c r="H150" s="541">
        <f t="shared" ref="H150:K150" si="70">-H149*H148</f>
        <v>-141.17494504347169</v>
      </c>
      <c r="I150" s="541">
        <f t="shared" si="70"/>
        <v>-156.75354579779901</v>
      </c>
      <c r="J150" s="541">
        <f t="shared" si="70"/>
        <v>-175.36526824481419</v>
      </c>
      <c r="K150" s="596">
        <f t="shared" si="70"/>
        <v>-193.30578106620607</v>
      </c>
      <c r="L150" s="544"/>
      <c r="M150" s="522"/>
      <c r="N150" s="544"/>
      <c r="O150" s="544"/>
      <c r="P150" s="543"/>
      <c r="Q150" s="543"/>
      <c r="R150" s="543"/>
      <c r="S150" s="543"/>
      <c r="T150" s="543"/>
      <c r="U150" s="274" t="s">
        <v>668</v>
      </c>
      <c r="V150" s="527"/>
      <c r="W150" s="642">
        <f>V122</f>
        <v>400.58917890691527</v>
      </c>
      <c r="X150" s="642">
        <f t="shared" ref="X150:AA150" si="71">W122</f>
        <v>435.6606062781064</v>
      </c>
      <c r="Y150" s="642">
        <f t="shared" si="71"/>
        <v>536.60611988642768</v>
      </c>
      <c r="Z150" s="642">
        <f t="shared" si="71"/>
        <v>389.69465778311968</v>
      </c>
      <c r="AA150" s="643">
        <f t="shared" si="71"/>
        <v>379.22066098468014</v>
      </c>
      <c r="AB150" s="544"/>
      <c r="AC150" s="544"/>
      <c r="AD150" s="544"/>
      <c r="AE150" s="544"/>
      <c r="AF150" s="544"/>
      <c r="AG150" s="544"/>
      <c r="AH150" s="544"/>
      <c r="AI150" s="544"/>
    </row>
    <row r="151" spans="1:35" s="542" customFormat="1">
      <c r="A151" s="509"/>
      <c r="B151" s="544"/>
      <c r="C151" s="544"/>
      <c r="D151" s="544"/>
      <c r="E151" s="544"/>
      <c r="F151" s="509"/>
      <c r="G151" s="544"/>
      <c r="H151" s="544"/>
      <c r="I151" s="544"/>
      <c r="J151" s="544"/>
      <c r="K151" s="509"/>
      <c r="L151" s="544"/>
      <c r="M151" s="509"/>
      <c r="N151" s="544"/>
      <c r="O151" s="544"/>
      <c r="P151" s="543"/>
      <c r="Q151" s="543"/>
      <c r="R151" s="543"/>
      <c r="S151" s="543"/>
      <c r="T151" s="543"/>
      <c r="U151" s="544"/>
      <c r="V151" s="544"/>
      <c r="W151" s="541"/>
      <c r="X151" s="541"/>
      <c r="Y151" s="541"/>
      <c r="Z151" s="541"/>
      <c r="AA151" s="541"/>
      <c r="AB151" s="544"/>
      <c r="AC151" s="544"/>
      <c r="AD151" s="544"/>
      <c r="AE151" s="544"/>
      <c r="AF151" s="544"/>
      <c r="AG151" s="544"/>
      <c r="AH151" s="544"/>
      <c r="AI151" s="544"/>
    </row>
    <row r="152" spans="1:35" s="542" customFormat="1" ht="15" thickBot="1">
      <c r="A152" s="509" t="s">
        <v>617</v>
      </c>
      <c r="B152" s="544"/>
      <c r="C152" s="544"/>
      <c r="D152" s="544"/>
      <c r="E152" s="544"/>
      <c r="F152" s="509"/>
      <c r="G152" s="564">
        <f>'Output forecasts simo '!G18</f>
        <v>646.49225759199862</v>
      </c>
      <c r="H152" s="564">
        <f>'Output forecasts simo '!H18</f>
        <v>702.43756038992751</v>
      </c>
      <c r="I152" s="564">
        <f>'Output forecasts simo '!I18</f>
        <v>762.86299647697422</v>
      </c>
      <c r="J152" s="564">
        <f>'Output forecasts simo '!J18</f>
        <v>827.97165433180885</v>
      </c>
      <c r="K152" s="565">
        <f>'Output forecasts simo '!K18</f>
        <v>897.9826634711784</v>
      </c>
      <c r="L152" s="544"/>
      <c r="M152" s="509"/>
      <c r="N152" s="544"/>
      <c r="O152" s="544"/>
      <c r="P152" s="543"/>
      <c r="Q152" s="543"/>
      <c r="R152" s="543"/>
      <c r="S152" s="543"/>
      <c r="T152" s="543"/>
      <c r="U152" s="543"/>
      <c r="V152" s="543"/>
      <c r="W152" s="543"/>
      <c r="X152" s="543"/>
      <c r="Y152" s="543"/>
      <c r="Z152" s="543"/>
      <c r="AA152" s="544"/>
      <c r="AB152" s="544"/>
      <c r="AC152" s="544"/>
      <c r="AD152" s="544"/>
      <c r="AE152" s="544"/>
      <c r="AF152" s="544"/>
      <c r="AG152" s="544"/>
      <c r="AH152" s="544"/>
      <c r="AI152" s="544"/>
    </row>
    <row r="153" spans="1:35">
      <c r="A153" s="103" t="s">
        <v>618</v>
      </c>
      <c r="B153" s="105"/>
      <c r="C153" s="105"/>
      <c r="D153" s="105"/>
      <c r="E153" s="105"/>
      <c r="F153" s="103"/>
      <c r="G153" s="533">
        <v>3.9E-2</v>
      </c>
      <c r="H153" s="533">
        <f>G153</f>
        <v>3.9E-2</v>
      </c>
      <c r="I153" s="533">
        <f t="shared" ref="I153:K153" si="72">H153</f>
        <v>3.9E-2</v>
      </c>
      <c r="J153" s="533">
        <f t="shared" si="72"/>
        <v>3.9E-2</v>
      </c>
      <c r="K153" s="658">
        <f t="shared" si="72"/>
        <v>3.9E-2</v>
      </c>
      <c r="L153" s="105"/>
      <c r="M153" s="103"/>
      <c r="N153" s="55"/>
      <c r="O153" s="55"/>
      <c r="P153" s="1"/>
      <c r="Q153" s="1"/>
      <c r="R153" s="1"/>
      <c r="S153" s="1"/>
      <c r="T153" s="1"/>
      <c r="U153" s="600" t="s">
        <v>669</v>
      </c>
      <c r="V153" s="301"/>
      <c r="W153" s="301"/>
      <c r="X153" s="301"/>
      <c r="Y153" s="301"/>
      <c r="Z153" s="301"/>
      <c r="AA153" s="298"/>
      <c r="AB153" s="55"/>
      <c r="AC153" s="55"/>
      <c r="AD153" s="55"/>
      <c r="AE153" s="55"/>
      <c r="AF153" s="55"/>
      <c r="AG153" s="55"/>
      <c r="AH153" s="55"/>
      <c r="AI153" s="55"/>
    </row>
    <row r="154" spans="1:35" s="542" customFormat="1">
      <c r="A154" s="509" t="s">
        <v>619</v>
      </c>
      <c r="B154" s="544"/>
      <c r="C154" s="544"/>
      <c r="D154" s="544"/>
      <c r="E154" s="544"/>
      <c r="F154" s="509"/>
      <c r="G154" s="541">
        <f>-G153*G152</f>
        <v>-25.213198046087946</v>
      </c>
      <c r="H154" s="541">
        <f t="shared" ref="H154:K154" si="73">-H153*H152</f>
        <v>-27.395064855207174</v>
      </c>
      <c r="I154" s="541">
        <f t="shared" si="73"/>
        <v>-29.751656862601994</v>
      </c>
      <c r="J154" s="541">
        <f t="shared" si="73"/>
        <v>-32.290894518940547</v>
      </c>
      <c r="K154" s="596">
        <f t="shared" si="73"/>
        <v>-35.021323875375955</v>
      </c>
      <c r="L154" s="544"/>
      <c r="M154" s="509"/>
      <c r="N154" s="544"/>
      <c r="O154" s="544"/>
      <c r="P154" s="543"/>
      <c r="Q154" s="543"/>
      <c r="R154" s="543"/>
      <c r="S154" s="543"/>
      <c r="T154" s="543"/>
      <c r="U154" s="262"/>
      <c r="V154" s="544"/>
      <c r="W154" s="544"/>
      <c r="X154" s="544"/>
      <c r="Y154" s="544"/>
      <c r="Z154" s="544"/>
      <c r="AA154" s="291"/>
      <c r="AB154" s="544"/>
      <c r="AC154" s="544"/>
      <c r="AD154" s="544"/>
      <c r="AE154" s="544"/>
      <c r="AF154" s="544"/>
      <c r="AG154" s="544"/>
      <c r="AH154" s="544"/>
      <c r="AI154" s="544"/>
    </row>
    <row r="155" spans="1:35" s="542" customFormat="1" ht="15" thickBot="1">
      <c r="A155" s="509"/>
      <c r="B155" s="544"/>
      <c r="C155" s="544"/>
      <c r="D155" s="544"/>
      <c r="E155" s="544"/>
      <c r="F155" s="509"/>
      <c r="G155" s="544"/>
      <c r="H155" s="544"/>
      <c r="I155" s="544"/>
      <c r="J155" s="544"/>
      <c r="K155" s="509"/>
      <c r="L155" s="544"/>
      <c r="M155" s="509"/>
      <c r="N155" s="544"/>
      <c r="O155" s="544"/>
      <c r="P155" s="543"/>
      <c r="Q155" s="543"/>
      <c r="R155" s="543"/>
      <c r="S155" s="543"/>
      <c r="T155" s="543"/>
      <c r="U155" s="274"/>
      <c r="V155" s="526"/>
      <c r="W155" s="526"/>
      <c r="X155" s="644">
        <f>C139/C125</f>
        <v>7.1864893999281339E-3</v>
      </c>
      <c r="Y155" s="644">
        <f>D139/D125</f>
        <v>9.5226003047232093E-3</v>
      </c>
      <c r="Z155" s="644">
        <f>E139/E125</f>
        <v>6.2743129627305808E-3</v>
      </c>
      <c r="AA155" s="648">
        <f>F139/F125</f>
        <v>3.9408866995073897E-3</v>
      </c>
      <c r="AB155" s="544"/>
      <c r="AC155" s="544"/>
      <c r="AD155" s="544"/>
      <c r="AE155" s="544"/>
      <c r="AF155" s="544"/>
      <c r="AG155" s="544"/>
      <c r="AH155" s="544"/>
      <c r="AI155" s="544"/>
    </row>
    <row r="156" spans="1:35" s="542" customFormat="1">
      <c r="A156" s="569" t="s">
        <v>620</v>
      </c>
      <c r="B156" s="521"/>
      <c r="C156" s="521"/>
      <c r="D156" s="521"/>
      <c r="E156" s="521"/>
      <c r="F156" s="569"/>
      <c r="G156" s="570">
        <f>G150+G154</f>
        <v>-155.90793168904943</v>
      </c>
      <c r="H156" s="570">
        <f t="shared" ref="H156:K156" si="74">H150+H154</f>
        <v>-168.57000989867888</v>
      </c>
      <c r="I156" s="570">
        <f t="shared" si="74"/>
        <v>-186.50520266040101</v>
      </c>
      <c r="J156" s="570">
        <f t="shared" si="74"/>
        <v>-207.65616276375474</v>
      </c>
      <c r="K156" s="571">
        <f t="shared" si="74"/>
        <v>-228.32710494158204</v>
      </c>
      <c r="L156" s="105"/>
      <c r="M156" s="103"/>
      <c r="N156" s="544"/>
      <c r="O156" s="544"/>
      <c r="P156" s="543"/>
      <c r="Q156" s="543"/>
      <c r="R156" s="543"/>
      <c r="S156" s="543"/>
      <c r="T156" s="543"/>
      <c r="U156" s="544"/>
      <c r="V156" s="544"/>
      <c r="W156" s="544"/>
      <c r="X156" s="544"/>
      <c r="Y156" s="544"/>
      <c r="Z156" s="544"/>
      <c r="AA156" s="544"/>
      <c r="AB156" s="544"/>
      <c r="AC156" s="544"/>
      <c r="AD156" s="544"/>
      <c r="AE156" s="544"/>
      <c r="AF156" s="544"/>
      <c r="AG156" s="544"/>
      <c r="AH156" s="544"/>
      <c r="AI156" s="544"/>
    </row>
    <row r="157" spans="1:35" s="542" customFormat="1">
      <c r="A157" s="509"/>
      <c r="B157" s="544"/>
      <c r="C157" s="544"/>
      <c r="D157" s="544"/>
      <c r="E157" s="544"/>
      <c r="F157" s="509"/>
      <c r="G157" s="544"/>
      <c r="H157" s="544"/>
      <c r="I157" s="544"/>
      <c r="J157" s="544"/>
      <c r="K157" s="509"/>
      <c r="L157" s="544"/>
      <c r="M157" s="509"/>
      <c r="N157" s="544"/>
      <c r="O157" s="544"/>
      <c r="P157" s="543"/>
      <c r="Q157" s="543"/>
      <c r="R157" s="543"/>
      <c r="S157" s="543"/>
      <c r="T157" s="543"/>
      <c r="U157" s="544"/>
      <c r="V157" s="544"/>
      <c r="W157" s="544"/>
      <c r="X157" s="544"/>
      <c r="Y157" s="544"/>
      <c r="Z157" s="544"/>
      <c r="AA157" s="544"/>
      <c r="AB157" s="544"/>
      <c r="AC157" s="544"/>
      <c r="AD157" s="544"/>
      <c r="AE157" s="544"/>
      <c r="AF157" s="544"/>
      <c r="AG157" s="544"/>
      <c r="AH157" s="544"/>
      <c r="AI157" s="544"/>
    </row>
    <row r="158" spans="1:35" s="542" customFormat="1">
      <c r="A158" s="509" t="s">
        <v>621</v>
      </c>
      <c r="B158" s="544"/>
      <c r="C158" s="544"/>
      <c r="D158" s="544"/>
      <c r="E158" s="544"/>
      <c r="F158" s="509"/>
      <c r="G158" s="564">
        <f>G148</f>
        <v>544.56139017900625</v>
      </c>
      <c r="H158" s="564">
        <f t="shared" ref="H158:K158" si="75">H148</f>
        <v>588.22893768113204</v>
      </c>
      <c r="I158" s="564">
        <f t="shared" si="75"/>
        <v>653.13977415749594</v>
      </c>
      <c r="J158" s="564">
        <f t="shared" si="75"/>
        <v>730.68861768672582</v>
      </c>
      <c r="K158" s="565">
        <f t="shared" si="75"/>
        <v>805.4407544425253</v>
      </c>
      <c r="L158" s="544"/>
      <c r="M158" s="509"/>
      <c r="N158" s="544"/>
      <c r="O158" s="544"/>
      <c r="P158" s="543"/>
      <c r="Q158" s="543"/>
      <c r="R158" s="543"/>
      <c r="S158" s="543"/>
      <c r="T158" s="543"/>
      <c r="U158" s="544"/>
      <c r="V158" s="544"/>
      <c r="W158" s="544"/>
      <c r="X158" s="544"/>
      <c r="Y158" s="544"/>
      <c r="Z158" s="544"/>
      <c r="AA158" s="544"/>
      <c r="AB158" s="544"/>
      <c r="AC158" s="544"/>
      <c r="AD158" s="544"/>
      <c r="AE158" s="544"/>
      <c r="AF158" s="544"/>
      <c r="AG158" s="544"/>
      <c r="AH158" s="544"/>
      <c r="AI158" s="544"/>
    </row>
    <row r="159" spans="1:35" s="542" customFormat="1">
      <c r="A159" s="509" t="s">
        <v>622</v>
      </c>
      <c r="B159" s="544"/>
      <c r="C159" s="544"/>
      <c r="D159" s="544"/>
      <c r="E159" s="544"/>
      <c r="F159" s="509"/>
      <c r="G159" s="511">
        <f>-G156/G158</f>
        <v>0.28630001043188158</v>
      </c>
      <c r="H159" s="511">
        <f t="shared" ref="H159:K159" si="76">-H156/H158</f>
        <v>0.28657211350941314</v>
      </c>
      <c r="I159" s="511">
        <f t="shared" si="76"/>
        <v>0.28555174564430641</v>
      </c>
      <c r="J159" s="511">
        <f t="shared" si="76"/>
        <v>0.2841924148499394</v>
      </c>
      <c r="K159" s="534">
        <f t="shared" si="76"/>
        <v>0.28348094342409513</v>
      </c>
      <c r="L159" s="544"/>
      <c r="M159" s="509"/>
      <c r="N159" s="544"/>
      <c r="O159" s="544"/>
      <c r="P159" s="543"/>
      <c r="Q159" s="543"/>
      <c r="R159" s="543"/>
      <c r="S159" s="543"/>
      <c r="T159" s="543"/>
      <c r="U159" s="544"/>
      <c r="V159" s="544"/>
      <c r="W159" s="544"/>
      <c r="X159" s="544"/>
      <c r="Y159" s="544"/>
      <c r="Z159" s="544"/>
      <c r="AA159" s="544"/>
      <c r="AB159" s="544"/>
      <c r="AC159" s="544"/>
      <c r="AD159" s="544"/>
      <c r="AE159" s="544"/>
      <c r="AF159" s="544"/>
      <c r="AG159" s="544"/>
      <c r="AH159" s="544"/>
      <c r="AI159" s="544"/>
    </row>
    <row r="160" spans="1:35" s="542" customFormat="1">
      <c r="A160" s="509"/>
      <c r="B160" s="544"/>
      <c r="C160" s="544"/>
      <c r="D160" s="544"/>
      <c r="E160" s="544"/>
      <c r="F160" s="509"/>
      <c r="G160" s="544"/>
      <c r="H160" s="544"/>
      <c r="I160" s="544"/>
      <c r="J160" s="544"/>
      <c r="K160" s="509"/>
      <c r="L160" s="544"/>
      <c r="M160" s="509"/>
      <c r="N160" s="544"/>
      <c r="O160" s="544"/>
      <c r="P160" s="543"/>
      <c r="Q160" s="543"/>
      <c r="R160" s="543"/>
      <c r="S160" s="543"/>
      <c r="T160" s="543"/>
      <c r="U160" s="544"/>
      <c r="V160" s="544"/>
      <c r="W160" s="544"/>
      <c r="X160" s="544"/>
      <c r="Y160" s="544"/>
      <c r="Z160" s="544"/>
      <c r="AA160" s="544"/>
      <c r="AB160" s="544"/>
      <c r="AC160" s="544"/>
      <c r="AD160" s="544"/>
      <c r="AE160" s="544"/>
      <c r="AF160" s="544"/>
      <c r="AG160" s="544"/>
      <c r="AH160" s="544"/>
      <c r="AI160" s="544"/>
    </row>
    <row r="161" spans="1:35" s="542" customFormat="1" ht="15" thickBot="1">
      <c r="A161" s="509"/>
      <c r="B161" s="544"/>
      <c r="C161" s="544"/>
      <c r="D161" s="544"/>
      <c r="E161" s="544"/>
      <c r="F161" s="509"/>
      <c r="G161" s="544"/>
      <c r="H161" s="544"/>
      <c r="I161" s="544"/>
      <c r="J161" s="544"/>
      <c r="K161" s="509"/>
      <c r="L161" s="544"/>
      <c r="M161" s="509"/>
      <c r="N161" s="544"/>
      <c r="O161" s="544"/>
      <c r="P161" s="543"/>
      <c r="Q161" s="543"/>
      <c r="R161" s="543"/>
      <c r="S161" s="543"/>
      <c r="T161" s="543"/>
      <c r="U161" s="544"/>
      <c r="V161" s="544"/>
      <c r="W161" s="544"/>
      <c r="X161" s="544"/>
      <c r="Y161" s="544"/>
      <c r="Z161" s="544"/>
      <c r="AA161" s="544"/>
      <c r="AB161" s="544"/>
      <c r="AC161" s="544"/>
      <c r="AD161" s="544"/>
      <c r="AE161" s="544"/>
      <c r="AF161" s="544"/>
      <c r="AG161" s="544"/>
      <c r="AH161" s="544"/>
      <c r="AI161" s="544"/>
    </row>
    <row r="162" spans="1:35" s="542" customFormat="1" ht="15" thickBot="1">
      <c r="A162" s="588" t="s">
        <v>677</v>
      </c>
      <c r="B162" s="544"/>
      <c r="C162" s="544"/>
      <c r="D162" s="544"/>
      <c r="E162" s="544"/>
      <c r="F162" s="509"/>
      <c r="G162" s="544"/>
      <c r="H162" s="544"/>
      <c r="I162" s="544"/>
      <c r="J162" s="544"/>
      <c r="K162" s="509"/>
      <c r="L162" s="544"/>
      <c r="M162" s="509"/>
      <c r="N162" s="544"/>
      <c r="O162" s="544"/>
      <c r="P162" s="543"/>
      <c r="Q162" s="543"/>
      <c r="R162" s="543"/>
      <c r="S162" s="543"/>
      <c r="T162" s="543"/>
      <c r="U162" s="544"/>
      <c r="V162" s="544"/>
      <c r="W162" s="544"/>
      <c r="X162" s="544"/>
      <c r="Y162" s="544"/>
      <c r="Z162" s="544"/>
      <c r="AA162" s="544"/>
      <c r="AB162" s="544"/>
      <c r="AC162" s="544"/>
      <c r="AD162" s="544"/>
      <c r="AE162" s="544"/>
      <c r="AF162" s="544"/>
      <c r="AG162" s="544"/>
      <c r="AH162" s="544"/>
      <c r="AI162" s="544"/>
    </row>
    <row r="163" spans="1:35" s="542" customFormat="1">
      <c r="A163" s="509"/>
      <c r="B163" s="544"/>
      <c r="C163" s="544"/>
      <c r="D163" s="544"/>
      <c r="E163" s="544"/>
      <c r="F163" s="509"/>
      <c r="G163" s="544"/>
      <c r="H163" s="544"/>
      <c r="I163" s="544"/>
      <c r="J163" s="544"/>
      <c r="K163" s="509"/>
      <c r="L163" s="544"/>
      <c r="M163" s="509"/>
      <c r="N163" s="544"/>
      <c r="O163" s="544"/>
      <c r="P163" s="543"/>
      <c r="Q163" s="543"/>
      <c r="R163" s="543"/>
      <c r="S163" s="543"/>
      <c r="T163" s="543"/>
      <c r="U163" s="544"/>
      <c r="V163" s="544"/>
      <c r="W163" s="544"/>
      <c r="X163" s="544"/>
      <c r="Y163" s="544"/>
      <c r="Z163" s="544"/>
      <c r="AA163" s="544"/>
      <c r="AB163" s="544"/>
      <c r="AC163" s="544"/>
      <c r="AD163" s="544"/>
      <c r="AE163" s="544"/>
      <c r="AF163" s="544"/>
      <c r="AG163" s="544"/>
      <c r="AH163" s="544"/>
      <c r="AI163" s="544"/>
    </row>
    <row r="164" spans="1:35" s="542" customFormat="1">
      <c r="A164" s="509" t="s">
        <v>593</v>
      </c>
      <c r="B164" s="544">
        <f>'Reorganised Statements'!D114</f>
        <v>75</v>
      </c>
      <c r="C164" s="544">
        <f>'Reorganised Statements'!E114</f>
        <v>232</v>
      </c>
      <c r="D164" s="544">
        <f>'Reorganised Statements'!F114</f>
        <v>293</v>
      </c>
      <c r="E164" s="544">
        <f>'Reorganised Statements'!G114</f>
        <v>344</v>
      </c>
      <c r="F164" s="509">
        <f>'Reorganised Statements'!H114</f>
        <v>389</v>
      </c>
      <c r="G164" s="564">
        <f>'Output forecasts simo '!G27</f>
        <v>384.67815390052436</v>
      </c>
      <c r="H164" s="564">
        <f>'Output forecasts simo '!H27</f>
        <v>415.36648672688739</v>
      </c>
      <c r="I164" s="564">
        <f>'Output forecasts simo '!I27</f>
        <v>461.8616445794558</v>
      </c>
      <c r="J164" s="564">
        <f>'Output forecasts simo '!J27</f>
        <v>517.68266766890713</v>
      </c>
      <c r="K164" s="565">
        <f>'Output forecasts simo '!K27</f>
        <v>571.2106979399332</v>
      </c>
      <c r="L164" s="544"/>
      <c r="M164" s="509"/>
      <c r="N164" s="544"/>
      <c r="O164" s="544"/>
      <c r="P164" s="543"/>
      <c r="Q164" s="543"/>
      <c r="R164" s="543"/>
      <c r="S164" s="543"/>
      <c r="T164" s="543"/>
      <c r="U164" s="544"/>
      <c r="V164" s="544"/>
      <c r="W164" s="544"/>
      <c r="X164" s="544"/>
      <c r="Y164" s="544"/>
      <c r="Z164" s="544"/>
      <c r="AA164" s="544"/>
      <c r="AB164" s="544"/>
      <c r="AC164" s="544"/>
      <c r="AD164" s="544"/>
      <c r="AE164" s="544"/>
      <c r="AF164" s="544"/>
      <c r="AG164" s="544"/>
      <c r="AH164" s="544"/>
      <c r="AI164" s="544"/>
    </row>
    <row r="165" spans="1:35" s="542" customFormat="1">
      <c r="A165" s="509" t="s">
        <v>594</v>
      </c>
      <c r="B165" s="544">
        <f>B8</f>
        <v>126</v>
      </c>
      <c r="C165" s="544">
        <f>C8</f>
        <v>153</v>
      </c>
      <c r="D165" s="544">
        <f>D8</f>
        <v>180</v>
      </c>
      <c r="E165" s="544">
        <f>E8</f>
        <v>218</v>
      </c>
      <c r="F165" s="509">
        <f>F8</f>
        <v>241</v>
      </c>
      <c r="G165" s="541">
        <f>G166*G167</f>
        <v>248.73470848000002</v>
      </c>
      <c r="H165" s="541">
        <f t="shared" ref="H165:K165" si="77">H166*H167</f>
        <v>261.171443904</v>
      </c>
      <c r="I165" s="541">
        <f t="shared" si="77"/>
        <v>274.23001609920004</v>
      </c>
      <c r="J165" s="541">
        <f t="shared" si="77"/>
        <v>287.9415169041601</v>
      </c>
      <c r="K165" s="596">
        <f t="shared" si="77"/>
        <v>302.3385927493681</v>
      </c>
      <c r="L165" s="544"/>
      <c r="M165" s="509"/>
      <c r="N165" s="544"/>
      <c r="O165" s="544"/>
      <c r="P165" s="543"/>
      <c r="Q165" s="543"/>
      <c r="R165" s="543"/>
      <c r="S165" s="543"/>
      <c r="T165" s="543"/>
      <c r="U165" s="544"/>
      <c r="V165" s="544"/>
      <c r="W165" s="544"/>
      <c r="X165" s="544"/>
      <c r="Y165" s="544"/>
      <c r="Z165" s="544"/>
      <c r="AA165" s="544"/>
      <c r="AB165" s="544"/>
      <c r="AC165" s="544"/>
      <c r="AD165" s="544"/>
      <c r="AE165" s="544"/>
      <c r="AF165" s="544"/>
      <c r="AG165" s="544"/>
      <c r="AH165" s="544"/>
      <c r="AI165" s="544"/>
    </row>
    <row r="166" spans="1:35" s="542" customFormat="1">
      <c r="A166" s="509" t="s">
        <v>601</v>
      </c>
      <c r="B166" s="661">
        <f>B165/B167</f>
        <v>4.0566645202833228E-2</v>
      </c>
      <c r="C166" s="661">
        <f t="shared" ref="C166:F166" si="78">C165/C167</f>
        <v>4.9209055201012208E-2</v>
      </c>
      <c r="D166" s="661">
        <f t="shared" si="78"/>
        <v>5.7893006118837895E-2</v>
      </c>
      <c r="E166" s="661">
        <f t="shared" si="78"/>
        <v>7.011486296614812E-2</v>
      </c>
      <c r="F166" s="662">
        <f t="shared" si="78"/>
        <v>7.7512302636888505E-2</v>
      </c>
      <c r="G166" s="544">
        <f>0.08</f>
        <v>0.08</v>
      </c>
      <c r="H166" s="621">
        <f>H9</f>
        <v>8.4000000000000005E-2</v>
      </c>
      <c r="I166" s="621">
        <f>I9</f>
        <v>8.8200000000000014E-2</v>
      </c>
      <c r="J166" s="621">
        <f>J9</f>
        <v>9.2610000000000026E-2</v>
      </c>
      <c r="K166" s="622">
        <f>K9</f>
        <v>9.7240500000000035E-2</v>
      </c>
      <c r="L166" s="544"/>
      <c r="M166" s="509"/>
      <c r="N166" s="544"/>
      <c r="O166" s="544"/>
      <c r="P166" s="543"/>
      <c r="Q166" s="543"/>
      <c r="R166" s="543"/>
      <c r="S166" s="543"/>
      <c r="T166" s="543"/>
      <c r="U166" s="544"/>
      <c r="V166" s="544"/>
      <c r="W166" s="544"/>
      <c r="X166" s="544"/>
      <c r="Y166" s="544"/>
      <c r="Z166" s="544"/>
      <c r="AA166" s="544"/>
      <c r="AB166" s="544"/>
      <c r="AC166" s="544"/>
      <c r="AD166" s="544"/>
      <c r="AE166" s="544"/>
      <c r="AF166" s="544"/>
      <c r="AG166" s="544"/>
      <c r="AH166" s="544"/>
      <c r="AI166" s="544"/>
    </row>
    <row r="167" spans="1:35" s="542" customFormat="1">
      <c r="A167" s="103" t="s">
        <v>602</v>
      </c>
      <c r="B167" s="659">
        <f>B6</f>
        <v>3106</v>
      </c>
      <c r="C167" s="563">
        <f>C6</f>
        <v>3109.1838560000001</v>
      </c>
      <c r="D167" s="563">
        <f>D6</f>
        <v>3109.1838560000001</v>
      </c>
      <c r="E167" s="563">
        <f>E6</f>
        <v>3109.1838560000001</v>
      </c>
      <c r="F167" s="610">
        <f>F6</f>
        <v>3109.1838560000001</v>
      </c>
      <c r="G167" s="563">
        <f>F167</f>
        <v>3109.1838560000001</v>
      </c>
      <c r="H167" s="563">
        <f t="shared" ref="H167:K168" si="79">G167</f>
        <v>3109.1838560000001</v>
      </c>
      <c r="I167" s="563">
        <f t="shared" si="79"/>
        <v>3109.1838560000001</v>
      </c>
      <c r="J167" s="563">
        <f t="shared" si="79"/>
        <v>3109.1838560000001</v>
      </c>
      <c r="K167" s="610">
        <f t="shared" si="79"/>
        <v>3109.1838560000001</v>
      </c>
      <c r="L167" s="105"/>
      <c r="M167" s="103"/>
      <c r="N167" s="544"/>
      <c r="O167" s="544"/>
      <c r="P167" s="543"/>
      <c r="Q167" s="543"/>
      <c r="R167" s="543"/>
      <c r="S167" s="543"/>
      <c r="T167" s="543"/>
      <c r="U167" s="544"/>
      <c r="V167" s="544"/>
      <c r="W167" s="544"/>
      <c r="X167" s="544"/>
      <c r="Y167" s="544"/>
      <c r="Z167" s="544"/>
      <c r="AA167" s="544"/>
      <c r="AB167" s="544"/>
      <c r="AC167" s="544"/>
      <c r="AD167" s="544"/>
      <c r="AE167" s="544"/>
      <c r="AF167" s="544"/>
      <c r="AG167" s="544"/>
      <c r="AH167" s="544"/>
      <c r="AI167" s="544"/>
    </row>
    <row r="168" spans="1:35" s="542" customFormat="1">
      <c r="A168" s="509" t="s">
        <v>595</v>
      </c>
      <c r="B168" s="511">
        <f>B165/B164</f>
        <v>1.68</v>
      </c>
      <c r="C168" s="511">
        <f t="shared" ref="C168:K168" si="80">C165/C164</f>
        <v>0.65948275862068961</v>
      </c>
      <c r="D168" s="511">
        <f t="shared" si="80"/>
        <v>0.61433447098976113</v>
      </c>
      <c r="E168" s="511">
        <f t="shared" si="80"/>
        <v>0.63372093023255816</v>
      </c>
      <c r="F168" s="534">
        <f t="shared" si="80"/>
        <v>0.61953727506426737</v>
      </c>
      <c r="G168" s="511">
        <f t="shared" si="80"/>
        <v>0.64660471606693171</v>
      </c>
      <c r="H168" s="511">
        <f t="shared" si="80"/>
        <v>0.62877351026089401</v>
      </c>
      <c r="I168" s="511">
        <f t="shared" si="80"/>
        <v>0.5937492738737763</v>
      </c>
      <c r="J168" s="511">
        <f t="shared" si="80"/>
        <v>0.55621239590798521</v>
      </c>
      <c r="K168" s="534">
        <f t="shared" si="80"/>
        <v>0.52929434592130331</v>
      </c>
      <c r="L168" s="544"/>
      <c r="M168" s="509"/>
      <c r="N168" s="544"/>
      <c r="O168" s="544"/>
      <c r="P168" s="543"/>
      <c r="Q168" s="543"/>
      <c r="R168" s="543"/>
      <c r="S168" s="543"/>
      <c r="T168" s="543"/>
      <c r="U168" s="544"/>
      <c r="V168" s="544"/>
      <c r="W168" s="544"/>
      <c r="X168" s="544"/>
      <c r="Y168" s="544"/>
      <c r="Z168" s="544"/>
      <c r="AA168" s="544"/>
      <c r="AB168" s="544"/>
      <c r="AC168" s="544"/>
      <c r="AD168" s="544"/>
      <c r="AE168" s="544"/>
      <c r="AF168" s="544"/>
      <c r="AG168" s="544"/>
      <c r="AH168" s="544"/>
      <c r="AI168" s="544"/>
    </row>
    <row r="169" spans="1:35" s="542" customFormat="1">
      <c r="A169" s="509"/>
      <c r="B169" s="544"/>
      <c r="C169" s="544"/>
      <c r="D169" s="544"/>
      <c r="E169" s="544"/>
      <c r="F169" s="509"/>
      <c r="G169" s="544"/>
      <c r="H169" s="544"/>
      <c r="I169" s="544"/>
      <c r="J169" s="544"/>
      <c r="K169" s="509"/>
      <c r="L169" s="544"/>
      <c r="M169" s="509"/>
      <c r="N169" s="544"/>
      <c r="O169" s="544"/>
      <c r="P169" s="543"/>
      <c r="Q169" s="543"/>
      <c r="R169" s="543"/>
      <c r="S169" s="543"/>
      <c r="T169" s="543"/>
      <c r="U169" s="544"/>
      <c r="V169" s="544"/>
      <c r="W169" s="544"/>
      <c r="X169" s="544"/>
      <c r="Y169" s="544"/>
      <c r="Z169" s="544"/>
      <c r="AA169" s="544"/>
      <c r="AB169" s="544"/>
      <c r="AC169" s="544"/>
      <c r="AD169" s="544"/>
      <c r="AE169" s="544"/>
      <c r="AF169" s="544"/>
      <c r="AG169" s="544"/>
      <c r="AH169" s="544"/>
      <c r="AI169" s="544"/>
    </row>
    <row r="170" spans="1:35" s="542" customFormat="1">
      <c r="A170" s="569" t="s">
        <v>596</v>
      </c>
      <c r="B170" s="544"/>
      <c r="C170" s="544"/>
      <c r="D170" s="544"/>
      <c r="E170" s="544"/>
      <c r="F170" s="509"/>
      <c r="G170" s="544"/>
      <c r="H170" s="544"/>
      <c r="I170" s="544"/>
      <c r="J170" s="544"/>
      <c r="K170" s="509"/>
      <c r="L170" s="544"/>
      <c r="M170" s="509"/>
      <c r="N170" s="544"/>
      <c r="O170" s="544"/>
      <c r="P170" s="543"/>
      <c r="Q170" s="543"/>
      <c r="R170" s="543"/>
      <c r="S170" s="543"/>
      <c r="T170" s="543"/>
      <c r="U170" s="544"/>
      <c r="V170" s="544"/>
      <c r="W170" s="544"/>
      <c r="X170" s="544"/>
      <c r="Y170" s="544"/>
      <c r="Z170" s="544"/>
      <c r="AA170" s="544"/>
      <c r="AB170" s="544"/>
      <c r="AC170" s="544"/>
      <c r="AD170" s="544"/>
      <c r="AE170" s="544"/>
      <c r="AF170" s="544"/>
      <c r="AG170" s="544"/>
      <c r="AH170" s="544"/>
      <c r="AI170" s="544"/>
    </row>
    <row r="171" spans="1:35" s="542" customFormat="1">
      <c r="A171" s="509" t="s">
        <v>597</v>
      </c>
      <c r="B171" s="544"/>
      <c r="C171" s="544"/>
      <c r="D171" s="544"/>
      <c r="E171" s="544"/>
      <c r="F171" s="509"/>
      <c r="G171" s="544">
        <f>-'Reorganised Statements'!H35</f>
        <v>3651</v>
      </c>
      <c r="H171" s="541">
        <f>G175</f>
        <v>3786.9434454205243</v>
      </c>
      <c r="I171" s="541">
        <f>H175</f>
        <v>3941.1384882434118</v>
      </c>
      <c r="J171" s="541">
        <f>I175</f>
        <v>4128.7701167236673</v>
      </c>
      <c r="K171" s="596">
        <f>J175</f>
        <v>4358.511267488414</v>
      </c>
      <c r="L171" s="544"/>
      <c r="M171" s="509"/>
      <c r="N171" s="544"/>
      <c r="O171" s="544"/>
      <c r="P171" s="543"/>
      <c r="Q171" s="543"/>
      <c r="R171" s="543"/>
      <c r="S171" s="543"/>
      <c r="T171" s="543"/>
      <c r="U171" s="544"/>
      <c r="V171" s="544"/>
      <c r="W171" s="544"/>
      <c r="X171" s="544"/>
      <c r="Y171" s="544"/>
      <c r="Z171" s="544"/>
      <c r="AA171" s="544"/>
      <c r="AB171" s="544"/>
      <c r="AC171" s="544"/>
      <c r="AD171" s="544"/>
      <c r="AE171" s="544"/>
      <c r="AF171" s="544"/>
      <c r="AG171" s="544"/>
      <c r="AH171" s="544"/>
      <c r="AI171" s="544"/>
    </row>
    <row r="172" spans="1:35" s="542" customFormat="1">
      <c r="A172" s="509" t="s">
        <v>598</v>
      </c>
      <c r="B172" s="544"/>
      <c r="C172" s="544"/>
      <c r="D172" s="544"/>
      <c r="E172" s="544"/>
      <c r="F172" s="509"/>
      <c r="G172" s="564">
        <f>G164</f>
        <v>384.67815390052436</v>
      </c>
      <c r="H172" s="564">
        <f>H164</f>
        <v>415.36648672688739</v>
      </c>
      <c r="I172" s="564">
        <f t="shared" ref="I172:K172" si="81">I164</f>
        <v>461.8616445794558</v>
      </c>
      <c r="J172" s="564">
        <f t="shared" si="81"/>
        <v>517.68266766890713</v>
      </c>
      <c r="K172" s="565">
        <f t="shared" si="81"/>
        <v>571.2106979399332</v>
      </c>
      <c r="L172" s="544"/>
      <c r="M172" s="509"/>
      <c r="N172" s="544"/>
      <c r="O172" s="544"/>
      <c r="P172" s="543"/>
      <c r="Q172" s="543"/>
      <c r="R172" s="543"/>
      <c r="S172" s="543"/>
      <c r="T172" s="543"/>
      <c r="U172" s="544"/>
      <c r="V172" s="544"/>
      <c r="W172" s="544"/>
      <c r="X172" s="544"/>
      <c r="Y172" s="544"/>
      <c r="Z172" s="544"/>
      <c r="AA172" s="544"/>
      <c r="AB172" s="544"/>
      <c r="AC172" s="544"/>
      <c r="AD172" s="544"/>
      <c r="AE172" s="544"/>
      <c r="AF172" s="544"/>
      <c r="AG172" s="544"/>
      <c r="AH172" s="544"/>
      <c r="AI172" s="544"/>
    </row>
    <row r="173" spans="1:35" s="542" customFormat="1">
      <c r="A173" s="509" t="s">
        <v>599</v>
      </c>
      <c r="B173" s="544"/>
      <c r="C173" s="544"/>
      <c r="D173" s="544"/>
      <c r="E173" s="544"/>
      <c r="F173" s="509"/>
      <c r="G173" s="541">
        <f>-G165</f>
        <v>-248.73470848000002</v>
      </c>
      <c r="H173" s="541">
        <f t="shared" ref="H173:K173" si="82">-H165</f>
        <v>-261.171443904</v>
      </c>
      <c r="I173" s="541">
        <f t="shared" si="82"/>
        <v>-274.23001609920004</v>
      </c>
      <c r="J173" s="541">
        <f t="shared" si="82"/>
        <v>-287.9415169041601</v>
      </c>
      <c r="K173" s="596">
        <f t="shared" si="82"/>
        <v>-302.3385927493681</v>
      </c>
      <c r="L173" s="544"/>
      <c r="M173" s="509"/>
      <c r="N173" s="544"/>
      <c r="O173" s="544"/>
      <c r="P173" s="543"/>
      <c r="Q173" s="543"/>
      <c r="R173" s="543"/>
      <c r="S173" s="543"/>
      <c r="T173" s="543"/>
      <c r="U173" s="544"/>
      <c r="V173" s="544"/>
      <c r="W173" s="544"/>
      <c r="X173" s="544"/>
      <c r="Y173" s="544"/>
      <c r="Z173" s="544"/>
      <c r="AA173" s="544"/>
      <c r="AB173" s="544"/>
      <c r="AC173" s="544"/>
      <c r="AD173" s="544"/>
      <c r="AE173" s="544"/>
      <c r="AF173" s="544"/>
      <c r="AG173" s="544"/>
      <c r="AH173" s="544"/>
      <c r="AI173" s="544"/>
    </row>
    <row r="174" spans="1:35" s="542" customFormat="1">
      <c r="A174" s="103" t="s">
        <v>455</v>
      </c>
      <c r="B174" s="105"/>
      <c r="C174" s="105"/>
      <c r="D174" s="105"/>
      <c r="E174" s="105"/>
      <c r="F174" s="103"/>
      <c r="G174" s="105"/>
      <c r="H174" s="105"/>
      <c r="I174" s="105"/>
      <c r="J174" s="105"/>
      <c r="K174" s="103"/>
      <c r="L174" s="544"/>
      <c r="M174" s="509"/>
      <c r="N174" s="544"/>
      <c r="O174" s="544"/>
      <c r="P174" s="543"/>
      <c r="Q174" s="543"/>
      <c r="R174" s="543"/>
      <c r="S174" s="543"/>
      <c r="T174" s="543"/>
      <c r="U174" s="544"/>
      <c r="V174" s="544"/>
      <c r="W174" s="544"/>
      <c r="X174" s="544"/>
      <c r="Y174" s="544"/>
      <c r="Z174" s="544"/>
      <c r="AA174" s="544"/>
      <c r="AB174" s="544"/>
      <c r="AC174" s="544"/>
      <c r="AD174" s="544"/>
      <c r="AE174" s="544"/>
      <c r="AF174" s="544"/>
      <c r="AG174" s="544"/>
      <c r="AH174" s="544"/>
      <c r="AI174" s="544"/>
    </row>
    <row r="175" spans="1:35" s="542" customFormat="1">
      <c r="A175" s="568" t="s">
        <v>600</v>
      </c>
      <c r="B175" s="104"/>
      <c r="C175" s="104"/>
      <c r="D175" s="104"/>
      <c r="E175" s="104"/>
      <c r="F175" s="568"/>
      <c r="G175" s="590">
        <f>G171+G172+G173</f>
        <v>3786.9434454205243</v>
      </c>
      <c r="H175" s="590">
        <f>H171+H172+H173</f>
        <v>3941.1384882434118</v>
      </c>
      <c r="I175" s="590">
        <f>I171+I172+I173</f>
        <v>4128.7701167236673</v>
      </c>
      <c r="J175" s="590">
        <f>J171+J172+J173</f>
        <v>4358.511267488414</v>
      </c>
      <c r="K175" s="608">
        <f>K171+K172+K173</f>
        <v>4627.383372678979</v>
      </c>
      <c r="L175" s="544"/>
      <c r="M175" s="509"/>
      <c r="N175" s="544"/>
      <c r="O175" s="544"/>
      <c r="P175" s="543"/>
      <c r="Q175" s="543"/>
      <c r="R175" s="543"/>
      <c r="S175" s="543"/>
      <c r="T175" s="543"/>
      <c r="U175" s="544"/>
      <c r="V175" s="544"/>
      <c r="W175" s="544"/>
      <c r="X175" s="544"/>
      <c r="Y175" s="544"/>
      <c r="Z175" s="544"/>
      <c r="AA175" s="544"/>
      <c r="AB175" s="544"/>
      <c r="AC175" s="544"/>
      <c r="AD175" s="544"/>
      <c r="AE175" s="544"/>
      <c r="AF175" s="544"/>
      <c r="AG175" s="544"/>
      <c r="AH175" s="544"/>
      <c r="AI175" s="544"/>
    </row>
    <row r="176" spans="1:35" s="542" customFormat="1">
      <c r="A176" s="544"/>
      <c r="B176" s="544"/>
      <c r="C176" s="544"/>
      <c r="D176" s="544"/>
      <c r="E176" s="544"/>
      <c r="F176" s="544"/>
      <c r="G176" s="544"/>
      <c r="H176" s="544"/>
      <c r="I176" s="544"/>
      <c r="J176" s="544"/>
      <c r="K176" s="544"/>
      <c r="L176" s="544"/>
      <c r="M176" s="544"/>
      <c r="N176" s="544"/>
      <c r="O176" s="544"/>
      <c r="P176" s="543"/>
      <c r="Q176" s="543"/>
      <c r="R176" s="543"/>
      <c r="S176" s="543"/>
      <c r="T176" s="543"/>
      <c r="U176" s="544"/>
      <c r="V176" s="544"/>
      <c r="W176" s="544"/>
      <c r="X176" s="544"/>
      <c r="Y176" s="544"/>
      <c r="Z176" s="544"/>
      <c r="AA176" s="544"/>
      <c r="AB176" s="544"/>
      <c r="AC176" s="544"/>
      <c r="AD176" s="544"/>
      <c r="AE176" s="544"/>
      <c r="AF176" s="544"/>
      <c r="AG176" s="544"/>
      <c r="AH176" s="544"/>
      <c r="AI176" s="544"/>
    </row>
    <row r="177" spans="1:35" s="542" customFormat="1">
      <c r="A177" s="544"/>
      <c r="B177" s="544"/>
      <c r="C177" s="544"/>
      <c r="D177" s="544"/>
      <c r="E177" s="544"/>
      <c r="F177" s="544"/>
      <c r="G177" s="544"/>
      <c r="H177" s="544"/>
      <c r="I177" s="544"/>
      <c r="J177" s="544"/>
      <c r="K177" s="544"/>
      <c r="L177" s="544"/>
      <c r="M177" s="544"/>
      <c r="N177" s="544"/>
      <c r="O177" s="544"/>
      <c r="P177" s="543"/>
      <c r="Q177" s="543"/>
      <c r="R177" s="543"/>
      <c r="S177" s="543"/>
      <c r="T177" s="543"/>
      <c r="U177" s="544"/>
      <c r="V177" s="544"/>
      <c r="W177" s="544"/>
      <c r="X177" s="544"/>
      <c r="Y177" s="544"/>
      <c r="Z177" s="544"/>
      <c r="AA177" s="544"/>
      <c r="AB177" s="544"/>
      <c r="AC177" s="544"/>
      <c r="AD177" s="544"/>
      <c r="AE177" s="544"/>
      <c r="AF177" s="544"/>
      <c r="AG177" s="544"/>
      <c r="AH177" s="544"/>
      <c r="AI177" s="544"/>
    </row>
    <row r="178" spans="1:35" s="542" customFormat="1">
      <c r="A178" s="544"/>
      <c r="B178" s="544"/>
      <c r="C178" s="544"/>
      <c r="D178" s="544"/>
      <c r="E178" s="544"/>
      <c r="F178" s="544"/>
      <c r="G178" s="544"/>
      <c r="H178" s="544"/>
      <c r="I178" s="544"/>
      <c r="J178" s="544"/>
      <c r="K178" s="544"/>
      <c r="L178" s="544"/>
      <c r="M178" s="544"/>
      <c r="N178" s="544"/>
      <c r="O178" s="544"/>
      <c r="P178" s="543"/>
      <c r="Q178" s="543"/>
      <c r="R178" s="543"/>
      <c r="S178" s="543"/>
      <c r="T178" s="543"/>
      <c r="U178" s="544"/>
      <c r="V178" s="544"/>
      <c r="W178" s="544"/>
      <c r="X178" s="544"/>
      <c r="Y178" s="544"/>
      <c r="Z178" s="544"/>
      <c r="AA178" s="544"/>
      <c r="AB178" s="544"/>
      <c r="AC178" s="544"/>
      <c r="AD178" s="544"/>
      <c r="AE178" s="544"/>
      <c r="AF178" s="544"/>
      <c r="AG178" s="544"/>
      <c r="AH178" s="544"/>
      <c r="AI178" s="544"/>
    </row>
    <row r="179" spans="1:35" s="542" customFormat="1">
      <c r="A179" s="544"/>
      <c r="B179" s="544"/>
      <c r="C179" s="544"/>
      <c r="D179" s="544"/>
      <c r="E179" s="544"/>
      <c r="F179" s="544"/>
      <c r="G179" s="544"/>
      <c r="H179" s="544"/>
      <c r="I179" s="544"/>
      <c r="J179" s="544"/>
      <c r="K179" s="544"/>
      <c r="L179" s="544"/>
      <c r="M179" s="544"/>
      <c r="N179" s="544"/>
      <c r="O179" s="544"/>
      <c r="P179" s="543"/>
      <c r="Q179" s="543"/>
      <c r="R179" s="543"/>
      <c r="S179" s="543"/>
      <c r="T179" s="543"/>
      <c r="U179" s="544"/>
      <c r="V179" s="544"/>
      <c r="W179" s="544"/>
      <c r="X179" s="544"/>
      <c r="Y179" s="544"/>
      <c r="Z179" s="544"/>
      <c r="AA179" s="544"/>
      <c r="AB179" s="544"/>
      <c r="AC179" s="544"/>
      <c r="AD179" s="544"/>
      <c r="AE179" s="544"/>
      <c r="AF179" s="544"/>
      <c r="AG179" s="544"/>
      <c r="AH179" s="544"/>
      <c r="AI179" s="544"/>
    </row>
    <row r="180" spans="1:35" s="542" customFormat="1">
      <c r="A180" s="544"/>
      <c r="B180" s="544"/>
      <c r="C180" s="544"/>
      <c r="D180" s="544"/>
      <c r="E180" s="544"/>
      <c r="F180" s="544"/>
      <c r="G180" s="544"/>
      <c r="H180" s="544"/>
      <c r="I180" s="544"/>
      <c r="J180" s="544"/>
      <c r="K180" s="544"/>
      <c r="L180" s="544"/>
      <c r="M180" s="544"/>
      <c r="N180" s="544"/>
      <c r="O180" s="544"/>
      <c r="P180" s="543"/>
      <c r="Q180" s="543"/>
      <c r="R180" s="543"/>
      <c r="S180" s="543"/>
      <c r="T180" s="543"/>
      <c r="U180" s="544"/>
      <c r="V180" s="544"/>
      <c r="W180" s="544"/>
      <c r="X180" s="544"/>
      <c r="Y180" s="544"/>
      <c r="Z180" s="544"/>
      <c r="AA180" s="544"/>
      <c r="AB180" s="544"/>
      <c r="AC180" s="544"/>
      <c r="AD180" s="544"/>
      <c r="AE180" s="544"/>
      <c r="AF180" s="544"/>
      <c r="AG180" s="544"/>
      <c r="AH180" s="544"/>
      <c r="AI180" s="544"/>
    </row>
    <row r="181" spans="1:3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1"/>
      <c r="Q181" s="1"/>
      <c r="R181" s="1"/>
      <c r="S181" s="1"/>
      <c r="T181" s="55"/>
      <c r="U181" s="510"/>
      <c r="V181" s="544"/>
      <c r="W181" s="511"/>
      <c r="X181" s="511">
        <f>C139/C125</f>
        <v>7.1864893999281339E-3</v>
      </c>
      <c r="Y181" s="511">
        <f>D139/D125</f>
        <v>9.5226003047232093E-3</v>
      </c>
      <c r="Z181" s="511">
        <f>E139/E125</f>
        <v>6.2743129627305808E-3</v>
      </c>
      <c r="AA181" s="511">
        <f>F139/F125</f>
        <v>3.9408866995073897E-3</v>
      </c>
      <c r="AB181" s="544"/>
      <c r="AC181" s="55"/>
      <c r="AD181" s="55"/>
      <c r="AE181" s="55"/>
      <c r="AF181" s="55"/>
      <c r="AG181" s="55"/>
      <c r="AH181" s="55"/>
      <c r="AI181" s="55"/>
    </row>
    <row r="182" spans="1:35">
      <c r="A182" s="463"/>
      <c r="B182" s="463"/>
      <c r="C182" s="544"/>
      <c r="D182" s="544"/>
      <c r="E182" s="544"/>
      <c r="F182" s="544"/>
      <c r="G182" s="544"/>
      <c r="H182" s="544"/>
      <c r="I182" s="544"/>
      <c r="J182" s="544"/>
      <c r="K182" s="544"/>
      <c r="L182" s="544"/>
      <c r="M182" s="544"/>
      <c r="N182" s="544"/>
      <c r="O182" s="544"/>
      <c r="P182" s="544"/>
      <c r="Q182" s="544"/>
      <c r="R182" s="544"/>
      <c r="S182" s="544"/>
      <c r="T182" s="544"/>
      <c r="U182" s="544"/>
      <c r="V182" s="544" t="s">
        <v>567</v>
      </c>
      <c r="W182" s="544"/>
      <c r="X182" s="544"/>
      <c r="Y182" s="544"/>
      <c r="Z182" s="544"/>
      <c r="AA182" s="544"/>
      <c r="AB182" s="544"/>
      <c r="AC182" s="55"/>
      <c r="AD182" s="55"/>
      <c r="AE182" s="55"/>
      <c r="AF182" s="55"/>
      <c r="AG182" s="55"/>
      <c r="AH182" s="55"/>
      <c r="AI182" s="55"/>
    </row>
    <row r="183" spans="1:35">
      <c r="A183" s="544"/>
      <c r="B183" s="544"/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  <c r="P183" s="544"/>
      <c r="Q183" s="544"/>
      <c r="R183" s="544"/>
      <c r="S183" s="544"/>
      <c r="T183" s="544"/>
      <c r="U183" s="544"/>
      <c r="V183" s="1"/>
      <c r="W183" s="1"/>
      <c r="X183" s="1"/>
      <c r="Y183" s="1"/>
      <c r="Z183" s="1"/>
      <c r="AA183" s="55"/>
      <c r="AB183" s="55"/>
      <c r="AC183" s="55"/>
      <c r="AD183" s="55"/>
      <c r="AE183" s="55"/>
      <c r="AF183" s="55"/>
      <c r="AG183" s="55"/>
      <c r="AH183" s="55"/>
      <c r="AI183" s="55"/>
    </row>
    <row r="184" spans="1:35">
      <c r="A184" s="544"/>
      <c r="B184" s="544"/>
      <c r="C184" s="544"/>
      <c r="D184" s="544"/>
      <c r="E184" s="544"/>
      <c r="F184" s="544"/>
      <c r="G184" s="544"/>
      <c r="H184" s="544"/>
      <c r="I184" s="544"/>
      <c r="J184" s="544"/>
      <c r="K184" s="544"/>
      <c r="L184" s="544"/>
      <c r="M184" s="544"/>
      <c r="N184" s="544"/>
      <c r="O184" s="544"/>
      <c r="P184" s="544"/>
      <c r="Q184" s="544"/>
      <c r="R184" s="544"/>
      <c r="S184" s="544"/>
      <c r="T184" s="544"/>
      <c r="U184" s="544"/>
      <c r="V184" s="1"/>
      <c r="W184" s="1"/>
      <c r="X184" s="1"/>
      <c r="Y184" s="1"/>
      <c r="Z184" s="1"/>
      <c r="AA184" s="55"/>
      <c r="AB184" s="55"/>
      <c r="AC184" s="55"/>
      <c r="AD184" s="55"/>
      <c r="AE184" s="55"/>
      <c r="AF184" s="55"/>
      <c r="AG184" s="55"/>
      <c r="AH184" s="55"/>
      <c r="AI184" s="55"/>
    </row>
    <row r="185" spans="1:35">
      <c r="A185" s="544"/>
      <c r="B185" s="544"/>
      <c r="C185" s="544"/>
      <c r="D185" s="544"/>
      <c r="E185" s="544"/>
      <c r="F185" s="544"/>
      <c r="G185" s="544"/>
      <c r="H185" s="544"/>
      <c r="I185" s="544"/>
      <c r="J185" s="544"/>
      <c r="K185" s="544"/>
      <c r="L185" s="544"/>
      <c r="M185" s="544"/>
      <c r="N185" s="544"/>
      <c r="O185" s="544"/>
      <c r="P185" s="544"/>
      <c r="Q185" s="544"/>
      <c r="R185" s="544"/>
      <c r="S185" s="544"/>
      <c r="T185" s="544"/>
      <c r="U185" s="544"/>
      <c r="V185" s="1"/>
      <c r="W185" s="1"/>
      <c r="X185" s="1"/>
      <c r="Y185" s="1"/>
      <c r="Z185" s="1"/>
      <c r="AA185" s="55"/>
      <c r="AB185" s="55"/>
      <c r="AC185" s="55"/>
      <c r="AD185" s="55"/>
      <c r="AE185" s="55"/>
      <c r="AF185" s="55"/>
      <c r="AG185" s="55"/>
      <c r="AH185" s="55"/>
      <c r="AI185" s="55"/>
    </row>
    <row r="186" spans="1:35">
      <c r="A186" s="544"/>
      <c r="B186" s="544"/>
      <c r="C186" s="544"/>
      <c r="D186" s="104"/>
      <c r="E186" s="171"/>
      <c r="F186" s="544"/>
      <c r="G186" s="544"/>
      <c r="H186" s="544"/>
      <c r="I186" s="544"/>
      <c r="J186" s="544"/>
      <c r="K186" s="544"/>
      <c r="L186" s="544"/>
      <c r="M186" s="544"/>
      <c r="N186" s="544"/>
      <c r="O186" s="544"/>
      <c r="P186" s="544"/>
      <c r="Q186" s="544"/>
      <c r="R186" s="544"/>
      <c r="S186" s="544"/>
      <c r="T186" s="544"/>
      <c r="U186" s="544"/>
      <c r="V186" s="105"/>
      <c r="W186" s="105"/>
      <c r="X186" s="1"/>
      <c r="Y186" s="1"/>
      <c r="Z186" s="1"/>
      <c r="AA186" s="55"/>
      <c r="AB186" s="55"/>
      <c r="AC186" s="55"/>
      <c r="AD186" s="104"/>
      <c r="AE186" s="55"/>
      <c r="AF186" s="55"/>
      <c r="AG186" s="55"/>
      <c r="AH186" s="55"/>
      <c r="AI186" s="55"/>
    </row>
    <row r="187" spans="1:35">
      <c r="A187" s="544"/>
      <c r="B187" s="544"/>
      <c r="C187" s="544"/>
      <c r="D187" s="544"/>
      <c r="E187" s="544"/>
      <c r="F187" s="544"/>
      <c r="G187" s="544"/>
      <c r="H187" s="544"/>
      <c r="I187" s="688"/>
      <c r="J187" s="544"/>
      <c r="K187" s="544"/>
      <c r="L187" s="544"/>
      <c r="M187" s="544"/>
      <c r="N187" s="544"/>
      <c r="O187" s="544"/>
      <c r="P187" s="544"/>
      <c r="Q187" s="544"/>
      <c r="R187" s="544"/>
      <c r="S187" s="544"/>
      <c r="T187" s="544"/>
      <c r="U187" s="544"/>
      <c r="V187" s="1"/>
      <c r="W187" s="1"/>
      <c r="X187" s="1"/>
      <c r="Y187" s="1"/>
      <c r="Z187" s="1"/>
      <c r="AA187" s="55"/>
      <c r="AB187" s="55"/>
      <c r="AC187" s="55"/>
      <c r="AD187" s="55"/>
      <c r="AE187" s="55"/>
      <c r="AF187" s="55"/>
      <c r="AG187" s="55"/>
      <c r="AH187" s="55"/>
      <c r="AI187" s="55"/>
    </row>
    <row r="188" spans="1:35">
      <c r="A188" s="104"/>
      <c r="B188" s="544"/>
      <c r="C188" s="104"/>
      <c r="D188" s="511"/>
      <c r="E188" s="104"/>
      <c r="F188" s="511"/>
      <c r="G188" s="104"/>
      <c r="H188" s="511"/>
      <c r="I188" s="689"/>
      <c r="J188" s="511"/>
      <c r="K188" s="104"/>
      <c r="L188" s="544"/>
      <c r="M188" s="104"/>
      <c r="N188" s="544"/>
      <c r="O188" s="104"/>
      <c r="P188" s="544"/>
      <c r="Q188" s="104"/>
      <c r="R188" s="544"/>
      <c r="S188" s="104"/>
      <c r="T188" s="544"/>
      <c r="U188" s="104"/>
      <c r="V188" s="1"/>
      <c r="W188" s="1"/>
      <c r="X188" s="1"/>
      <c r="Y188" s="1"/>
      <c r="Z188" s="1"/>
      <c r="AA188" s="55"/>
      <c r="AB188" s="55"/>
      <c r="AC188" s="55"/>
      <c r="AD188" s="104"/>
      <c r="AE188" s="55"/>
      <c r="AF188" s="55"/>
      <c r="AG188" s="55"/>
      <c r="AH188" s="55"/>
      <c r="AI188" s="55"/>
    </row>
    <row r="189" spans="1:35">
      <c r="A189" s="544"/>
      <c r="B189" s="544"/>
      <c r="C189" s="544"/>
      <c r="D189" s="544"/>
      <c r="E189" s="544"/>
      <c r="F189" s="544"/>
      <c r="G189" s="544"/>
      <c r="H189" s="544"/>
      <c r="I189" s="544"/>
      <c r="J189" s="544"/>
      <c r="K189" s="544"/>
      <c r="L189" s="544"/>
      <c r="M189" s="544"/>
      <c r="N189" s="544"/>
      <c r="O189" s="544"/>
      <c r="P189" s="544"/>
      <c r="Q189" s="544"/>
      <c r="R189" s="544"/>
      <c r="S189" s="544"/>
      <c r="T189" s="544"/>
      <c r="U189" s="544"/>
      <c r="V189" s="1"/>
      <c r="W189" s="1"/>
      <c r="X189" s="1"/>
      <c r="Y189" s="1"/>
      <c r="Z189" s="1"/>
      <c r="AA189" s="55"/>
      <c r="AB189" s="55"/>
      <c r="AC189" s="55"/>
      <c r="AD189" s="55"/>
      <c r="AE189" s="55"/>
      <c r="AF189" s="55"/>
      <c r="AG189" s="55"/>
      <c r="AH189" s="55"/>
      <c r="AI189" s="55"/>
    </row>
    <row r="190" spans="1:35">
      <c r="A190" s="544"/>
      <c r="B190" s="544"/>
      <c r="C190" s="544"/>
      <c r="D190" s="544"/>
      <c r="E190" s="544"/>
      <c r="F190" s="544"/>
      <c r="G190" s="544"/>
      <c r="H190" s="544"/>
      <c r="I190" s="544"/>
      <c r="J190" s="544"/>
      <c r="K190" s="544"/>
      <c r="L190" s="544"/>
      <c r="M190" s="544"/>
      <c r="N190" s="544"/>
      <c r="O190" s="544"/>
      <c r="P190" s="544"/>
      <c r="Q190" s="544"/>
      <c r="R190" s="544"/>
      <c r="S190" s="544"/>
      <c r="T190" s="544"/>
      <c r="U190" s="544"/>
      <c r="V190" s="105"/>
      <c r="W190" s="105"/>
      <c r="X190" s="1"/>
      <c r="Y190" s="1"/>
      <c r="Z190" s="1"/>
      <c r="AA190" s="55"/>
      <c r="AB190" s="55"/>
      <c r="AC190" s="55"/>
      <c r="AD190" s="55"/>
      <c r="AE190" s="55"/>
      <c r="AF190" s="55"/>
      <c r="AG190" s="55"/>
      <c r="AH190" s="55"/>
      <c r="AI190" s="55"/>
    </row>
    <row r="191" spans="1:35">
      <c r="A191" s="544"/>
      <c r="B191" s="544"/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4"/>
      <c r="O191" s="544"/>
      <c r="P191" s="544"/>
      <c r="Q191" s="544"/>
      <c r="R191" s="544"/>
      <c r="S191" s="544"/>
      <c r="T191" s="544"/>
      <c r="U191" s="544"/>
      <c r="V191" s="1"/>
      <c r="W191" s="1"/>
      <c r="X191" s="1"/>
      <c r="Y191" s="1"/>
      <c r="Z191" s="1"/>
      <c r="AA191" s="55"/>
      <c r="AB191" s="55"/>
      <c r="AC191" s="55"/>
      <c r="AD191" s="55"/>
      <c r="AE191" s="55"/>
      <c r="AF191" s="55"/>
      <c r="AG191" s="55"/>
      <c r="AH191" s="55"/>
      <c r="AI191" s="55"/>
    </row>
    <row r="192" spans="1:35">
      <c r="A192" s="544"/>
      <c r="B192" s="544"/>
      <c r="C192" s="544"/>
      <c r="D192" s="544"/>
      <c r="E192" s="544"/>
      <c r="F192" s="544"/>
      <c r="G192" s="544"/>
      <c r="H192" s="544"/>
      <c r="I192" s="544"/>
      <c r="J192" s="544"/>
      <c r="K192" s="544"/>
      <c r="L192" s="544"/>
      <c r="M192" s="544"/>
      <c r="N192" s="544"/>
      <c r="O192" s="544"/>
      <c r="P192" s="544"/>
      <c r="Q192" s="544"/>
      <c r="R192" s="544"/>
      <c r="S192" s="544"/>
      <c r="T192" s="544"/>
      <c r="U192" s="544"/>
      <c r="V192" s="1"/>
      <c r="W192" s="1"/>
      <c r="X192" s="1"/>
      <c r="Y192" s="1"/>
      <c r="Z192" s="1"/>
      <c r="AA192" s="55"/>
      <c r="AB192" s="55"/>
      <c r="AC192" s="55"/>
      <c r="AD192" s="55"/>
      <c r="AE192" s="55"/>
      <c r="AF192" s="55"/>
      <c r="AG192" s="55"/>
      <c r="AH192" s="55"/>
      <c r="AI192" s="55"/>
    </row>
    <row r="193" spans="1:35">
      <c r="A193" s="544"/>
      <c r="B193" s="544"/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4"/>
      <c r="O193" s="544"/>
      <c r="P193" s="544"/>
      <c r="Q193" s="544"/>
      <c r="R193" s="544"/>
      <c r="S193" s="544"/>
      <c r="T193" s="544"/>
      <c r="U193" s="544"/>
      <c r="V193" s="1"/>
      <c r="W193" s="1"/>
      <c r="X193" s="1"/>
      <c r="Y193" s="1"/>
      <c r="Z193" s="1"/>
      <c r="AA193" s="55"/>
      <c r="AB193" s="55"/>
      <c r="AC193" s="55"/>
      <c r="AD193" s="55"/>
      <c r="AE193" s="55"/>
      <c r="AF193" s="55"/>
      <c r="AG193" s="55"/>
      <c r="AH193" s="55"/>
      <c r="AI193" s="55"/>
    </row>
    <row r="194" spans="1:35">
      <c r="A194" s="544"/>
      <c r="B194" s="544"/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  <c r="P194" s="544"/>
      <c r="Q194" s="544"/>
      <c r="R194" s="544"/>
      <c r="S194" s="544"/>
      <c r="T194" s="544"/>
      <c r="U194" s="544"/>
      <c r="V194" s="105"/>
      <c r="W194" s="105"/>
      <c r="X194" s="1"/>
      <c r="Y194" s="1"/>
      <c r="Z194" s="1"/>
    </row>
    <row r="195" spans="1:35">
      <c r="A195" s="104"/>
      <c r="B195" s="544"/>
      <c r="C195" s="104"/>
      <c r="D195" s="511"/>
      <c r="E195" s="104"/>
      <c r="F195" s="511"/>
      <c r="G195" s="104"/>
      <c r="H195" s="511"/>
      <c r="I195" s="104"/>
      <c r="J195" s="511"/>
      <c r="K195" s="104"/>
      <c r="L195" s="544"/>
      <c r="M195" s="104"/>
      <c r="N195" s="544"/>
      <c r="O195" s="104"/>
      <c r="P195" s="544"/>
      <c r="Q195" s="104"/>
      <c r="R195" s="544"/>
      <c r="S195" s="104"/>
      <c r="T195" s="544"/>
      <c r="U195" s="104"/>
      <c r="V195" s="1"/>
      <c r="W195" s="1"/>
      <c r="X195" s="1"/>
      <c r="Y195" s="1"/>
      <c r="Z195" s="1"/>
    </row>
    <row r="196" spans="1:35">
      <c r="A196" s="544"/>
      <c r="B196" s="544"/>
      <c r="C196" s="544"/>
      <c r="D196" s="544"/>
      <c r="E196" s="544"/>
      <c r="F196" s="544"/>
      <c r="G196" s="544"/>
      <c r="H196" s="544"/>
      <c r="I196" s="544"/>
      <c r="J196" s="544"/>
      <c r="K196" s="544"/>
      <c r="L196" s="544"/>
      <c r="M196" s="544"/>
      <c r="N196" s="544"/>
      <c r="O196" s="544"/>
      <c r="P196" s="544"/>
      <c r="Q196" s="544"/>
      <c r="R196" s="544"/>
      <c r="S196" s="544"/>
      <c r="T196" s="544"/>
      <c r="U196" s="544"/>
      <c r="V196" s="1"/>
      <c r="W196" s="1"/>
      <c r="X196" s="1"/>
      <c r="Y196" s="1"/>
      <c r="Z196" s="1"/>
    </row>
    <row r="197" spans="1:35">
      <c r="A197" s="544"/>
      <c r="B197" s="544"/>
      <c r="C197" s="511"/>
      <c r="D197" s="511"/>
      <c r="E197" s="511"/>
      <c r="F197" s="511"/>
      <c r="G197" s="511"/>
      <c r="H197" s="511"/>
      <c r="I197" s="511"/>
      <c r="J197" s="511"/>
      <c r="K197" s="511"/>
      <c r="L197" s="544"/>
      <c r="M197" s="510"/>
      <c r="N197" s="544"/>
      <c r="O197" s="511"/>
      <c r="P197" s="544"/>
      <c r="Q197" s="511"/>
      <c r="R197" s="544"/>
      <c r="S197" s="511"/>
      <c r="T197" s="544"/>
      <c r="U197" s="511"/>
      <c r="V197" s="1"/>
      <c r="W197" s="1"/>
      <c r="X197" s="1"/>
      <c r="Y197" s="1"/>
      <c r="Z197" s="1"/>
    </row>
    <row r="198" spans="1:35">
      <c r="A198" s="544"/>
      <c r="B198" s="544"/>
      <c r="C198" s="544"/>
      <c r="D198" s="544"/>
      <c r="E198" s="544"/>
      <c r="F198" s="544"/>
      <c r="G198" s="544"/>
      <c r="H198" s="544"/>
      <c r="I198" s="544"/>
      <c r="J198" s="544"/>
      <c r="K198" s="544"/>
      <c r="L198" s="544"/>
      <c r="M198" s="544"/>
      <c r="N198" s="544"/>
      <c r="O198" s="544"/>
      <c r="P198" s="544"/>
      <c r="Q198" s="544"/>
      <c r="R198" s="544"/>
      <c r="S198" s="544"/>
      <c r="T198" s="544"/>
      <c r="U198" s="544"/>
      <c r="V198" s="1"/>
      <c r="W198" s="1"/>
      <c r="X198" s="1"/>
      <c r="Y198" s="1"/>
      <c r="Z198" s="1"/>
    </row>
    <row r="199" spans="1:35">
      <c r="A199" s="544"/>
      <c r="B199" s="544"/>
      <c r="C199" s="544"/>
      <c r="D199" s="544"/>
      <c r="E199" s="544"/>
      <c r="F199" s="544"/>
      <c r="G199" s="544"/>
      <c r="H199" s="544"/>
      <c r="I199" s="544"/>
      <c r="J199" s="544"/>
      <c r="K199" s="544"/>
      <c r="L199" s="544"/>
      <c r="M199" s="544"/>
      <c r="N199" s="544"/>
      <c r="O199" s="544"/>
      <c r="P199" s="544"/>
      <c r="Q199" s="544"/>
      <c r="R199" s="544"/>
      <c r="S199" s="544"/>
      <c r="T199" s="544"/>
      <c r="U199" s="544"/>
      <c r="V199" s="55"/>
      <c r="W199" s="55"/>
      <c r="X199" s="1"/>
      <c r="Y199" s="1"/>
      <c r="Z199" s="1"/>
    </row>
    <row r="200" spans="1:35">
      <c r="A200" s="544"/>
      <c r="B200" s="544"/>
      <c r="C200" s="544"/>
      <c r="D200" s="544"/>
      <c r="E200" s="544"/>
      <c r="F200" s="544"/>
      <c r="G200" s="544"/>
      <c r="H200" s="544"/>
      <c r="I200" s="544"/>
      <c r="J200" s="544"/>
      <c r="K200" s="544"/>
      <c r="L200" s="544"/>
      <c r="M200" s="544"/>
      <c r="N200" s="544"/>
      <c r="O200" s="544"/>
      <c r="P200" s="544"/>
      <c r="Q200" s="544"/>
      <c r="R200" s="544"/>
      <c r="S200" s="544"/>
      <c r="T200" s="544"/>
      <c r="U200" s="544"/>
      <c r="V200" s="55"/>
      <c r="W200" s="55"/>
      <c r="X200" s="1"/>
      <c r="Y200" s="1"/>
      <c r="Z200" s="1"/>
    </row>
    <row r="201" spans="1:35">
      <c r="A201" s="544"/>
      <c r="B201" s="544"/>
      <c r="C201" s="104"/>
      <c r="D201" s="511"/>
      <c r="E201" s="104"/>
      <c r="F201" s="511"/>
      <c r="G201" s="104"/>
      <c r="H201" s="511"/>
      <c r="I201" s="104"/>
      <c r="J201" s="511"/>
      <c r="K201" s="104"/>
      <c r="L201" s="510"/>
      <c r="M201" s="104"/>
      <c r="N201" s="511"/>
      <c r="O201" s="104"/>
      <c r="P201" s="511"/>
      <c r="Q201" s="104"/>
      <c r="R201" s="544"/>
      <c r="S201" s="104"/>
      <c r="T201" s="511"/>
      <c r="U201" s="104"/>
      <c r="V201" s="1"/>
      <c r="W201" s="1"/>
      <c r="X201" s="1"/>
      <c r="Y201" s="1"/>
      <c r="Z201" s="1"/>
    </row>
    <row r="202" spans="1:35">
      <c r="A202" s="544"/>
      <c r="B202" s="544"/>
      <c r="C202" s="104"/>
      <c r="D202" s="511"/>
      <c r="E202" s="104"/>
      <c r="F202" s="511"/>
      <c r="G202" s="104"/>
      <c r="H202" s="511"/>
      <c r="I202" s="104"/>
      <c r="J202" s="511"/>
      <c r="K202" s="104"/>
      <c r="L202" s="510"/>
      <c r="M202" s="104"/>
      <c r="N202" s="511"/>
      <c r="O202" s="104"/>
      <c r="P202" s="511"/>
      <c r="Q202" s="104"/>
      <c r="R202" s="511"/>
      <c r="S202" s="104"/>
      <c r="T202" s="511"/>
      <c r="U202" s="104"/>
      <c r="V202" s="1"/>
      <c r="W202" s="1"/>
      <c r="X202" s="1"/>
      <c r="Y202" s="1"/>
      <c r="Z202" s="1"/>
    </row>
    <row r="203" spans="1:35">
      <c r="A203" s="544"/>
      <c r="B203" s="544"/>
      <c r="C203" s="511"/>
      <c r="D203" s="538"/>
      <c r="E203" s="511"/>
      <c r="F203" s="538"/>
      <c r="G203" s="511"/>
      <c r="H203" s="538"/>
      <c r="I203" s="511"/>
      <c r="J203" s="538"/>
      <c r="K203" s="511"/>
      <c r="L203" s="510"/>
      <c r="M203" s="690"/>
      <c r="N203" s="511"/>
      <c r="O203" s="104"/>
      <c r="P203" s="511"/>
      <c r="Q203" s="104"/>
      <c r="R203" s="544"/>
      <c r="S203" s="104"/>
      <c r="T203" s="511"/>
      <c r="U203" s="104"/>
      <c r="V203" s="1"/>
      <c r="W203" s="1"/>
      <c r="X203" s="1"/>
      <c r="Y203" s="1"/>
      <c r="Z203" s="1"/>
    </row>
    <row r="204" spans="1:35">
      <c r="A204" s="544"/>
      <c r="B204" s="544"/>
      <c r="C204" s="511"/>
      <c r="D204" s="511"/>
      <c r="E204" s="511"/>
      <c r="F204" s="511"/>
      <c r="G204" s="511"/>
      <c r="H204" s="511"/>
      <c r="I204" s="511"/>
      <c r="J204" s="511"/>
      <c r="K204" s="511"/>
      <c r="L204" s="510"/>
      <c r="M204" s="481"/>
      <c r="N204" s="481"/>
      <c r="O204" s="481"/>
      <c r="P204" s="481"/>
      <c r="Q204" s="481"/>
      <c r="R204" s="481"/>
      <c r="S204" s="481"/>
      <c r="T204" s="481"/>
      <c r="U204" s="481"/>
      <c r="V204" s="105"/>
      <c r="W204" s="105"/>
      <c r="X204" s="1"/>
      <c r="Y204" s="1"/>
      <c r="Z204" s="1"/>
    </row>
    <row r="205" spans="1:35">
      <c r="A205" s="544"/>
      <c r="B205" s="544"/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  <c r="P205" s="544"/>
      <c r="Q205" s="544"/>
      <c r="R205" s="544"/>
      <c r="S205" s="544"/>
      <c r="T205" s="544"/>
      <c r="U205" s="544"/>
      <c r="V205" s="1"/>
      <c r="W205" s="1"/>
      <c r="X205" s="1"/>
      <c r="Y205" s="1"/>
      <c r="Z205" s="1"/>
    </row>
    <row r="206" spans="1:35">
      <c r="A206" s="544"/>
      <c r="B206" s="544"/>
      <c r="C206" s="544"/>
      <c r="D206" s="544"/>
      <c r="E206" s="544"/>
      <c r="F206" s="544"/>
      <c r="G206" s="544"/>
      <c r="H206" s="544"/>
      <c r="I206" s="544"/>
      <c r="J206" s="544"/>
      <c r="K206" s="544"/>
      <c r="L206" s="544"/>
      <c r="M206" s="544"/>
      <c r="N206" s="544"/>
      <c r="O206" s="544"/>
      <c r="P206" s="544"/>
      <c r="Q206" s="544"/>
      <c r="R206" s="544"/>
      <c r="S206" s="544"/>
      <c r="T206" s="544"/>
      <c r="U206" s="544"/>
      <c r="V206" s="1"/>
      <c r="W206" s="1"/>
      <c r="X206" s="1"/>
      <c r="Y206" s="1"/>
      <c r="Z206" s="1"/>
    </row>
    <row r="207" spans="1:35">
      <c r="A207" s="544"/>
      <c r="B207" s="544"/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4"/>
      <c r="O207" s="544"/>
      <c r="P207" s="544"/>
      <c r="Q207" s="544"/>
      <c r="R207" s="544"/>
      <c r="S207" s="544"/>
      <c r="T207" s="544"/>
      <c r="U207" s="544"/>
      <c r="V207" s="1"/>
      <c r="W207" s="1"/>
      <c r="X207" s="1"/>
      <c r="Y207" s="1"/>
      <c r="Z207" s="1"/>
    </row>
    <row r="208" spans="1:35">
      <c r="A208" s="544"/>
      <c r="B208" s="544"/>
      <c r="C208" s="481"/>
      <c r="D208" s="481"/>
      <c r="E208" s="481"/>
      <c r="F208" s="481"/>
      <c r="G208" s="481"/>
      <c r="H208" s="481"/>
      <c r="I208" s="481"/>
      <c r="J208" s="481"/>
      <c r="K208" s="481"/>
      <c r="L208" s="544"/>
      <c r="M208" s="481"/>
      <c r="N208" s="481"/>
      <c r="O208" s="481"/>
      <c r="P208" s="481"/>
      <c r="Q208" s="481"/>
      <c r="R208" s="481"/>
      <c r="S208" s="481"/>
      <c r="T208" s="481"/>
      <c r="U208" s="481"/>
      <c r="V208" s="1"/>
      <c r="W208" s="1"/>
      <c r="X208" s="1"/>
      <c r="Y208" s="1"/>
      <c r="Z208" s="1"/>
    </row>
    <row r="209" spans="1:26">
      <c r="A209" s="463"/>
      <c r="B209" s="544"/>
      <c r="C209" s="481"/>
      <c r="D209" s="481"/>
      <c r="E209" s="481"/>
      <c r="F209" s="481"/>
      <c r="G209" s="481"/>
      <c r="H209" s="481"/>
      <c r="I209" s="481"/>
      <c r="J209" s="481"/>
      <c r="K209" s="481"/>
      <c r="L209" s="544"/>
      <c r="M209" s="481"/>
      <c r="N209" s="481"/>
      <c r="O209" s="481"/>
      <c r="P209" s="481"/>
      <c r="Q209" s="481"/>
      <c r="R209" s="481"/>
      <c r="S209" s="481"/>
      <c r="T209" s="481"/>
      <c r="U209" s="481"/>
      <c r="V209" s="1"/>
      <c r="W209" s="1"/>
      <c r="X209" s="1"/>
      <c r="Y209" s="1"/>
      <c r="Z209" s="1"/>
    </row>
    <row r="210" spans="1:26">
      <c r="A210" s="544"/>
      <c r="B210" s="544"/>
      <c r="C210" s="481"/>
      <c r="D210" s="481"/>
      <c r="E210" s="481"/>
      <c r="F210" s="481"/>
      <c r="G210" s="481"/>
      <c r="H210" s="481"/>
      <c r="I210" s="481"/>
      <c r="J210" s="481"/>
      <c r="K210" s="481"/>
      <c r="L210" s="544"/>
      <c r="M210" s="481"/>
      <c r="N210" s="481"/>
      <c r="O210" s="481"/>
      <c r="P210" s="481"/>
      <c r="Q210" s="481"/>
      <c r="R210" s="481"/>
      <c r="S210" s="481"/>
      <c r="T210" s="481"/>
      <c r="U210" s="481"/>
      <c r="V210" s="1"/>
      <c r="W210" s="1"/>
      <c r="X210" s="1"/>
      <c r="Y210" s="1"/>
      <c r="Z210" s="1"/>
    </row>
    <row r="211" spans="1:26">
      <c r="A211" s="544"/>
      <c r="B211" s="544"/>
      <c r="C211" s="539"/>
      <c r="D211" s="539"/>
      <c r="E211" s="539"/>
      <c r="F211" s="539"/>
      <c r="G211" s="539"/>
      <c r="H211" s="539"/>
      <c r="I211" s="539"/>
      <c r="J211" s="539"/>
      <c r="K211" s="539"/>
      <c r="L211" s="481"/>
      <c r="M211" s="539"/>
      <c r="N211" s="539"/>
      <c r="O211" s="539"/>
      <c r="P211" s="539"/>
      <c r="Q211" s="539"/>
      <c r="R211" s="539"/>
      <c r="S211" s="539"/>
      <c r="T211" s="511"/>
      <c r="U211" s="539"/>
      <c r="V211" s="1"/>
      <c r="W211" s="1"/>
      <c r="X211" s="1"/>
      <c r="Y211" s="1"/>
      <c r="Z211" s="1"/>
    </row>
    <row r="212" spans="1:26">
      <c r="A212" s="544"/>
      <c r="B212" s="544"/>
      <c r="C212" s="539"/>
      <c r="D212" s="539"/>
      <c r="E212" s="539"/>
      <c r="F212" s="539"/>
      <c r="G212" s="539"/>
      <c r="H212" s="539"/>
      <c r="I212" s="539"/>
      <c r="J212" s="539"/>
      <c r="K212" s="539"/>
      <c r="L212" s="541"/>
      <c r="M212" s="539"/>
      <c r="N212" s="539"/>
      <c r="O212" s="539"/>
      <c r="P212" s="539"/>
      <c r="Q212" s="539"/>
      <c r="R212" s="539"/>
      <c r="S212" s="539"/>
      <c r="T212" s="539"/>
      <c r="U212" s="539"/>
      <c r="V212" s="1"/>
      <c r="W212" s="1"/>
      <c r="X212" s="1"/>
      <c r="Y212" s="1"/>
      <c r="Z212" s="1"/>
    </row>
    <row r="213" spans="1:26">
      <c r="A213" s="544"/>
      <c r="B213" s="544"/>
      <c r="C213" s="661"/>
      <c r="D213" s="511"/>
      <c r="E213" s="661"/>
      <c r="F213" s="511"/>
      <c r="G213" s="661"/>
      <c r="H213" s="511"/>
      <c r="I213" s="661"/>
      <c r="J213" s="511"/>
      <c r="K213" s="661"/>
      <c r="L213" s="511"/>
      <c r="M213" s="539"/>
      <c r="N213" s="539"/>
      <c r="O213" s="691"/>
      <c r="P213" s="539"/>
      <c r="Q213" s="661"/>
      <c r="R213" s="539"/>
      <c r="S213" s="661"/>
      <c r="T213" s="539"/>
      <c r="U213" s="661"/>
      <c r="V213" s="1"/>
      <c r="W213" s="1"/>
      <c r="X213" s="1"/>
      <c r="Y213" s="1"/>
      <c r="Z213" s="1"/>
    </row>
    <row r="214" spans="1:26">
      <c r="A214" s="544"/>
      <c r="B214" s="544"/>
      <c r="C214" s="539"/>
      <c r="D214" s="539"/>
      <c r="E214" s="539"/>
      <c r="F214" s="539"/>
      <c r="G214" s="539"/>
      <c r="H214" s="539"/>
      <c r="I214" s="539"/>
      <c r="J214" s="539"/>
      <c r="K214" s="539"/>
      <c r="L214" s="544"/>
      <c r="M214" s="539"/>
      <c r="N214" s="481"/>
      <c r="O214" s="539"/>
      <c r="P214" s="481"/>
      <c r="Q214" s="539"/>
      <c r="R214" s="481"/>
      <c r="S214" s="539"/>
      <c r="T214" s="481"/>
      <c r="U214" s="539"/>
      <c r="V214" s="1"/>
      <c r="W214" s="1"/>
      <c r="X214" s="1"/>
      <c r="Y214" s="1"/>
      <c r="Z214" s="1"/>
    </row>
    <row r="215" spans="1:26">
      <c r="A215" s="544"/>
      <c r="B215" s="544"/>
      <c r="C215" s="592"/>
      <c r="D215" s="539"/>
      <c r="E215" s="592"/>
      <c r="F215" s="539"/>
      <c r="G215" s="592"/>
      <c r="H215" s="539"/>
      <c r="I215" s="592"/>
      <c r="J215" s="539"/>
      <c r="K215" s="592"/>
      <c r="L215" s="544"/>
      <c r="M215" s="481"/>
      <c r="N215" s="481"/>
      <c r="O215" s="481"/>
      <c r="P215" s="481"/>
      <c r="Q215" s="481"/>
      <c r="R215" s="481"/>
      <c r="S215" s="481"/>
      <c r="T215" s="481"/>
      <c r="U215" s="481"/>
      <c r="V215" s="1"/>
      <c r="W215" s="1"/>
      <c r="X215" s="1"/>
      <c r="Y215" s="1"/>
      <c r="Z215" s="1"/>
    </row>
    <row r="216" spans="1:26">
      <c r="A216" s="544"/>
      <c r="B216" s="544"/>
      <c r="C216" s="539"/>
      <c r="D216" s="539"/>
      <c r="E216" s="539"/>
      <c r="F216" s="539"/>
      <c r="G216" s="539"/>
      <c r="H216" s="539"/>
      <c r="I216" s="539"/>
      <c r="J216" s="539"/>
      <c r="K216" s="539"/>
      <c r="L216" s="544"/>
      <c r="M216" s="481"/>
      <c r="N216" s="481"/>
      <c r="O216" s="481"/>
      <c r="P216" s="481"/>
      <c r="Q216" s="481"/>
      <c r="R216" s="481"/>
      <c r="S216" s="481"/>
      <c r="T216" s="481"/>
      <c r="U216" s="481"/>
      <c r="V216" s="1"/>
      <c r="W216" s="1"/>
      <c r="X216" s="1"/>
      <c r="Y216" s="1"/>
      <c r="Z216" s="1"/>
    </row>
    <row r="217" spans="1:26">
      <c r="A217" s="104"/>
      <c r="B217" s="544"/>
      <c r="C217" s="539"/>
      <c r="D217" s="539"/>
      <c r="E217" s="539"/>
      <c r="F217" s="539"/>
      <c r="G217" s="539"/>
      <c r="H217" s="539"/>
      <c r="I217" s="539"/>
      <c r="J217" s="539"/>
      <c r="K217" s="539"/>
      <c r="L217" s="541"/>
      <c r="M217" s="539"/>
      <c r="N217" s="539"/>
      <c r="O217" s="539"/>
      <c r="P217" s="539"/>
      <c r="Q217" s="539"/>
      <c r="R217" s="539"/>
      <c r="S217" s="539"/>
      <c r="T217" s="539"/>
      <c r="U217" s="539"/>
      <c r="V217" s="1"/>
      <c r="W217" s="1"/>
      <c r="X217" s="1"/>
      <c r="Y217" s="1"/>
      <c r="Z217" s="1"/>
    </row>
    <row r="218" spans="1:26">
      <c r="A218" s="544"/>
      <c r="B218" s="544"/>
      <c r="C218" s="539"/>
      <c r="D218" s="539"/>
      <c r="E218" s="539"/>
      <c r="F218" s="539"/>
      <c r="G218" s="539"/>
      <c r="H218" s="539"/>
      <c r="I218" s="539"/>
      <c r="J218" s="539"/>
      <c r="K218" s="539"/>
      <c r="L218" s="541"/>
      <c r="M218" s="539"/>
      <c r="N218" s="539"/>
      <c r="O218" s="539"/>
      <c r="P218" s="539"/>
      <c r="Q218" s="539"/>
      <c r="R218" s="539"/>
      <c r="S218" s="539"/>
      <c r="T218" s="539"/>
      <c r="U218" s="539"/>
      <c r="V218" s="1"/>
      <c r="W218" s="1"/>
      <c r="X218" s="1"/>
      <c r="Y218" s="1"/>
      <c r="Z218" s="1"/>
    </row>
    <row r="219" spans="1:26">
      <c r="A219" s="544"/>
      <c r="B219" s="544"/>
      <c r="C219" s="539"/>
      <c r="D219" s="539"/>
      <c r="E219" s="539"/>
      <c r="F219" s="539"/>
      <c r="G219" s="539"/>
      <c r="H219" s="539"/>
      <c r="I219" s="539"/>
      <c r="J219" s="539"/>
      <c r="K219" s="539"/>
      <c r="L219" s="541"/>
      <c r="M219" s="539"/>
      <c r="N219" s="539"/>
      <c r="O219" s="539"/>
      <c r="P219" s="539"/>
      <c r="Q219" s="539"/>
      <c r="R219" s="539"/>
      <c r="S219" s="539"/>
      <c r="T219" s="539"/>
      <c r="U219" s="539"/>
      <c r="V219" s="1"/>
      <c r="W219" s="1"/>
      <c r="X219" s="1"/>
      <c r="Y219" s="1"/>
      <c r="Z219" s="1"/>
    </row>
    <row r="220" spans="1:26">
      <c r="A220" s="544"/>
      <c r="B220" s="544"/>
      <c r="C220" s="539"/>
      <c r="D220" s="539"/>
      <c r="E220" s="539"/>
      <c r="F220" s="539"/>
      <c r="G220" s="539"/>
      <c r="H220" s="539"/>
      <c r="I220" s="539"/>
      <c r="J220" s="539"/>
      <c r="K220" s="539"/>
      <c r="L220" s="541"/>
      <c r="M220" s="539"/>
      <c r="N220" s="539"/>
      <c r="O220" s="539"/>
      <c r="P220" s="539"/>
      <c r="Q220" s="539"/>
      <c r="R220" s="539"/>
      <c r="S220" s="539"/>
      <c r="T220" s="539"/>
      <c r="U220" s="539"/>
      <c r="V220" s="1"/>
      <c r="W220" s="1"/>
      <c r="X220" s="1"/>
      <c r="Y220" s="1"/>
      <c r="Z220" s="1"/>
    </row>
    <row r="221" spans="1:26">
      <c r="A221" s="544"/>
      <c r="B221" s="544"/>
      <c r="C221" s="539"/>
      <c r="D221" s="539"/>
      <c r="E221" s="539"/>
      <c r="F221" s="539"/>
      <c r="G221" s="539"/>
      <c r="H221" s="539"/>
      <c r="I221" s="539"/>
      <c r="J221" s="539"/>
      <c r="K221" s="539"/>
      <c r="L221" s="541"/>
      <c r="M221" s="539"/>
      <c r="N221" s="539"/>
      <c r="O221" s="539"/>
      <c r="P221" s="539"/>
      <c r="Q221" s="539"/>
      <c r="R221" s="539"/>
      <c r="S221" s="539"/>
      <c r="T221" s="539"/>
      <c r="U221" s="539"/>
      <c r="V221" s="1"/>
      <c r="W221" s="1"/>
      <c r="X221" s="1"/>
      <c r="Y221" s="1"/>
      <c r="Z221" s="1"/>
    </row>
    <row r="222" spans="1:26">
      <c r="A222" s="544"/>
      <c r="B222" s="544"/>
      <c r="C222" s="539"/>
      <c r="D222" s="539"/>
      <c r="E222" s="539"/>
      <c r="F222" s="539"/>
      <c r="G222" s="539"/>
      <c r="H222" s="539"/>
      <c r="I222" s="539"/>
      <c r="J222" s="661"/>
      <c r="K222" s="539"/>
      <c r="L222" s="541"/>
      <c r="M222" s="539"/>
      <c r="N222" s="539"/>
      <c r="O222" s="539"/>
      <c r="P222" s="539"/>
      <c r="Q222" s="539"/>
      <c r="R222" s="539"/>
      <c r="S222" s="539"/>
      <c r="T222" s="539"/>
      <c r="U222" s="539"/>
      <c r="V222" s="1"/>
      <c r="W222" s="1"/>
      <c r="X222" s="1"/>
      <c r="Y222" s="1"/>
      <c r="Z222" s="1"/>
    </row>
    <row r="223" spans="1:26">
      <c r="A223" s="544"/>
      <c r="B223" s="544"/>
      <c r="C223" s="539"/>
      <c r="D223" s="539"/>
      <c r="E223" s="539"/>
      <c r="F223" s="539"/>
      <c r="G223" s="539"/>
      <c r="H223" s="539"/>
      <c r="I223" s="539"/>
      <c r="J223" s="539"/>
      <c r="K223" s="539"/>
      <c r="L223" s="541"/>
      <c r="M223" s="539"/>
      <c r="N223" s="539"/>
      <c r="O223" s="539"/>
      <c r="P223" s="539"/>
      <c r="Q223" s="539"/>
      <c r="R223" s="539"/>
      <c r="S223" s="539"/>
      <c r="T223" s="539"/>
      <c r="U223" s="539"/>
      <c r="V223" s="1"/>
      <c r="W223" s="1"/>
      <c r="X223" s="1"/>
      <c r="Y223" s="1"/>
      <c r="Z223" s="1"/>
    </row>
    <row r="224" spans="1:26">
      <c r="A224" s="544"/>
      <c r="B224" s="544"/>
      <c r="C224" s="544"/>
      <c r="D224" s="541"/>
      <c r="E224" s="541"/>
      <c r="F224" s="541"/>
      <c r="G224" s="541"/>
      <c r="H224" s="541"/>
      <c r="I224" s="541"/>
      <c r="J224" s="541"/>
      <c r="K224" s="541"/>
      <c r="L224" s="541"/>
      <c r="M224" s="541"/>
      <c r="N224" s="541"/>
      <c r="O224" s="541"/>
      <c r="P224" s="541"/>
      <c r="Q224" s="541"/>
      <c r="R224" s="541"/>
      <c r="S224" s="541"/>
      <c r="T224" s="541"/>
      <c r="U224" s="541"/>
      <c r="V224" s="1"/>
      <c r="W224" s="1"/>
      <c r="X224" s="1"/>
      <c r="Y224" s="1"/>
      <c r="Z224" s="1"/>
    </row>
    <row r="225" spans="1:32">
      <c r="A225" s="463"/>
      <c r="B225" s="463"/>
      <c r="C225" s="544"/>
      <c r="D225" s="544"/>
      <c r="E225" s="544"/>
      <c r="F225" s="544"/>
      <c r="G225" s="544"/>
      <c r="H225" s="544"/>
      <c r="I225" s="544"/>
      <c r="J225" s="544"/>
      <c r="K225" s="544"/>
      <c r="L225" s="544"/>
      <c r="M225" s="544"/>
      <c r="N225" s="544"/>
      <c r="O225" s="544"/>
      <c r="P225" s="544"/>
      <c r="Q225" s="544"/>
      <c r="R225" s="544"/>
      <c r="S225" s="544"/>
      <c r="T225" s="544"/>
      <c r="U225" s="544"/>
      <c r="V225" s="1"/>
      <c r="W225" s="1"/>
      <c r="X225" s="1"/>
      <c r="Y225" s="1"/>
      <c r="Z225" s="1"/>
    </row>
    <row r="226" spans="1:32">
      <c r="A226" s="544"/>
      <c r="B226" s="544"/>
      <c r="C226" s="544"/>
      <c r="D226" s="544"/>
      <c r="E226" s="544"/>
      <c r="F226" s="544"/>
      <c r="G226" s="544"/>
      <c r="H226" s="544"/>
      <c r="I226" s="544"/>
      <c r="J226" s="544"/>
      <c r="K226" s="544"/>
      <c r="L226" s="544"/>
      <c r="M226" s="544"/>
      <c r="N226" s="544"/>
      <c r="O226" s="544"/>
      <c r="P226" s="544"/>
      <c r="Q226" s="544"/>
      <c r="R226" s="544"/>
      <c r="S226" s="544"/>
      <c r="T226" s="544"/>
      <c r="U226" s="544"/>
      <c r="V226" s="1"/>
      <c r="W226" s="1"/>
      <c r="X226" s="1"/>
      <c r="Y226" s="1"/>
      <c r="Z226" s="1"/>
    </row>
    <row r="227" spans="1:32">
      <c r="A227" s="544"/>
      <c r="B227" s="544"/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  <c r="P227" s="544"/>
      <c r="Q227" s="544"/>
      <c r="R227" s="544"/>
      <c r="S227" s="544"/>
      <c r="T227" s="544"/>
      <c r="U227" s="544"/>
      <c r="V227" s="1"/>
      <c r="W227" s="1"/>
      <c r="X227" s="1"/>
      <c r="Y227" s="1"/>
      <c r="Z227" s="1"/>
    </row>
    <row r="228" spans="1:32">
      <c r="A228" s="544"/>
      <c r="B228" s="544"/>
      <c r="C228" s="544"/>
      <c r="D228" s="544"/>
      <c r="E228" s="544"/>
      <c r="F228" s="544"/>
      <c r="G228" s="544"/>
      <c r="H228" s="544"/>
      <c r="I228" s="544"/>
      <c r="J228" s="544"/>
      <c r="K228" s="544"/>
      <c r="L228" s="544"/>
      <c r="M228" s="544"/>
      <c r="N228" s="544"/>
      <c r="O228" s="544"/>
      <c r="P228" s="544"/>
      <c r="Q228" s="544"/>
      <c r="R228" s="544"/>
      <c r="S228" s="544"/>
      <c r="T228" s="544"/>
      <c r="U228" s="544"/>
      <c r="V228" s="1"/>
      <c r="W228" s="1"/>
      <c r="X228" s="1"/>
      <c r="Y228" s="1"/>
      <c r="Z228" s="1"/>
    </row>
    <row r="229" spans="1:32">
      <c r="A229" s="544"/>
      <c r="B229" s="544"/>
      <c r="C229" s="544"/>
      <c r="D229" s="544"/>
      <c r="E229" s="544"/>
      <c r="F229" s="544"/>
      <c r="G229" s="544"/>
      <c r="H229" s="544"/>
      <c r="I229" s="544"/>
      <c r="J229" s="544"/>
      <c r="K229" s="544"/>
      <c r="L229" s="544"/>
      <c r="M229" s="544"/>
      <c r="N229" s="544"/>
      <c r="O229" s="544"/>
      <c r="P229" s="544"/>
      <c r="Q229" s="544"/>
      <c r="R229" s="544"/>
      <c r="S229" s="544"/>
      <c r="T229" s="544"/>
      <c r="U229" s="544"/>
      <c r="V229" s="1"/>
      <c r="W229" s="1"/>
      <c r="X229" s="1"/>
      <c r="Y229" s="1"/>
      <c r="Z229" s="1"/>
    </row>
    <row r="230" spans="1:32">
      <c r="A230" s="544"/>
      <c r="B230" s="544"/>
      <c r="C230" s="544"/>
      <c r="D230" s="544"/>
      <c r="E230" s="544"/>
      <c r="F230" s="544"/>
      <c r="G230" s="544"/>
      <c r="H230" s="544"/>
      <c r="I230" s="544"/>
      <c r="J230" s="544"/>
      <c r="K230" s="544"/>
      <c r="L230" s="544"/>
      <c r="M230" s="544"/>
      <c r="N230" s="544"/>
      <c r="O230" s="544"/>
      <c r="P230" s="544"/>
      <c r="Q230" s="544"/>
      <c r="R230" s="544"/>
      <c r="S230" s="544"/>
      <c r="T230" s="544"/>
      <c r="U230" s="544"/>
      <c r="V230" s="1"/>
      <c r="W230" s="1"/>
      <c r="X230" s="1"/>
      <c r="Y230" s="1"/>
      <c r="Z230" s="1"/>
    </row>
    <row r="231" spans="1:32">
      <c r="A231" s="544"/>
      <c r="B231" s="544"/>
      <c r="C231" s="544"/>
      <c r="D231" s="544"/>
      <c r="E231" s="544"/>
      <c r="F231" s="544"/>
      <c r="G231" s="544"/>
      <c r="H231" s="544"/>
      <c r="I231" s="544"/>
      <c r="J231" s="544"/>
      <c r="K231" s="544"/>
      <c r="L231" s="544"/>
      <c r="M231" s="544"/>
      <c r="N231" s="544"/>
      <c r="O231" s="544"/>
      <c r="P231" s="544"/>
      <c r="Q231" s="544"/>
      <c r="R231" s="544"/>
      <c r="S231" s="544"/>
      <c r="T231" s="544"/>
      <c r="U231" s="544"/>
      <c r="V231" s="1"/>
      <c r="W231" s="1"/>
      <c r="X231" s="1"/>
      <c r="Y231" s="1"/>
      <c r="Z231" s="1"/>
    </row>
    <row r="232" spans="1:32">
      <c r="A232" s="544"/>
      <c r="B232" s="544"/>
      <c r="C232" s="592"/>
      <c r="D232" s="592"/>
      <c r="E232" s="592"/>
      <c r="F232" s="592"/>
      <c r="G232" s="592"/>
      <c r="H232" s="592"/>
      <c r="I232" s="592"/>
      <c r="J232" s="592"/>
      <c r="K232" s="592"/>
      <c r="L232" s="544"/>
      <c r="M232" s="511"/>
      <c r="N232" s="511"/>
      <c r="O232" s="511"/>
      <c r="P232" s="511"/>
      <c r="Q232" s="511"/>
      <c r="R232" s="511"/>
      <c r="S232" s="511"/>
      <c r="T232" s="511"/>
      <c r="U232" s="511"/>
      <c r="V232" s="1"/>
      <c r="W232" s="1"/>
      <c r="X232" s="1"/>
      <c r="Y232" s="1"/>
      <c r="Z232" s="1"/>
    </row>
    <row r="233" spans="1:32">
      <c r="A233" s="544"/>
      <c r="B233" s="544"/>
      <c r="C233" s="592"/>
      <c r="D233" s="592"/>
      <c r="E233" s="592"/>
      <c r="F233" s="592"/>
      <c r="G233" s="592"/>
      <c r="H233" s="592"/>
      <c r="I233" s="592"/>
      <c r="J233" s="592"/>
      <c r="K233" s="592"/>
      <c r="L233" s="544"/>
      <c r="M233" s="511"/>
      <c r="N233" s="511"/>
      <c r="O233" s="511"/>
      <c r="P233" s="511"/>
      <c r="Q233" s="511"/>
      <c r="R233" s="511"/>
      <c r="S233" s="511"/>
      <c r="T233" s="511"/>
      <c r="U233" s="511"/>
      <c r="V233" s="1"/>
      <c r="W233" s="1"/>
      <c r="X233" s="1"/>
      <c r="Y233" s="1"/>
      <c r="Z233" s="1"/>
    </row>
    <row r="234" spans="1:32">
      <c r="A234" s="544"/>
      <c r="B234" s="544"/>
      <c r="C234" s="544"/>
      <c r="D234" s="544"/>
      <c r="E234" s="544"/>
      <c r="F234" s="544"/>
      <c r="G234" s="544"/>
      <c r="H234" s="544"/>
      <c r="I234" s="544"/>
      <c r="J234" s="544"/>
      <c r="K234" s="544"/>
      <c r="L234" s="541"/>
      <c r="M234" s="541"/>
      <c r="N234" s="541"/>
      <c r="O234" s="541"/>
      <c r="P234" s="541"/>
      <c r="Q234" s="541"/>
      <c r="R234" s="541"/>
      <c r="S234" s="541"/>
      <c r="T234" s="541"/>
      <c r="U234" s="541"/>
      <c r="V234" s="1"/>
      <c r="W234" s="1"/>
      <c r="X234" s="1"/>
      <c r="Y234" s="1"/>
      <c r="Z234" s="1"/>
    </row>
    <row r="235" spans="1:32">
      <c r="A235" s="544"/>
      <c r="B235" s="544"/>
      <c r="C235" s="544"/>
      <c r="D235" s="544"/>
      <c r="E235" s="544"/>
      <c r="F235" s="544"/>
      <c r="G235" s="544"/>
      <c r="H235" s="544"/>
      <c r="I235" s="544"/>
      <c r="J235" s="544"/>
      <c r="K235" s="544"/>
      <c r="L235" s="544"/>
      <c r="M235" s="541"/>
      <c r="N235" s="541"/>
      <c r="O235" s="541"/>
      <c r="P235" s="541"/>
      <c r="Q235" s="541"/>
      <c r="R235" s="541"/>
      <c r="S235" s="541"/>
      <c r="T235" s="541"/>
      <c r="U235" s="541"/>
      <c r="V235" s="1"/>
      <c r="W235" s="1"/>
      <c r="X235" s="1"/>
      <c r="Y235" s="1"/>
      <c r="Z235" s="1"/>
    </row>
    <row r="236" spans="1:32" s="542" customFormat="1">
      <c r="A236" s="544"/>
      <c r="B236" s="544"/>
      <c r="C236" s="544"/>
      <c r="D236" s="544"/>
      <c r="E236" s="544"/>
      <c r="F236" s="544"/>
      <c r="G236" s="544"/>
      <c r="H236" s="544"/>
      <c r="I236" s="544"/>
      <c r="J236" s="544"/>
      <c r="K236" s="544"/>
      <c r="L236" s="544"/>
      <c r="M236" s="544"/>
      <c r="N236" s="544"/>
      <c r="O236" s="544"/>
      <c r="P236" s="544"/>
      <c r="Q236" s="544"/>
      <c r="R236" s="544"/>
      <c r="S236" s="544"/>
      <c r="T236" s="544"/>
      <c r="U236" s="544"/>
      <c r="V236" s="543"/>
      <c r="W236" s="543"/>
      <c r="X236" s="543"/>
      <c r="Y236" s="543"/>
      <c r="Z236" s="543"/>
    </row>
    <row r="237" spans="1:32">
      <c r="A237" s="544"/>
      <c r="B237" s="544"/>
      <c r="C237" s="544"/>
      <c r="D237" s="544"/>
      <c r="E237" s="544"/>
      <c r="F237" s="544"/>
      <c r="G237" s="544"/>
      <c r="H237" s="544"/>
      <c r="I237" s="544"/>
      <c r="J237" s="544"/>
      <c r="K237" s="544"/>
      <c r="L237" s="544"/>
      <c r="M237" s="544"/>
      <c r="N237" s="544"/>
      <c r="O237" s="544"/>
      <c r="P237" s="544"/>
      <c r="Q237" s="544"/>
      <c r="R237" s="544"/>
      <c r="S237" s="544"/>
      <c r="T237" s="544"/>
      <c r="U237" s="544"/>
      <c r="V237" s="1"/>
      <c r="W237" s="1"/>
      <c r="X237" s="1"/>
      <c r="Y237" s="1"/>
      <c r="Z237" s="1"/>
    </row>
    <row r="238" spans="1:32">
      <c r="A238" s="544"/>
      <c r="B238" s="544"/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  <c r="P238" s="544"/>
      <c r="Q238" s="544"/>
      <c r="R238" s="544"/>
      <c r="S238" s="544"/>
      <c r="T238" s="544"/>
      <c r="U238" s="544"/>
      <c r="V238" s="1"/>
      <c r="W238" s="1"/>
      <c r="X238" s="1"/>
      <c r="Y238" s="1"/>
      <c r="Z238" s="1"/>
    </row>
    <row r="239" spans="1:32">
      <c r="A239" s="544"/>
      <c r="B239" s="544"/>
      <c r="C239" s="544"/>
      <c r="D239" s="544"/>
      <c r="E239" s="544"/>
      <c r="F239" s="544"/>
      <c r="G239" s="544"/>
      <c r="H239" s="544"/>
      <c r="I239" s="544"/>
      <c r="J239" s="544"/>
      <c r="K239" s="544"/>
      <c r="L239" s="544"/>
      <c r="M239" s="544"/>
      <c r="N239" s="544"/>
      <c r="O239" s="544"/>
      <c r="P239" s="544"/>
      <c r="Q239" s="544"/>
      <c r="R239" s="544"/>
      <c r="S239" s="544"/>
      <c r="T239" s="544"/>
      <c r="U239" s="544"/>
      <c r="V239" s="1"/>
      <c r="W239" s="1"/>
      <c r="X239" s="1"/>
      <c r="Y239" s="1"/>
      <c r="Z239" s="1"/>
    </row>
    <row r="240" spans="1:32">
      <c r="A240" s="544"/>
      <c r="B240" s="544"/>
      <c r="C240" s="544"/>
      <c r="D240" s="544"/>
      <c r="E240" s="544"/>
      <c r="F240" s="544"/>
      <c r="G240" s="544"/>
      <c r="H240" s="544"/>
      <c r="I240" s="544"/>
      <c r="J240" s="544"/>
      <c r="K240" s="544"/>
      <c r="L240" s="544"/>
      <c r="M240" s="544"/>
      <c r="N240" s="544"/>
      <c r="O240" s="544"/>
      <c r="P240" s="544"/>
      <c r="Q240" s="544"/>
      <c r="R240" s="544"/>
      <c r="S240" s="544"/>
      <c r="T240" s="544"/>
      <c r="U240" s="544"/>
      <c r="V240" s="1"/>
      <c r="W240" s="1"/>
      <c r="X240" s="1"/>
      <c r="Y240" s="1"/>
      <c r="Z240" s="1"/>
      <c r="AC240" s="547"/>
      <c r="AD240" s="547"/>
      <c r="AE240" s="546"/>
      <c r="AF240" s="546"/>
    </row>
    <row r="241" spans="1:34">
      <c r="A241" s="544"/>
      <c r="B241" s="544"/>
      <c r="C241" s="539"/>
      <c r="D241" s="539"/>
      <c r="E241" s="539"/>
      <c r="F241" s="539"/>
      <c r="G241" s="539"/>
      <c r="H241" s="539"/>
      <c r="I241" s="539"/>
      <c r="J241" s="539"/>
      <c r="K241" s="539"/>
      <c r="L241" s="544"/>
      <c r="M241" s="544"/>
      <c r="N241" s="544"/>
      <c r="O241" s="544"/>
      <c r="P241" s="544"/>
      <c r="Q241" s="544"/>
      <c r="R241" s="544"/>
      <c r="S241" s="544"/>
      <c r="T241" s="544"/>
      <c r="U241" s="544"/>
      <c r="V241" s="1"/>
      <c r="W241" s="1"/>
      <c r="X241" s="1"/>
      <c r="Y241" s="1"/>
      <c r="Z241" s="1"/>
      <c r="AC241" s="548"/>
      <c r="AD241" s="548"/>
      <c r="AE241" s="545"/>
      <c r="AF241" s="545"/>
    </row>
    <row r="242" spans="1:34">
      <c r="A242" s="544"/>
      <c r="B242" s="544"/>
      <c r="C242" s="511"/>
      <c r="D242" s="511"/>
      <c r="E242" s="511"/>
      <c r="F242" s="511"/>
      <c r="G242" s="511"/>
      <c r="H242" s="511"/>
      <c r="I242" s="511"/>
      <c r="J242" s="511"/>
      <c r="K242" s="511"/>
      <c r="L242" s="544"/>
      <c r="M242" s="511"/>
      <c r="N242" s="511"/>
      <c r="O242" s="511"/>
      <c r="P242" s="511"/>
      <c r="Q242" s="511"/>
      <c r="R242" s="511"/>
      <c r="S242" s="511"/>
      <c r="T242" s="511"/>
      <c r="U242" s="511"/>
      <c r="V242" s="1"/>
      <c r="W242" s="1"/>
      <c r="X242" s="1"/>
      <c r="Y242" s="1"/>
      <c r="Z242" s="1"/>
    </row>
    <row r="243" spans="1:34">
      <c r="A243" s="544"/>
      <c r="B243" s="544"/>
      <c r="C243" s="541"/>
      <c r="D243" s="541"/>
      <c r="E243" s="541"/>
      <c r="F243" s="541"/>
      <c r="G243" s="541"/>
      <c r="H243" s="541"/>
      <c r="I243" s="541"/>
      <c r="J243" s="541"/>
      <c r="K243" s="541"/>
      <c r="L243" s="511"/>
      <c r="M243" s="544"/>
      <c r="N243" s="544"/>
      <c r="O243" s="544"/>
      <c r="P243" s="544"/>
      <c r="Q243" s="544"/>
      <c r="R243" s="544"/>
      <c r="S243" s="544"/>
      <c r="T243" s="544"/>
      <c r="U243" s="544"/>
      <c r="V243" s="1"/>
      <c r="W243" s="1"/>
      <c r="X243" s="1"/>
      <c r="Y243" s="1"/>
      <c r="Z243" s="1"/>
    </row>
    <row r="244" spans="1:34">
      <c r="A244" s="544"/>
      <c r="B244" s="544"/>
      <c r="C244" s="544"/>
      <c r="D244" s="544"/>
      <c r="E244" s="544"/>
      <c r="F244" s="544"/>
      <c r="G244" s="544"/>
      <c r="H244" s="544"/>
      <c r="I244" s="544"/>
      <c r="J244" s="544"/>
      <c r="K244" s="544"/>
      <c r="L244" s="544"/>
      <c r="M244" s="544"/>
      <c r="N244" s="544"/>
      <c r="O244" s="544"/>
      <c r="P244" s="544"/>
      <c r="Q244" s="544"/>
      <c r="R244" s="544"/>
      <c r="S244" s="544"/>
      <c r="T244" s="544"/>
      <c r="U244" s="544"/>
      <c r="V244" s="1"/>
      <c r="W244" s="1"/>
      <c r="X244" s="1"/>
      <c r="Y244" s="1"/>
      <c r="Z244" s="1"/>
    </row>
    <row r="245" spans="1:34" ht="15" thickBot="1">
      <c r="A245" s="544"/>
      <c r="B245" s="544"/>
      <c r="C245" s="544"/>
      <c r="D245" s="544"/>
      <c r="E245" s="544"/>
      <c r="F245" s="544"/>
      <c r="G245" s="544"/>
      <c r="H245" s="544"/>
      <c r="I245" s="544"/>
      <c r="J245" s="544"/>
      <c r="K245" s="544"/>
      <c r="L245" s="544"/>
      <c r="M245" s="544"/>
      <c r="N245" s="544"/>
      <c r="O245" s="544"/>
      <c r="P245" s="544"/>
      <c r="Q245" s="544"/>
      <c r="R245" s="544"/>
      <c r="S245" s="544"/>
      <c r="T245" s="544"/>
      <c r="U245" s="544"/>
      <c r="V245" s="1"/>
      <c r="W245" s="1"/>
      <c r="X245" s="1"/>
      <c r="Y245" s="1"/>
      <c r="Z245" s="1"/>
    </row>
    <row r="246" spans="1:34">
      <c r="A246" s="463"/>
      <c r="B246" s="544"/>
      <c r="C246" s="544"/>
      <c r="D246" s="544"/>
      <c r="E246" s="544"/>
      <c r="F246" s="544"/>
      <c r="G246" s="544"/>
      <c r="H246" s="544"/>
      <c r="I246" s="544"/>
      <c r="J246" s="544"/>
      <c r="K246" s="544"/>
      <c r="L246" s="544"/>
      <c r="M246" s="544"/>
      <c r="N246" s="544"/>
      <c r="O246" s="544"/>
      <c r="P246" s="544"/>
      <c r="Q246" s="544"/>
      <c r="R246" s="544"/>
      <c r="S246" s="544"/>
      <c r="T246" s="544"/>
      <c r="U246" s="544"/>
      <c r="V246" s="1"/>
      <c r="W246" s="1"/>
      <c r="X246" s="1"/>
      <c r="Y246" s="1"/>
      <c r="Z246" s="1"/>
      <c r="AA246" s="553" t="s">
        <v>609</v>
      </c>
      <c r="AB246" s="554" t="s">
        <v>608</v>
      </c>
      <c r="AC246" s="84">
        <v>2020</v>
      </c>
      <c r="AD246" s="84">
        <v>2021</v>
      </c>
      <c r="AE246" s="84">
        <v>2022</v>
      </c>
      <c r="AF246" s="84">
        <v>2023</v>
      </c>
      <c r="AG246" s="555">
        <v>2024</v>
      </c>
    </row>
    <row r="247" spans="1:34">
      <c r="A247" s="544"/>
      <c r="B247" s="544"/>
      <c r="C247" s="544"/>
      <c r="D247" s="544"/>
      <c r="E247" s="544"/>
      <c r="F247" s="544"/>
      <c r="G247" s="544"/>
      <c r="H247" s="544"/>
      <c r="I247" s="544"/>
      <c r="J247" s="544"/>
      <c r="K247" s="544"/>
      <c r="L247" s="544"/>
      <c r="M247" s="544"/>
      <c r="N247" s="544"/>
      <c r="O247" s="544"/>
      <c r="P247" s="544"/>
      <c r="Q247" s="544"/>
      <c r="R247" s="544"/>
      <c r="S247" s="544"/>
      <c r="T247" s="544"/>
      <c r="U247" s="544"/>
      <c r="V247" s="1"/>
      <c r="W247" s="1"/>
      <c r="X247" s="1"/>
      <c r="Y247" s="1"/>
      <c r="Z247" s="1"/>
      <c r="AA247" s="101">
        <v>351.5</v>
      </c>
      <c r="AB247" s="550">
        <v>2021</v>
      </c>
      <c r="AC247" s="108">
        <v>4.3749999999999997E-2</v>
      </c>
      <c r="AD247" s="108">
        <v>4.3749999999999997E-2</v>
      </c>
      <c r="AE247" s="108">
        <v>0</v>
      </c>
      <c r="AF247" s="108">
        <v>0</v>
      </c>
      <c r="AG247" s="556">
        <v>0</v>
      </c>
    </row>
    <row r="248" spans="1:34">
      <c r="A248" s="687"/>
      <c r="B248" s="544"/>
      <c r="C248" s="544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1"/>
      <c r="W248" s="1"/>
      <c r="X248" s="1"/>
      <c r="Y248" s="1"/>
      <c r="Z248" s="1"/>
      <c r="AA248" s="101">
        <v>500</v>
      </c>
      <c r="AB248" s="550">
        <v>2022</v>
      </c>
      <c r="AC248" s="108">
        <v>3.6880000000000003E-2</v>
      </c>
      <c r="AD248" s="108">
        <v>3.6880000000000003E-2</v>
      </c>
      <c r="AE248" s="108">
        <v>3.6880000000000003E-2</v>
      </c>
      <c r="AF248" s="108">
        <v>0</v>
      </c>
      <c r="AG248" s="556">
        <v>0</v>
      </c>
    </row>
    <row r="249" spans="1:34">
      <c r="A249" s="687"/>
      <c r="B249" s="544"/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1"/>
      <c r="N249" s="541"/>
      <c r="O249" s="541"/>
      <c r="P249" s="541"/>
      <c r="Q249" s="541"/>
      <c r="R249" s="541"/>
      <c r="S249" s="541"/>
      <c r="T249" s="541"/>
      <c r="U249" s="541"/>
      <c r="V249" s="1"/>
      <c r="W249" s="1"/>
      <c r="X249" s="1"/>
      <c r="Y249" s="1"/>
      <c r="Z249" s="1"/>
      <c r="AA249" s="101">
        <v>300</v>
      </c>
      <c r="AB249" s="550">
        <v>2023</v>
      </c>
      <c r="AC249" s="108">
        <v>4.0570000000000002E-2</v>
      </c>
      <c r="AD249" s="108">
        <v>4.0570000000000002E-2</v>
      </c>
      <c r="AE249" s="108">
        <v>4.0570000000000002E-2</v>
      </c>
      <c r="AF249" s="108">
        <v>4.0570000000000002E-2</v>
      </c>
      <c r="AG249" s="556">
        <v>0</v>
      </c>
    </row>
    <row r="250" spans="1:34">
      <c r="A250" s="544"/>
      <c r="B250" s="544"/>
      <c r="C250" s="544"/>
      <c r="D250" s="544"/>
      <c r="E250" s="544"/>
      <c r="F250" s="544"/>
      <c r="G250" s="544"/>
      <c r="H250" s="544"/>
      <c r="I250" s="544"/>
      <c r="J250" s="544"/>
      <c r="K250" s="544"/>
      <c r="L250" s="544"/>
      <c r="M250" s="541"/>
      <c r="N250" s="544"/>
      <c r="O250" s="541"/>
      <c r="P250" s="544"/>
      <c r="Q250" s="541"/>
      <c r="R250" s="544"/>
      <c r="S250" s="541"/>
      <c r="T250" s="544"/>
      <c r="U250" s="541"/>
      <c r="V250" s="1"/>
      <c r="W250" s="1"/>
      <c r="X250" s="1"/>
      <c r="Y250" s="1"/>
      <c r="Z250" s="1"/>
      <c r="AA250" s="101">
        <v>300</v>
      </c>
      <c r="AB250" s="550">
        <v>2024</v>
      </c>
      <c r="AC250" s="108">
        <v>1.2840000000000001E-2</v>
      </c>
      <c r="AD250" s="108">
        <v>1.2840000000000001E-2</v>
      </c>
      <c r="AE250" s="108">
        <v>1.2840000000000001E-2</v>
      </c>
      <c r="AF250" s="108">
        <v>1.2840000000000001E-2</v>
      </c>
      <c r="AG250" s="556">
        <v>1.2840000000000001E-2</v>
      </c>
    </row>
    <row r="251" spans="1:34">
      <c r="A251" s="544"/>
      <c r="B251" s="544"/>
      <c r="C251" s="544"/>
      <c r="D251" s="544"/>
      <c r="E251" s="544"/>
      <c r="F251" s="544"/>
      <c r="G251" s="544"/>
      <c r="H251" s="544"/>
      <c r="I251" s="544"/>
      <c r="J251" s="544"/>
      <c r="K251" s="544"/>
      <c r="L251" s="544"/>
      <c r="M251" s="544"/>
      <c r="N251" s="544"/>
      <c r="O251" s="544"/>
      <c r="P251" s="544"/>
      <c r="Q251" s="544"/>
      <c r="R251" s="544"/>
      <c r="S251" s="544"/>
      <c r="T251" s="544"/>
      <c r="U251" s="544"/>
      <c r="V251" s="1"/>
      <c r="W251" s="1"/>
      <c r="X251" s="1"/>
      <c r="Y251" s="1"/>
      <c r="Z251" s="1"/>
      <c r="AA251" s="101">
        <v>300</v>
      </c>
      <c r="AB251" s="550">
        <v>2025</v>
      </c>
      <c r="AC251" s="108">
        <v>1.8360000000000001E-2</v>
      </c>
      <c r="AD251" s="108">
        <v>1.8360000000000001E-2</v>
      </c>
      <c r="AE251" s="108">
        <v>1.8360000000000001E-2</v>
      </c>
      <c r="AF251" s="108">
        <v>1.8360000000000001E-2</v>
      </c>
      <c r="AG251" s="556">
        <v>1.8360000000000001E-2</v>
      </c>
    </row>
    <row r="252" spans="1:34">
      <c r="A252" s="544"/>
      <c r="B252" s="544"/>
      <c r="C252" s="544"/>
      <c r="D252" s="544"/>
      <c r="E252" s="544"/>
      <c r="F252" s="544"/>
      <c r="G252" s="544"/>
      <c r="H252" s="544"/>
      <c r="I252" s="544"/>
      <c r="J252" s="544"/>
      <c r="K252" s="544"/>
      <c r="L252" s="544"/>
      <c r="M252" s="541"/>
      <c r="N252" s="544"/>
      <c r="O252" s="541"/>
      <c r="P252" s="544"/>
      <c r="Q252" s="541"/>
      <c r="R252" s="544"/>
      <c r="S252" s="541"/>
      <c r="T252" s="544"/>
      <c r="U252" s="541"/>
      <c r="V252" s="1"/>
      <c r="W252" s="1"/>
      <c r="X252" s="1"/>
      <c r="Y252" s="1"/>
      <c r="Z252" s="1"/>
      <c r="AA252" s="101">
        <v>300</v>
      </c>
      <c r="AB252" s="550">
        <v>2027</v>
      </c>
      <c r="AC252" s="108">
        <v>1.7680000000000001E-2</v>
      </c>
      <c r="AD252" s="108">
        <v>1.7680000000000001E-2</v>
      </c>
      <c r="AE252" s="108">
        <v>1.7680000000000001E-2</v>
      </c>
      <c r="AF252" s="108">
        <v>1.7680000000000001E-2</v>
      </c>
      <c r="AG252" s="556">
        <v>1.7680000000000001E-2</v>
      </c>
    </row>
    <row r="253" spans="1:34">
      <c r="A253" s="544"/>
      <c r="B253" s="544"/>
      <c r="C253" s="544"/>
      <c r="D253" s="544"/>
      <c r="E253" s="544"/>
      <c r="F253" s="544"/>
      <c r="G253" s="544"/>
      <c r="H253" s="544"/>
      <c r="I253" s="544"/>
      <c r="J253" s="544"/>
      <c r="K253" s="544"/>
      <c r="L253" s="544"/>
      <c r="M253" s="544"/>
      <c r="N253" s="544"/>
      <c r="O253" s="544"/>
      <c r="P253" s="544"/>
      <c r="Q253" s="544"/>
      <c r="R253" s="544"/>
      <c r="S253" s="544"/>
      <c r="T253" s="544"/>
      <c r="U253" s="544"/>
      <c r="V253" s="1"/>
      <c r="W253" s="1"/>
      <c r="X253" s="1"/>
      <c r="Y253" s="1"/>
      <c r="Z253" s="1"/>
      <c r="AA253" s="101">
        <v>400</v>
      </c>
      <c r="AB253" s="550">
        <v>2029</v>
      </c>
      <c r="AC253" s="108">
        <v>1.3899999999999999E-2</v>
      </c>
      <c r="AD253" s="108">
        <v>1.3899999999999999E-2</v>
      </c>
      <c r="AE253" s="108">
        <v>1.3899999999999999E-2</v>
      </c>
      <c r="AF253" s="108">
        <v>1.3899999999999999E-2</v>
      </c>
      <c r="AG253" s="556">
        <v>1.3899999999999999E-2</v>
      </c>
      <c r="AH253" s="108"/>
    </row>
    <row r="254" spans="1:34">
      <c r="A254" s="544"/>
      <c r="B254" s="544"/>
      <c r="C254" s="544"/>
      <c r="D254" s="544"/>
      <c r="E254" s="544"/>
      <c r="F254" s="544"/>
      <c r="G254" s="544"/>
      <c r="H254" s="544"/>
      <c r="I254" s="544"/>
      <c r="J254" s="544"/>
      <c r="K254" s="544"/>
      <c r="L254" s="544"/>
      <c r="M254" s="544"/>
      <c r="N254" s="544"/>
      <c r="O254" s="544"/>
      <c r="P254" s="544"/>
      <c r="Q254" s="544"/>
      <c r="R254" s="544"/>
      <c r="S254" s="544"/>
      <c r="T254" s="544"/>
      <c r="U254" s="544"/>
      <c r="V254" s="1"/>
      <c r="W254" s="1"/>
      <c r="X254" s="1"/>
      <c r="Y254" s="1"/>
      <c r="Z254" s="1"/>
      <c r="AA254" s="557"/>
      <c r="AB254" s="551" t="s">
        <v>610</v>
      </c>
      <c r="AC254" s="549">
        <f>'WACC '!C22</f>
        <v>2.1758250683779193E-2</v>
      </c>
      <c r="AD254" s="549">
        <f>AC254</f>
        <v>2.1758250683779193E-2</v>
      </c>
      <c r="AE254" s="549">
        <f>AD254</f>
        <v>2.1758250683779193E-2</v>
      </c>
      <c r="AF254" s="549">
        <f>AE254</f>
        <v>2.1758250683779193E-2</v>
      </c>
      <c r="AG254" s="558">
        <f>AE254</f>
        <v>2.1758250683779193E-2</v>
      </c>
      <c r="AH254" t="s">
        <v>419</v>
      </c>
    </row>
    <row r="255" spans="1:34">
      <c r="A255" s="463"/>
      <c r="B255" s="463"/>
      <c r="C255" s="544"/>
      <c r="D255" s="544"/>
      <c r="E255" s="544"/>
      <c r="F255" s="544"/>
      <c r="G255" s="544"/>
      <c r="H255" s="544"/>
      <c r="I255" s="544"/>
      <c r="J255" s="544"/>
      <c r="K255" s="544"/>
      <c r="L255" s="544"/>
      <c r="M255" s="544"/>
      <c r="N255" s="544"/>
      <c r="O255" s="544"/>
      <c r="P255" s="544"/>
      <c r="Q255" s="544"/>
      <c r="R255" s="544"/>
      <c r="S255" s="544"/>
      <c r="T255" s="544"/>
      <c r="U255" s="544"/>
      <c r="V255" s="1"/>
      <c r="W255" s="1"/>
      <c r="X255" s="1"/>
      <c r="Y255" s="1"/>
      <c r="Z255" s="1"/>
      <c r="AA255" s="579" t="s">
        <v>612</v>
      </c>
      <c r="AB255" s="580"/>
      <c r="AC255" s="577">
        <f>(SUM((AC247*AA247),(AC248*AA248),(AC249*AA249),(AC250*AA250),(AC251*AA251),(AC252*AA252),(AC253*AA253),AC254*AC258))/(SUM(AA247:AA253) +AC258)</f>
        <v>2.7009229043442794E-2</v>
      </c>
      <c r="AD255" s="577">
        <f>(SUM((AC247*AA247),(AC248*AA248),(AC249*AA249),(AC250*AA250),(AC251*AA251),(AC252*AA252),(AC253*AA253),AC254*AD258))/(SUM(AA247:AA253) +AD258)</f>
        <v>2.6351568595898843E-2</v>
      </c>
      <c r="AE255" s="577">
        <f>(SUM((AC248*AA248),(AC249*AA249),(AC250*AA250),(AC251*AA251),(AC252*AA252),(AC253*AA253),(AC254*AE258))/(SUM(AA248:AA253)+AE258))</f>
        <v>2.3736202054572927E-2</v>
      </c>
      <c r="AF255" s="577">
        <f>(SUM((AC249*AA249),(AC250*AA250),(AC251*AA251),(AC252*AA252),(AC253*AA253),(AC254*AF258))/(SUM(AA249:AA253)+AF258))</f>
        <v>2.0485513265859876E-2</v>
      </c>
      <c r="AG255" s="581">
        <f>SUM((AA250*AC250),(AA251*AC251),(AA252*AC252),(AA253*AC253),(AG254*AG258))/(AA250+AA251+AA252+AA253+AG258)</f>
        <v>1.6719672003208598E-2</v>
      </c>
    </row>
    <row r="256" spans="1:34">
      <c r="A256" s="544"/>
      <c r="B256" s="544"/>
      <c r="C256" s="544"/>
      <c r="D256" s="544"/>
      <c r="E256" s="544"/>
      <c r="F256" s="544"/>
      <c r="G256" s="544"/>
      <c r="H256" s="544"/>
      <c r="I256" s="544"/>
      <c r="J256" s="544"/>
      <c r="K256" s="544"/>
      <c r="L256" s="544"/>
      <c r="M256" s="564"/>
      <c r="N256" s="544"/>
      <c r="O256" s="564"/>
      <c r="P256" s="544"/>
      <c r="Q256" s="564"/>
      <c r="R256" s="544"/>
      <c r="S256" s="564"/>
      <c r="T256" s="544"/>
      <c r="U256" s="564"/>
      <c r="V256" s="1"/>
      <c r="W256" s="1"/>
      <c r="X256" s="1"/>
      <c r="Y256" s="1"/>
      <c r="Z256" s="1"/>
      <c r="AA256" s="101"/>
      <c r="AB256" s="550"/>
      <c r="AC256" s="108"/>
      <c r="AD256" s="108"/>
      <c r="AE256" s="108"/>
      <c r="AF256" s="108"/>
      <c r="AG256" s="556"/>
    </row>
    <row r="257" spans="1:33">
      <c r="A257" s="544"/>
      <c r="B257" s="544"/>
      <c r="C257" s="544"/>
      <c r="D257" s="544"/>
      <c r="E257" s="544"/>
      <c r="F257" s="544"/>
      <c r="G257" s="544"/>
      <c r="H257" s="544"/>
      <c r="I257" s="544"/>
      <c r="J257" s="544"/>
      <c r="K257" s="544"/>
      <c r="L257" s="544"/>
      <c r="M257" s="638"/>
      <c r="N257" s="544"/>
      <c r="O257" s="638"/>
      <c r="P257" s="544"/>
      <c r="Q257" s="638"/>
      <c r="R257" s="544"/>
      <c r="S257" s="638"/>
      <c r="T257" s="544"/>
      <c r="U257" s="638"/>
      <c r="V257" s="1"/>
      <c r="W257" s="1"/>
      <c r="X257" s="1"/>
      <c r="Y257" s="1"/>
      <c r="Z257" s="1"/>
      <c r="AA257" s="101"/>
      <c r="AB257" s="550"/>
      <c r="AC257" s="552">
        <v>2020</v>
      </c>
      <c r="AD257" s="549">
        <v>2021</v>
      </c>
      <c r="AE257" s="549">
        <v>2022</v>
      </c>
      <c r="AF257" s="549">
        <v>2023</v>
      </c>
      <c r="AG257" s="558">
        <v>2024</v>
      </c>
    </row>
    <row r="258" spans="1:33" ht="15" thickBot="1">
      <c r="A258" s="544"/>
      <c r="B258" s="544"/>
      <c r="C258" s="544"/>
      <c r="D258" s="544"/>
      <c r="E258" s="544"/>
      <c r="F258" s="544"/>
      <c r="G258" s="544"/>
      <c r="H258" s="544"/>
      <c r="I258" s="544"/>
      <c r="J258" s="544"/>
      <c r="K258" s="544"/>
      <c r="L258" s="544"/>
      <c r="M258" s="544"/>
      <c r="N258" s="544"/>
      <c r="O258" s="544"/>
      <c r="P258" s="544"/>
      <c r="Q258" s="544"/>
      <c r="R258" s="544"/>
      <c r="S258" s="544"/>
      <c r="T258" s="544"/>
      <c r="U258" s="544"/>
      <c r="V258" s="1"/>
      <c r="W258" s="1"/>
      <c r="X258" s="1"/>
      <c r="Y258" s="1"/>
      <c r="Z258" s="1"/>
      <c r="AA258" s="559" t="s">
        <v>611</v>
      </c>
      <c r="AB258" s="560"/>
      <c r="AC258" s="561"/>
      <c r="AD258" s="561">
        <f>351 + (O234-M234)</f>
        <v>351</v>
      </c>
      <c r="AE258" s="561">
        <f>500 + (Q234-O234)</f>
        <v>500</v>
      </c>
      <c r="AF258" s="561">
        <f>300+(S234-Q234)</f>
        <v>300</v>
      </c>
      <c r="AG258" s="562">
        <f>300 + (U234-S234)</f>
        <v>300</v>
      </c>
    </row>
    <row r="259" spans="1:33">
      <c r="A259" s="544"/>
      <c r="B259" s="544"/>
      <c r="C259" s="544"/>
      <c r="D259" s="544"/>
      <c r="E259" s="544"/>
      <c r="F259" s="544"/>
      <c r="G259" s="544"/>
      <c r="H259" s="544"/>
      <c r="I259" s="544"/>
      <c r="J259" s="544"/>
      <c r="K259" s="544"/>
      <c r="L259" s="544"/>
      <c r="M259" s="544"/>
      <c r="N259" s="544"/>
      <c r="O259" s="544"/>
      <c r="P259" s="544"/>
      <c r="Q259" s="544"/>
      <c r="R259" s="544"/>
      <c r="S259" s="544"/>
      <c r="T259" s="544"/>
      <c r="U259" s="544"/>
      <c r="V259" s="1"/>
      <c r="W259" s="1"/>
      <c r="X259" s="1"/>
      <c r="Y259" s="1"/>
      <c r="Z259" s="1"/>
    </row>
    <row r="260" spans="1:33">
      <c r="A260" s="544"/>
      <c r="B260" s="544"/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64"/>
      <c r="N260" s="544"/>
      <c r="O260" s="564"/>
      <c r="P260" s="544"/>
      <c r="Q260" s="564"/>
      <c r="R260" s="544"/>
      <c r="S260" s="564"/>
      <c r="T260" s="544"/>
      <c r="U260" s="564"/>
      <c r="V260" s="1"/>
      <c r="W260" s="1"/>
      <c r="X260" s="1"/>
      <c r="Y260" s="1"/>
      <c r="Z260" s="1"/>
    </row>
    <row r="261" spans="1:33">
      <c r="A261" s="544"/>
      <c r="B261" s="544"/>
      <c r="C261" s="544"/>
      <c r="D261" s="544"/>
      <c r="E261" s="544"/>
      <c r="F261" s="544"/>
      <c r="G261" s="544"/>
      <c r="H261" s="544"/>
      <c r="I261" s="544"/>
      <c r="J261" s="544"/>
      <c r="K261" s="544"/>
      <c r="L261" s="544"/>
      <c r="M261" s="510"/>
      <c r="N261" s="544"/>
      <c r="O261" s="510"/>
      <c r="P261" s="544"/>
      <c r="Q261" s="510"/>
      <c r="R261" s="544"/>
      <c r="S261" s="510"/>
      <c r="T261" s="544"/>
      <c r="U261" s="510"/>
      <c r="V261" s="1"/>
      <c r="W261" s="1"/>
      <c r="X261" s="1"/>
      <c r="Y261" s="1"/>
      <c r="Z261" s="1"/>
    </row>
    <row r="262" spans="1:33">
      <c r="A262" s="544"/>
      <c r="B262" s="544"/>
      <c r="C262" s="544"/>
      <c r="D262" s="544"/>
      <c r="E262" s="544"/>
      <c r="F262" s="544"/>
      <c r="G262" s="544"/>
      <c r="H262" s="544"/>
      <c r="I262" s="544"/>
      <c r="J262" s="544"/>
      <c r="K262" s="544"/>
      <c r="L262" s="544"/>
      <c r="M262" s="544"/>
      <c r="N262" s="544"/>
      <c r="O262" s="544"/>
      <c r="P262" s="544"/>
      <c r="Q262" s="544"/>
      <c r="R262" s="544"/>
      <c r="S262" s="544"/>
      <c r="T262" s="544"/>
      <c r="U262" s="544"/>
      <c r="V262" s="1"/>
      <c r="W262" s="1"/>
      <c r="X262" s="1"/>
      <c r="Y262" s="1"/>
      <c r="Z262" s="1"/>
    </row>
    <row r="263" spans="1:33">
      <c r="A263" s="544"/>
      <c r="B263" s="544"/>
      <c r="C263" s="544"/>
      <c r="D263" s="544"/>
      <c r="E263" s="544"/>
      <c r="F263" s="544"/>
      <c r="G263" s="544"/>
      <c r="H263" s="544"/>
      <c r="I263" s="544"/>
      <c r="J263" s="544"/>
      <c r="K263" s="544"/>
      <c r="L263" s="544"/>
      <c r="M263" s="544"/>
      <c r="N263" s="544"/>
      <c r="O263" s="544"/>
      <c r="P263" s="544"/>
      <c r="Q263" s="544"/>
      <c r="R263" s="544"/>
      <c r="S263" s="544"/>
      <c r="T263" s="544"/>
      <c r="U263" s="544"/>
      <c r="V263" s="1"/>
      <c r="W263" s="1"/>
      <c r="X263" s="1"/>
      <c r="Y263" s="1"/>
      <c r="Z263" s="1"/>
    </row>
    <row r="264" spans="1:33">
      <c r="A264" s="544"/>
      <c r="B264" s="544"/>
      <c r="C264" s="544"/>
      <c r="D264" s="544"/>
      <c r="E264" s="544"/>
      <c r="F264" s="544"/>
      <c r="G264" s="544"/>
      <c r="H264" s="544"/>
      <c r="I264" s="544"/>
      <c r="J264" s="544"/>
      <c r="K264" s="544"/>
      <c r="L264" s="544"/>
      <c r="M264" s="541"/>
      <c r="N264" s="541"/>
      <c r="O264" s="541"/>
      <c r="P264" s="541"/>
      <c r="Q264" s="541"/>
      <c r="R264" s="541"/>
      <c r="S264" s="541"/>
      <c r="T264" s="541"/>
      <c r="U264" s="541"/>
      <c r="V264" s="1"/>
      <c r="W264" s="1"/>
      <c r="X264" s="1"/>
      <c r="Y264" s="1"/>
      <c r="Z264" s="1"/>
    </row>
    <row r="265" spans="1:33">
      <c r="A265" s="544"/>
      <c r="B265" s="544"/>
      <c r="C265" s="544"/>
      <c r="D265" s="544"/>
      <c r="E265" s="544"/>
      <c r="F265" s="544"/>
      <c r="G265" s="544"/>
      <c r="H265" s="544"/>
      <c r="I265" s="544"/>
      <c r="J265" s="544"/>
      <c r="K265" s="544"/>
      <c r="L265" s="544"/>
      <c r="M265" s="544"/>
      <c r="N265" s="544"/>
      <c r="O265" s="544"/>
      <c r="P265" s="544"/>
      <c r="Q265" s="544"/>
      <c r="R265" s="544"/>
      <c r="S265" s="544"/>
      <c r="T265" s="544"/>
      <c r="U265" s="544"/>
      <c r="V265" s="1"/>
      <c r="W265" s="1"/>
      <c r="X265" s="1"/>
      <c r="Y265" s="1"/>
      <c r="Z265" s="1"/>
    </row>
    <row r="266" spans="1:33">
      <c r="A266" s="544"/>
      <c r="B266" s="544"/>
      <c r="C266" s="544"/>
      <c r="D266" s="544"/>
      <c r="E266" s="544"/>
      <c r="F266" s="544"/>
      <c r="G266" s="544"/>
      <c r="H266" s="544"/>
      <c r="I266" s="544"/>
      <c r="J266" s="544"/>
      <c r="K266" s="544"/>
      <c r="L266" s="544"/>
      <c r="M266" s="564"/>
      <c r="N266" s="544"/>
      <c r="O266" s="564"/>
      <c r="P266" s="544"/>
      <c r="Q266" s="564"/>
      <c r="R266" s="544"/>
      <c r="S266" s="564"/>
      <c r="T266" s="544"/>
      <c r="U266" s="564"/>
      <c r="V266" s="1"/>
      <c r="W266" s="1"/>
      <c r="X266" s="1"/>
      <c r="Y266" s="1"/>
      <c r="Z266" s="1"/>
    </row>
    <row r="267" spans="1:33">
      <c r="A267" s="544"/>
      <c r="B267" s="544"/>
      <c r="C267" s="544"/>
      <c r="D267" s="544"/>
      <c r="E267" s="544"/>
      <c r="F267" s="544"/>
      <c r="G267" s="544"/>
      <c r="H267" s="544"/>
      <c r="I267" s="544"/>
      <c r="J267" s="544"/>
      <c r="K267" s="544"/>
      <c r="L267" s="544"/>
      <c r="M267" s="511"/>
      <c r="N267" s="511"/>
      <c r="O267" s="511"/>
      <c r="P267" s="511"/>
      <c r="Q267" s="511"/>
      <c r="R267" s="511"/>
      <c r="S267" s="511"/>
      <c r="T267" s="511"/>
      <c r="U267" s="511"/>
      <c r="V267" s="1"/>
      <c r="W267" s="1"/>
      <c r="X267" s="1"/>
      <c r="Y267" s="1"/>
      <c r="Z267" s="1"/>
    </row>
    <row r="268" spans="1:33">
      <c r="A268" s="544"/>
      <c r="B268" s="544"/>
      <c r="C268" s="544"/>
      <c r="D268" s="544"/>
      <c r="E268" s="544"/>
      <c r="F268" s="544"/>
      <c r="G268" s="544"/>
      <c r="H268" s="544"/>
      <c r="I268" s="544"/>
      <c r="J268" s="544"/>
      <c r="K268" s="544"/>
      <c r="L268" s="544"/>
      <c r="M268" s="544"/>
      <c r="N268" s="544"/>
      <c r="O268" s="544"/>
      <c r="P268" s="544"/>
      <c r="Q268" s="544"/>
      <c r="R268" s="544"/>
      <c r="S268" s="544"/>
      <c r="T268" s="544"/>
      <c r="U268" s="544"/>
      <c r="V268" s="1"/>
      <c r="W268" s="1"/>
      <c r="X268" s="1"/>
      <c r="Y268" s="1"/>
      <c r="Z268" s="1"/>
    </row>
    <row r="269" spans="1:33">
      <c r="A269" s="544"/>
      <c r="B269" s="544"/>
      <c r="C269" s="544"/>
      <c r="D269" s="544"/>
      <c r="E269" s="544"/>
      <c r="F269" s="544"/>
      <c r="G269" s="544"/>
      <c r="H269" s="544"/>
      <c r="I269" s="544"/>
      <c r="J269" s="544"/>
      <c r="K269" s="544"/>
      <c r="L269" s="544"/>
      <c r="M269" s="544"/>
      <c r="N269" s="544"/>
      <c r="O269" s="544"/>
      <c r="P269" s="544"/>
      <c r="Q269" s="544"/>
      <c r="R269" s="544"/>
      <c r="S269" s="544"/>
      <c r="T269" s="544"/>
      <c r="U269" s="544"/>
      <c r="V269" s="1"/>
      <c r="W269" s="1"/>
      <c r="X269" s="1"/>
      <c r="Y269" s="1"/>
      <c r="Z269" s="1"/>
    </row>
    <row r="270" spans="1:33">
      <c r="A270" s="544"/>
      <c r="B270" s="544"/>
      <c r="C270" s="544"/>
      <c r="D270" s="544"/>
      <c r="E270" s="544"/>
      <c r="F270" s="544"/>
      <c r="G270" s="544"/>
      <c r="H270" s="544"/>
      <c r="I270" s="544"/>
      <c r="J270" s="544"/>
      <c r="K270" s="544"/>
      <c r="L270" s="544"/>
      <c r="M270" s="544"/>
      <c r="N270" s="544"/>
      <c r="O270" s="544"/>
      <c r="P270" s="544"/>
      <c r="Q270" s="544"/>
      <c r="R270" s="544"/>
      <c r="S270" s="544"/>
      <c r="T270" s="544"/>
      <c r="U270" s="544"/>
      <c r="V270" s="1"/>
      <c r="W270" s="1"/>
      <c r="X270" s="1"/>
      <c r="Y270" s="1"/>
      <c r="Z270" s="1"/>
    </row>
    <row r="271" spans="1:33">
      <c r="A271" s="544"/>
      <c r="B271" s="544"/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  <c r="P271" s="544"/>
      <c r="Q271" s="544"/>
      <c r="R271" s="544"/>
      <c r="S271" s="544"/>
      <c r="T271" s="544"/>
      <c r="U271" s="544"/>
      <c r="V271" s="1"/>
      <c r="W271" s="1"/>
      <c r="X271" s="1"/>
      <c r="Y271" s="1"/>
      <c r="Z271" s="1"/>
    </row>
    <row r="272" spans="1:33">
      <c r="A272" s="544"/>
      <c r="B272" s="544"/>
      <c r="C272" s="544"/>
      <c r="D272" s="544"/>
      <c r="E272" s="544"/>
      <c r="F272" s="544"/>
      <c r="G272" s="544"/>
      <c r="H272" s="544"/>
      <c r="I272" s="544"/>
      <c r="J272" s="544"/>
      <c r="K272" s="544"/>
      <c r="L272" s="544"/>
      <c r="M272" s="544"/>
      <c r="N272" s="544"/>
      <c r="O272" s="544"/>
      <c r="P272" s="544"/>
      <c r="Q272" s="544"/>
      <c r="R272" s="544"/>
      <c r="S272" s="544"/>
      <c r="T272" s="544"/>
      <c r="U272" s="544"/>
      <c r="V272" s="1"/>
      <c r="W272" s="1"/>
      <c r="X272" s="1"/>
      <c r="Y272" s="1"/>
      <c r="Z272" s="1"/>
    </row>
    <row r="273" spans="1:26">
      <c r="A273" s="544"/>
      <c r="B273" s="544"/>
      <c r="C273" s="544"/>
      <c r="D273" s="544"/>
      <c r="E273" s="544"/>
      <c r="F273" s="544"/>
      <c r="G273" s="544"/>
      <c r="H273" s="544"/>
      <c r="I273" s="544"/>
      <c r="J273" s="544"/>
      <c r="K273" s="544"/>
      <c r="L273" s="544"/>
      <c r="M273" s="544"/>
      <c r="N273" s="544"/>
      <c r="O273" s="544"/>
      <c r="P273" s="544"/>
      <c r="Q273" s="544"/>
      <c r="R273" s="544"/>
      <c r="S273" s="544"/>
      <c r="T273" s="544"/>
      <c r="U273" s="544"/>
      <c r="V273" s="1"/>
      <c r="W273" s="1"/>
      <c r="X273" s="1"/>
      <c r="Y273" s="1"/>
      <c r="Z273" s="1"/>
    </row>
    <row r="274" spans="1:26">
      <c r="A274" s="544"/>
      <c r="B274" s="544"/>
      <c r="C274" s="544"/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4"/>
      <c r="O274" s="544"/>
      <c r="P274" s="544"/>
      <c r="Q274" s="544"/>
      <c r="R274" s="544"/>
      <c r="S274" s="544"/>
      <c r="T274" s="544"/>
      <c r="U274" s="544"/>
      <c r="V274" s="1"/>
      <c r="W274" s="1"/>
      <c r="X274" s="1"/>
      <c r="Y274" s="1"/>
      <c r="Z274" s="1"/>
    </row>
    <row r="275" spans="1:26">
      <c r="A275" s="544"/>
      <c r="B275" s="544"/>
      <c r="C275" s="544"/>
      <c r="D275" s="544"/>
      <c r="E275" s="544"/>
      <c r="F275" s="544"/>
      <c r="G275" s="544"/>
      <c r="H275" s="544"/>
      <c r="I275" s="544"/>
      <c r="J275" s="544"/>
      <c r="K275" s="544"/>
      <c r="L275" s="544"/>
      <c r="M275" s="544"/>
      <c r="N275" s="544"/>
      <c r="O275" s="544"/>
      <c r="P275" s="544"/>
      <c r="Q275" s="544"/>
      <c r="R275" s="544"/>
      <c r="S275" s="544"/>
      <c r="T275" s="544"/>
      <c r="U275" s="544"/>
      <c r="V275" s="1"/>
      <c r="W275" s="1"/>
      <c r="X275" s="1"/>
      <c r="Y275" s="1"/>
      <c r="Z275" s="1"/>
    </row>
    <row r="276" spans="1:26">
      <c r="A276" s="544"/>
      <c r="B276" s="544"/>
      <c r="C276" s="544"/>
      <c r="D276" s="544"/>
      <c r="E276" s="544"/>
      <c r="F276" s="544"/>
      <c r="G276" s="544"/>
      <c r="H276" s="544"/>
      <c r="I276" s="544"/>
      <c r="J276" s="544"/>
      <c r="K276" s="544"/>
      <c r="L276" s="544"/>
      <c r="M276" s="544"/>
      <c r="N276" s="544"/>
      <c r="O276" s="544"/>
      <c r="P276" s="544"/>
      <c r="Q276" s="544"/>
      <c r="R276" s="544"/>
      <c r="S276" s="544"/>
      <c r="T276" s="544"/>
      <c r="U276" s="544"/>
      <c r="V276" s="1"/>
      <c r="W276" s="1"/>
      <c r="X276" s="1"/>
      <c r="Y276" s="1"/>
      <c r="Z276" s="1"/>
    </row>
    <row r="277" spans="1:26">
      <c r="A277" s="544"/>
      <c r="B277" s="544"/>
      <c r="C277" s="544"/>
      <c r="D277" s="544"/>
      <c r="E277" s="544"/>
      <c r="F277" s="544"/>
      <c r="G277" s="544"/>
      <c r="H277" s="544"/>
      <c r="I277" s="544"/>
      <c r="J277" s="544"/>
      <c r="K277" s="544"/>
      <c r="L277" s="544"/>
      <c r="M277" s="544"/>
      <c r="N277" s="544"/>
      <c r="O277" s="544"/>
      <c r="P277" s="544"/>
      <c r="Q277" s="544"/>
      <c r="R277" s="544"/>
      <c r="S277" s="544"/>
      <c r="T277" s="544"/>
      <c r="U277" s="544"/>
      <c r="V277" s="1"/>
      <c r="W277" s="1"/>
      <c r="X277" s="1"/>
      <c r="Y277" s="1"/>
      <c r="Z277" s="1"/>
    </row>
    <row r="278" spans="1:26">
      <c r="A278" s="544"/>
      <c r="B278" s="544"/>
      <c r="C278" s="544"/>
      <c r="D278" s="544"/>
      <c r="E278" s="544"/>
      <c r="F278" s="544"/>
      <c r="G278" s="544"/>
      <c r="H278" s="544"/>
      <c r="I278" s="544"/>
      <c r="J278" s="544"/>
      <c r="K278" s="544"/>
      <c r="L278" s="544"/>
      <c r="M278" s="544"/>
      <c r="N278" s="544"/>
      <c r="O278" s="544"/>
      <c r="P278" s="544"/>
      <c r="Q278" s="544"/>
      <c r="R278" s="544"/>
      <c r="S278" s="544"/>
      <c r="T278" s="544"/>
      <c r="U278" s="544"/>
      <c r="V278" s="1"/>
      <c r="W278" s="1"/>
      <c r="X278" s="1"/>
      <c r="Y278" s="1"/>
      <c r="Z278" s="1"/>
    </row>
    <row r="279" spans="1:26">
      <c r="A279" s="544"/>
      <c r="B279" s="544"/>
      <c r="C279" s="544"/>
      <c r="D279" s="544"/>
      <c r="E279" s="544"/>
      <c r="F279" s="544"/>
      <c r="G279" s="544"/>
      <c r="H279" s="544"/>
      <c r="I279" s="544"/>
      <c r="J279" s="544"/>
      <c r="K279" s="544"/>
      <c r="L279" s="544"/>
      <c r="M279" s="544"/>
      <c r="N279" s="544"/>
      <c r="O279" s="544"/>
      <c r="P279" s="544"/>
      <c r="Q279" s="544"/>
      <c r="R279" s="544"/>
      <c r="S279" s="544"/>
      <c r="T279" s="544"/>
      <c r="U279" s="544"/>
      <c r="V279" s="1"/>
      <c r="W279" s="1"/>
      <c r="X279" s="1"/>
      <c r="Y279" s="1"/>
      <c r="Z279" s="1"/>
    </row>
    <row r="280" spans="1:26">
      <c r="A280" s="544"/>
      <c r="B280" s="544"/>
      <c r="C280" s="544"/>
      <c r="D280" s="544"/>
      <c r="E280" s="544"/>
      <c r="F280" s="544"/>
      <c r="G280" s="544"/>
      <c r="H280" s="544"/>
      <c r="I280" s="544"/>
      <c r="J280" s="544"/>
      <c r="K280" s="544"/>
      <c r="L280" s="544"/>
      <c r="M280" s="544"/>
      <c r="N280" s="544"/>
      <c r="O280" s="544"/>
      <c r="P280" s="544"/>
      <c r="Q280" s="544"/>
      <c r="R280" s="544"/>
      <c r="S280" s="544"/>
      <c r="T280" s="544"/>
      <c r="U280" s="544"/>
      <c r="V280" s="1"/>
      <c r="W280" s="1"/>
      <c r="X280" s="1"/>
      <c r="Y280" s="1"/>
      <c r="Z280" s="1"/>
    </row>
    <row r="281" spans="1:26">
      <c r="A281" s="544"/>
      <c r="B281" s="544"/>
      <c r="C281" s="544"/>
      <c r="D281" s="544"/>
      <c r="E281" s="544"/>
      <c r="F281" s="544"/>
      <c r="G281" s="544"/>
      <c r="H281" s="544"/>
      <c r="I281" s="544"/>
      <c r="J281" s="544"/>
      <c r="K281" s="544"/>
      <c r="L281" s="544"/>
      <c r="M281" s="544"/>
      <c r="N281" s="544"/>
      <c r="O281" s="544"/>
      <c r="P281" s="544"/>
      <c r="Q281" s="544"/>
      <c r="R281" s="544"/>
      <c r="S281" s="544"/>
      <c r="T281" s="544"/>
      <c r="U281" s="544"/>
      <c r="V281" s="1"/>
      <c r="W281" s="1"/>
      <c r="X281" s="1"/>
      <c r="Y281" s="1"/>
      <c r="Z281" s="1"/>
    </row>
    <row r="282" spans="1:26">
      <c r="A282" s="544"/>
      <c r="B282" s="544"/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  <c r="P282" s="544"/>
      <c r="Q282" s="544"/>
      <c r="R282" s="544"/>
      <c r="S282" s="544"/>
      <c r="T282" s="544"/>
      <c r="U282" s="544"/>
      <c r="V282" s="1"/>
      <c r="W282" s="1"/>
      <c r="X282" s="1"/>
      <c r="Y282" s="1"/>
      <c r="Z282" s="1"/>
    </row>
    <row r="283" spans="1:26">
      <c r="A283" s="544"/>
      <c r="B283" s="544"/>
      <c r="C283" s="544"/>
      <c r="D283" s="544"/>
      <c r="E283" s="544"/>
      <c r="F283" s="544"/>
      <c r="G283" s="544"/>
      <c r="H283" s="544"/>
      <c r="I283" s="544"/>
      <c r="J283" s="544"/>
      <c r="K283" s="544"/>
      <c r="L283" s="544"/>
      <c r="M283" s="544"/>
      <c r="N283" s="544"/>
      <c r="O283" s="544"/>
      <c r="P283" s="544"/>
      <c r="Q283" s="544"/>
      <c r="R283" s="544"/>
      <c r="S283" s="544"/>
      <c r="T283" s="544"/>
      <c r="U283" s="544"/>
      <c r="V283" s="1"/>
      <c r="W283" s="1"/>
      <c r="X283" s="1"/>
      <c r="Y283" s="1"/>
      <c r="Z283" s="1"/>
    </row>
    <row r="284" spans="1:26">
      <c r="A284" s="544"/>
      <c r="B284" s="544"/>
      <c r="C284" s="544"/>
      <c r="D284" s="544"/>
      <c r="E284" s="544"/>
      <c r="F284" s="544"/>
      <c r="G284" s="544"/>
      <c r="H284" s="544"/>
      <c r="I284" s="544"/>
      <c r="J284" s="544"/>
      <c r="K284" s="544"/>
      <c r="L284" s="544"/>
      <c r="M284" s="544"/>
      <c r="N284" s="544"/>
      <c r="O284" s="544"/>
      <c r="P284" s="544"/>
      <c r="Q284" s="544"/>
      <c r="R284" s="544"/>
      <c r="S284" s="544"/>
      <c r="T284" s="544"/>
      <c r="U284" s="544"/>
      <c r="V284" s="1"/>
      <c r="W284" s="1"/>
      <c r="X284" s="1"/>
      <c r="Y284" s="1"/>
      <c r="Z284" s="1"/>
    </row>
    <row r="285" spans="1:26">
      <c r="A285" s="544"/>
      <c r="B285" s="544"/>
      <c r="C285" s="544"/>
      <c r="D285" s="544"/>
      <c r="E285" s="544"/>
      <c r="F285" s="544"/>
      <c r="G285" s="544"/>
      <c r="H285" s="544"/>
      <c r="I285" s="544"/>
      <c r="J285" s="544"/>
      <c r="K285" s="544"/>
      <c r="L285" s="544"/>
      <c r="M285" s="544"/>
      <c r="N285" s="544"/>
      <c r="O285" s="544"/>
      <c r="P285" s="544"/>
      <c r="Q285" s="544"/>
      <c r="R285" s="544"/>
      <c r="S285" s="544"/>
      <c r="T285" s="544"/>
      <c r="U285" s="544"/>
      <c r="V285" s="1"/>
      <c r="W285" s="1"/>
      <c r="X285" s="1"/>
      <c r="Y285" s="1"/>
      <c r="Z285" s="1"/>
    </row>
    <row r="286" spans="1:26">
      <c r="A286" s="544"/>
      <c r="B286" s="544"/>
      <c r="C286" s="544"/>
      <c r="D286" s="544"/>
      <c r="E286" s="544"/>
      <c r="F286" s="544"/>
      <c r="G286" s="544"/>
      <c r="H286" s="544"/>
      <c r="I286" s="544"/>
      <c r="J286" s="544"/>
      <c r="K286" s="544"/>
      <c r="L286" s="544"/>
      <c r="M286" s="544"/>
      <c r="N286" s="544"/>
      <c r="O286" s="544"/>
      <c r="P286" s="544"/>
      <c r="Q286" s="544"/>
      <c r="R286" s="544"/>
      <c r="S286" s="544"/>
      <c r="T286" s="544"/>
      <c r="U286" s="544"/>
      <c r="V286" s="1"/>
      <c r="W286" s="1"/>
      <c r="X286" s="1"/>
      <c r="Y286" s="1"/>
      <c r="Z286" s="1"/>
    </row>
    <row r="287" spans="1:26">
      <c r="A287" s="544"/>
      <c r="B287" s="544"/>
      <c r="C287" s="544"/>
      <c r="D287" s="544"/>
      <c r="E287" s="544"/>
      <c r="F287" s="544"/>
      <c r="G287" s="544"/>
      <c r="H287" s="544"/>
      <c r="I287" s="544"/>
      <c r="J287" s="544"/>
      <c r="K287" s="544"/>
      <c r="L287" s="544"/>
      <c r="M287" s="544"/>
      <c r="N287" s="544"/>
      <c r="O287" s="544"/>
      <c r="P287" s="544"/>
      <c r="Q287" s="544"/>
      <c r="R287" s="544"/>
      <c r="S287" s="544"/>
      <c r="T287" s="544"/>
      <c r="U287" s="544"/>
      <c r="V287" s="1"/>
      <c r="W287" s="1"/>
      <c r="X287" s="1"/>
      <c r="Y287" s="1"/>
      <c r="Z287" s="1"/>
    </row>
    <row r="288" spans="1:26">
      <c r="A288" s="544"/>
      <c r="B288" s="544"/>
      <c r="C288" s="544"/>
      <c r="D288" s="544"/>
      <c r="E288" s="544"/>
      <c r="F288" s="544"/>
      <c r="G288" s="544"/>
      <c r="H288" s="544"/>
      <c r="I288" s="544"/>
      <c r="J288" s="544"/>
      <c r="K288" s="544"/>
      <c r="L288" s="544"/>
      <c r="M288" s="544"/>
      <c r="N288" s="544"/>
      <c r="O288" s="544"/>
      <c r="P288" s="544"/>
      <c r="Q288" s="544"/>
      <c r="R288" s="544"/>
      <c r="S288" s="544"/>
      <c r="T288" s="544"/>
      <c r="U288" s="544"/>
      <c r="V288" s="1"/>
      <c r="W288" s="1"/>
      <c r="X288" s="1"/>
      <c r="Y288" s="1"/>
      <c r="Z288" s="1"/>
    </row>
    <row r="289" spans="1:26">
      <c r="A289" s="544"/>
      <c r="B289" s="544"/>
      <c r="C289" s="544"/>
      <c r="D289" s="544"/>
      <c r="E289" s="544"/>
      <c r="F289" s="544"/>
      <c r="G289" s="544"/>
      <c r="H289" s="544"/>
      <c r="I289" s="544"/>
      <c r="J289" s="544"/>
      <c r="K289" s="544"/>
      <c r="L289" s="544"/>
      <c r="M289" s="544"/>
      <c r="N289" s="544"/>
      <c r="O289" s="544"/>
      <c r="P289" s="544"/>
      <c r="Q289" s="544"/>
      <c r="R289" s="544"/>
      <c r="S289" s="544"/>
      <c r="T289" s="544"/>
      <c r="U289" s="544"/>
      <c r="V289" s="1"/>
      <c r="W289" s="1"/>
      <c r="X289" s="1"/>
      <c r="Y289" s="1"/>
      <c r="Z289" s="1"/>
    </row>
    <row r="290" spans="1:26">
      <c r="A290" s="544"/>
      <c r="B290" s="544"/>
      <c r="C290" s="544"/>
      <c r="D290" s="544"/>
      <c r="E290" s="544"/>
      <c r="F290" s="544"/>
      <c r="G290" s="544"/>
      <c r="H290" s="544"/>
      <c r="I290" s="544"/>
      <c r="J290" s="544"/>
      <c r="K290" s="544"/>
      <c r="L290" s="544"/>
      <c r="M290" s="544"/>
      <c r="N290" s="544"/>
      <c r="O290" s="544"/>
      <c r="P290" s="544"/>
      <c r="Q290" s="544"/>
      <c r="R290" s="544"/>
      <c r="S290" s="544"/>
      <c r="T290" s="544"/>
      <c r="U290" s="544"/>
      <c r="V290" s="1"/>
      <c r="W290" s="1"/>
      <c r="X290" s="1"/>
      <c r="Y290" s="1"/>
      <c r="Z290" s="1"/>
    </row>
    <row r="291" spans="1:26">
      <c r="A291" s="544"/>
      <c r="B291" s="544"/>
      <c r="C291" s="544"/>
      <c r="D291" s="544"/>
      <c r="E291" s="544"/>
      <c r="F291" s="544"/>
      <c r="G291" s="544"/>
      <c r="H291" s="544"/>
      <c r="I291" s="544"/>
      <c r="J291" s="544"/>
      <c r="K291" s="544"/>
      <c r="L291" s="544"/>
      <c r="M291" s="544"/>
      <c r="N291" s="544"/>
      <c r="O291" s="544"/>
      <c r="P291" s="544"/>
      <c r="Q291" s="544"/>
      <c r="R291" s="544"/>
      <c r="S291" s="544"/>
      <c r="T291" s="544"/>
      <c r="U291" s="544"/>
      <c r="V291" s="1"/>
      <c r="W291" s="1"/>
      <c r="X291" s="1"/>
      <c r="Y291" s="1"/>
      <c r="Z291" s="1"/>
    </row>
    <row r="292" spans="1:26">
      <c r="A292" s="544"/>
      <c r="B292" s="544"/>
      <c r="C292" s="544"/>
      <c r="D292" s="544"/>
      <c r="E292" s="544"/>
      <c r="F292" s="544"/>
      <c r="G292" s="544"/>
      <c r="H292" s="544"/>
      <c r="I292" s="544"/>
      <c r="J292" s="544"/>
      <c r="K292" s="544"/>
      <c r="L292" s="544"/>
      <c r="M292" s="544"/>
      <c r="N292" s="544"/>
      <c r="O292" s="544"/>
      <c r="P292" s="544"/>
      <c r="Q292" s="544"/>
      <c r="R292" s="544"/>
      <c r="S292" s="544"/>
      <c r="T292" s="544"/>
      <c r="U292" s="544"/>
      <c r="V292" s="1"/>
      <c r="W292" s="1"/>
      <c r="X292" s="1"/>
      <c r="Y292" s="1"/>
      <c r="Z292" s="1"/>
    </row>
    <row r="293" spans="1:26">
      <c r="A293" s="544"/>
      <c r="B293" s="544"/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  <c r="P293" s="544"/>
      <c r="Q293" s="544"/>
      <c r="R293" s="544"/>
      <c r="S293" s="544"/>
      <c r="T293" s="544"/>
      <c r="U293" s="544"/>
      <c r="V293" s="1"/>
      <c r="W293" s="1"/>
      <c r="X293" s="1"/>
      <c r="Y293" s="1"/>
      <c r="Z293" s="1"/>
    </row>
    <row r="294" spans="1:26">
      <c r="A294" s="544"/>
      <c r="B294" s="544"/>
      <c r="C294" s="544"/>
      <c r="D294" s="544"/>
      <c r="E294" s="544"/>
      <c r="F294" s="544"/>
      <c r="G294" s="544"/>
      <c r="H294" s="544"/>
      <c r="I294" s="544"/>
      <c r="J294" s="544"/>
      <c r="K294" s="544"/>
      <c r="L294" s="544"/>
      <c r="M294" s="544"/>
      <c r="N294" s="544"/>
      <c r="O294" s="544"/>
      <c r="P294" s="544"/>
      <c r="Q294" s="544"/>
      <c r="R294" s="544"/>
      <c r="S294" s="544"/>
      <c r="T294" s="544"/>
      <c r="U294" s="544"/>
      <c r="V294" s="1"/>
      <c r="W294" s="1"/>
      <c r="X294" s="1"/>
      <c r="Y294" s="1"/>
      <c r="Z294" s="1"/>
    </row>
    <row r="295" spans="1:26">
      <c r="A295" s="544"/>
      <c r="B295" s="544"/>
      <c r="C295" s="544"/>
      <c r="D295" s="544"/>
      <c r="E295" s="544"/>
      <c r="F295" s="544"/>
      <c r="G295" s="544"/>
      <c r="H295" s="544"/>
      <c r="I295" s="544"/>
      <c r="J295" s="544"/>
      <c r="K295" s="544"/>
      <c r="L295" s="544"/>
      <c r="M295" s="544"/>
      <c r="N295" s="544"/>
      <c r="O295" s="544"/>
      <c r="P295" s="544"/>
      <c r="Q295" s="544"/>
      <c r="R295" s="544"/>
      <c r="S295" s="544"/>
      <c r="T295" s="544"/>
      <c r="U295" s="544"/>
      <c r="V295" s="1"/>
      <c r="W295" s="1"/>
      <c r="X295" s="1"/>
      <c r="Y295" s="1"/>
      <c r="Z295" s="1"/>
    </row>
    <row r="296" spans="1:26">
      <c r="A296" s="544"/>
      <c r="B296" s="544"/>
      <c r="C296" s="544"/>
      <c r="D296" s="544"/>
      <c r="E296" s="544"/>
      <c r="F296" s="544"/>
      <c r="G296" s="544"/>
      <c r="H296" s="544"/>
      <c r="I296" s="544"/>
      <c r="J296" s="544"/>
      <c r="K296" s="544"/>
      <c r="L296" s="544"/>
      <c r="M296" s="544"/>
      <c r="N296" s="544"/>
      <c r="O296" s="544"/>
      <c r="P296" s="544"/>
      <c r="Q296" s="544"/>
      <c r="R296" s="544"/>
      <c r="S296" s="544"/>
      <c r="T296" s="544"/>
      <c r="U296" s="544"/>
      <c r="V296" s="1"/>
      <c r="W296" s="1"/>
      <c r="X296" s="1"/>
      <c r="Y296" s="1"/>
      <c r="Z296" s="1"/>
    </row>
    <row r="297" spans="1:26">
      <c r="A297" s="544"/>
      <c r="B297" s="544"/>
      <c r="C297" s="544"/>
      <c r="D297" s="544"/>
      <c r="E297" s="544"/>
      <c r="F297" s="544"/>
      <c r="G297" s="544"/>
      <c r="H297" s="544"/>
      <c r="I297" s="544"/>
      <c r="J297" s="544"/>
      <c r="K297" s="544"/>
      <c r="L297" s="544"/>
      <c r="M297" s="544"/>
      <c r="N297" s="544"/>
      <c r="O297" s="544"/>
      <c r="P297" s="544"/>
      <c r="Q297" s="544"/>
      <c r="R297" s="544"/>
      <c r="S297" s="544"/>
      <c r="T297" s="544"/>
      <c r="U297" s="544"/>
      <c r="V297" s="1"/>
      <c r="W297" s="1"/>
      <c r="X297" s="1"/>
      <c r="Y297" s="1"/>
      <c r="Z297" s="1"/>
    </row>
    <row r="298" spans="1:26">
      <c r="A298" s="544"/>
      <c r="B298" s="544"/>
      <c r="C298" s="544"/>
      <c r="D298" s="544"/>
      <c r="E298" s="544"/>
      <c r="F298" s="544"/>
      <c r="G298" s="544"/>
      <c r="H298" s="544"/>
      <c r="I298" s="544"/>
      <c r="J298" s="544"/>
      <c r="K298" s="544"/>
      <c r="L298" s="544"/>
      <c r="M298" s="544"/>
      <c r="N298" s="544"/>
      <c r="O298" s="544"/>
      <c r="P298" s="544"/>
      <c r="Q298" s="544"/>
      <c r="R298" s="544"/>
      <c r="S298" s="544"/>
      <c r="T298" s="544"/>
      <c r="U298" s="544"/>
      <c r="V298" s="1"/>
      <c r="W298" s="1"/>
      <c r="X298" s="1"/>
      <c r="Y298" s="1"/>
      <c r="Z298" s="1"/>
    </row>
    <row r="299" spans="1:26">
      <c r="A299" s="544"/>
      <c r="B299" s="544"/>
      <c r="C299" s="544"/>
      <c r="D299" s="544"/>
      <c r="E299" s="544"/>
      <c r="F299" s="544"/>
      <c r="G299" s="544"/>
      <c r="H299" s="544"/>
      <c r="I299" s="544"/>
      <c r="J299" s="544"/>
      <c r="K299" s="544"/>
      <c r="L299" s="544"/>
      <c r="M299" s="544"/>
      <c r="N299" s="544"/>
      <c r="O299" s="544"/>
      <c r="P299" s="544"/>
      <c r="Q299" s="544"/>
      <c r="R299" s="544"/>
      <c r="S299" s="544"/>
      <c r="T299" s="544"/>
      <c r="U299" s="544"/>
      <c r="V299" s="1"/>
      <c r="W299" s="1"/>
      <c r="X299" s="1"/>
      <c r="Y299" s="1"/>
      <c r="Z299" s="1"/>
    </row>
    <row r="300" spans="1:26">
      <c r="A300" s="544"/>
      <c r="B300" s="544"/>
      <c r="C300" s="544"/>
      <c r="D300" s="544"/>
      <c r="E300" s="544"/>
      <c r="F300" s="544"/>
      <c r="G300" s="544"/>
      <c r="H300" s="544"/>
      <c r="I300" s="544"/>
      <c r="J300" s="544"/>
      <c r="K300" s="544"/>
      <c r="L300" s="544"/>
      <c r="M300" s="544"/>
      <c r="N300" s="544"/>
      <c r="O300" s="544"/>
      <c r="P300" s="544"/>
      <c r="Q300" s="544"/>
      <c r="R300" s="544"/>
      <c r="S300" s="544"/>
      <c r="T300" s="544"/>
      <c r="U300" s="544"/>
      <c r="V300" s="1"/>
      <c r="W300" s="1"/>
      <c r="X300" s="1"/>
      <c r="Y300" s="1"/>
      <c r="Z300" s="1"/>
    </row>
    <row r="301" spans="1:26">
      <c r="A301" s="544"/>
      <c r="B301" s="544"/>
      <c r="C301" s="544"/>
      <c r="D301" s="544"/>
      <c r="E301" s="544"/>
      <c r="F301" s="544"/>
      <c r="G301" s="544"/>
      <c r="H301" s="544"/>
      <c r="I301" s="544"/>
      <c r="J301" s="544"/>
      <c r="K301" s="544"/>
      <c r="L301" s="544"/>
      <c r="M301" s="544"/>
      <c r="N301" s="544"/>
      <c r="O301" s="544"/>
      <c r="P301" s="544"/>
      <c r="Q301" s="544"/>
      <c r="R301" s="544"/>
      <c r="S301" s="544"/>
      <c r="T301" s="544"/>
      <c r="U301" s="544"/>
      <c r="V301" s="1"/>
      <c r="W301" s="1"/>
      <c r="X301" s="1"/>
      <c r="Y301" s="1"/>
      <c r="Z301" s="1"/>
    </row>
    <row r="302" spans="1:26">
      <c r="A302" s="55"/>
      <c r="B302" s="509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55"/>
      <c r="B303" s="509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55"/>
      <c r="B304" s="509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55"/>
      <c r="B305" s="509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55"/>
      <c r="B306" s="509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55"/>
      <c r="B307" s="509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55"/>
      <c r="B308" s="509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55"/>
      <c r="B309" s="509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55"/>
      <c r="B310" s="509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55"/>
      <c r="B311" s="509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55"/>
      <c r="B312" s="509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55"/>
      <c r="B313" s="509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55"/>
      <c r="B314" s="509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55"/>
      <c r="B315" s="509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55"/>
      <c r="B316" s="509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55"/>
      <c r="B317" s="509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55"/>
      <c r="B318" s="509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55"/>
      <c r="B319" s="509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55"/>
      <c r="B320" s="509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55"/>
      <c r="B321" s="509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55"/>
      <c r="B322" s="509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55"/>
      <c r="B323" s="509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55"/>
      <c r="B324" s="509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55"/>
      <c r="B325" s="509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55"/>
      <c r="B326" s="509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55"/>
      <c r="B327" s="509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55"/>
      <c r="B328" s="509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55"/>
      <c r="B329" s="509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55"/>
      <c r="B330" s="509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55"/>
      <c r="B331" s="509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55"/>
      <c r="B332" s="509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55"/>
      <c r="B333" s="509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55"/>
      <c r="B334" s="509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55"/>
      <c r="B335" s="509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55"/>
      <c r="B336" s="509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55"/>
      <c r="B337" s="509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55"/>
      <c r="B338" s="509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55"/>
      <c r="B339" s="509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55"/>
      <c r="B340" s="509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55"/>
      <c r="B341" s="509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55"/>
      <c r="B342" s="509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55"/>
      <c r="B343" s="509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55"/>
      <c r="B344" s="509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55"/>
      <c r="B345" s="509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55"/>
      <c r="B346" s="509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55"/>
      <c r="B347" s="509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55"/>
      <c r="B348" s="509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55"/>
      <c r="B349" s="509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55"/>
      <c r="B350" s="509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55"/>
      <c r="B351" s="509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55"/>
      <c r="B352" s="509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55"/>
      <c r="B353" s="509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55"/>
      <c r="B354" s="509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55"/>
      <c r="B355" s="509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55"/>
      <c r="B356" s="509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55"/>
      <c r="B357" s="509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55"/>
      <c r="B358" s="509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55"/>
      <c r="B359" s="509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55"/>
      <c r="B360" s="509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55"/>
      <c r="B361" s="509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55"/>
      <c r="B362" s="509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55"/>
      <c r="B363" s="509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55"/>
      <c r="B364" s="509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55"/>
      <c r="B365" s="509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55"/>
      <c r="B366" s="509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55"/>
      <c r="B367" s="509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55"/>
      <c r="B368" s="509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55"/>
      <c r="B369" s="509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55"/>
      <c r="B370" s="509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V405" s="1"/>
      <c r="W405" s="1"/>
      <c r="X405" s="1"/>
      <c r="Y405" s="1"/>
      <c r="Z40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Fin statements overview</vt:lpstr>
      <vt:lpstr>Balance sheet</vt:lpstr>
      <vt:lpstr>Income Statement</vt:lpstr>
      <vt:lpstr>Reorganised Statements</vt:lpstr>
      <vt:lpstr>Cash flows</vt:lpstr>
      <vt:lpstr>Consob Reorg </vt:lpstr>
      <vt:lpstr>Trailing 12-months</vt:lpstr>
      <vt:lpstr>WACC </vt:lpstr>
      <vt:lpstr>Forecasts Simo </vt:lpstr>
      <vt:lpstr>Output 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2020-06-08T18:29:16Z</dcterms:modified>
</cp:coreProperties>
</file>