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727" documentId="13_ncr:1_{62DBAB82-5A4C-4989-B565-9531680DA6CE}" xr6:coauthVersionLast="45" xr6:coauthVersionMax="45" xr10:uidLastSave="{9E8513AD-AE4F-4006-BA05-808A48452657}"/>
  <bookViews>
    <workbookView xWindow="-108" yWindow="-108" windowWidth="23256" windowHeight="12576" firstSheet="4" activeTab="5" xr2:uid="{00000000-000D-0000-FFFF-FFFF00000000}"/>
  </bookViews>
  <sheets>
    <sheet name="Balance sheet" sheetId="1" r:id="rId1"/>
    <sheet name="Income Statement" sheetId="3" r:id="rId2"/>
    <sheet name="Reorganised Statements" sheetId="2" r:id="rId3"/>
    <sheet name="Cash flows" sheetId="8" r:id="rId4"/>
    <sheet name="Trailing 12-months" sheetId="5" r:id="rId5"/>
    <sheet name="Fin statements overview" sheetId="10" r:id="rId6"/>
    <sheet name="ratio" sheetId="6" r:id="rId7"/>
    <sheet name="analysis" sheetId="7" r:id="rId8"/>
    <sheet name="Forecasts Simo " sheetId="9" r:id="rId9"/>
    <sheet name="Forecasts Gianma " sheetId="11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J57" i="10"/>
  <c r="K52" i="10"/>
  <c r="L52" i="10"/>
  <c r="M52" i="10"/>
  <c r="N52" i="10"/>
  <c r="J52" i="10"/>
  <c r="K49" i="10"/>
  <c r="L49" i="10"/>
  <c r="M49" i="10"/>
  <c r="N49" i="10"/>
  <c r="J49" i="10"/>
  <c r="K45" i="10"/>
  <c r="L45" i="10"/>
  <c r="M45" i="10"/>
  <c r="N45" i="10"/>
  <c r="J45" i="10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R32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6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J19" i="10"/>
  <c r="K14" i="10"/>
  <c r="L14" i="10"/>
  <c r="M14" i="10"/>
  <c r="N14" i="10"/>
  <c r="J14" i="10"/>
  <c r="K11" i="10"/>
  <c r="L11" i="10"/>
  <c r="M11" i="10"/>
  <c r="N11" i="10"/>
  <c r="J11" i="10"/>
  <c r="K7" i="10"/>
  <c r="L7" i="10"/>
  <c r="M7" i="10"/>
  <c r="N7" i="10"/>
  <c r="J7" i="10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D106" i="5" s="1"/>
  <c r="E66" i="5"/>
  <c r="E60" i="5"/>
  <c r="E53" i="5"/>
  <c r="F69" i="5"/>
  <c r="F66" i="5"/>
  <c r="F60" i="5"/>
  <c r="F53" i="5"/>
  <c r="G69" i="5"/>
  <c r="F106" i="5" s="1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R33" i="10" l="1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M53" i="7"/>
  <c r="F40" i="7" s="1"/>
  <c r="F43" i="7" s="1"/>
  <c r="O39" i="7"/>
  <c r="R41" i="7" s="1"/>
  <c r="R42" i="7" s="1"/>
  <c r="G22" i="9"/>
  <c r="E22" i="9"/>
  <c r="G12" i="9"/>
  <c r="E12" i="9"/>
  <c r="F48" i="7"/>
  <c r="F50" i="7" s="1"/>
  <c r="D48" i="7"/>
  <c r="D50" i="7" s="1"/>
  <c r="D41" i="7"/>
  <c r="D43" i="7" s="1"/>
  <c r="O41" i="7"/>
  <c r="N41" i="7"/>
  <c r="N39" i="7"/>
  <c r="Q41" i="7" s="1"/>
  <c r="Q42" i="7" s="1"/>
  <c r="D53" i="7" s="1"/>
  <c r="B48" i="7"/>
  <c r="B50" i="7" s="1"/>
  <c r="B41" i="7"/>
  <c r="B43" i="7" s="1"/>
  <c r="B53" i="7" s="1"/>
  <c r="H12" i="9" l="1"/>
  <c r="F53" i="7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D83" i="2" s="1"/>
  <c r="H94" i="2"/>
  <c r="H96" i="2" s="1"/>
  <c r="G94" i="2"/>
  <c r="G96" i="2" s="1"/>
  <c r="F94" i="2"/>
  <c r="F96" i="2" s="1"/>
  <c r="F83" i="2" s="1"/>
  <c r="E94" i="2"/>
  <c r="E96" i="2" s="1"/>
  <c r="E83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G66" i="2"/>
  <c r="G61" i="2" s="1"/>
  <c r="F66" i="2"/>
  <c r="F61" i="2" s="1"/>
  <c r="E66" i="2"/>
  <c r="E61" i="2" s="1"/>
  <c r="D66" i="2"/>
  <c r="D61" i="2" s="1"/>
  <c r="H55" i="2"/>
  <c r="G55" i="2"/>
  <c r="G52" i="2" s="1"/>
  <c r="F52" i="5" s="1"/>
  <c r="F55" i="2"/>
  <c r="F52" i="2" s="1"/>
  <c r="E52" i="5" s="1"/>
  <c r="E55" i="2"/>
  <c r="E52" i="2" s="1"/>
  <c r="D52" i="5" s="1"/>
  <c r="D55" i="2"/>
  <c r="E57" i="5" l="1"/>
  <c r="D101" i="5" s="1"/>
  <c r="D68" i="2"/>
  <c r="C54" i="5"/>
  <c r="E99" i="2"/>
  <c r="D61" i="5"/>
  <c r="D62" i="5" s="1"/>
  <c r="C110" i="5" s="1"/>
  <c r="F64" i="5"/>
  <c r="E88" i="5" s="1"/>
  <c r="F68" i="2"/>
  <c r="F70" i="2" s="1"/>
  <c r="F80" i="2" s="1"/>
  <c r="F101" i="2" s="1"/>
  <c r="F114" i="2" s="1"/>
  <c r="E34" i="8" s="1"/>
  <c r="E54" i="5"/>
  <c r="E56" i="5" s="1"/>
  <c r="E59" i="5" s="1"/>
  <c r="E63" i="5" s="1"/>
  <c r="E65" i="5" s="1"/>
  <c r="E68" i="5" s="1"/>
  <c r="E71" i="5" s="1"/>
  <c r="F99" i="2"/>
  <c r="E28" i="8" s="1"/>
  <c r="E61" i="5"/>
  <c r="E62" i="5" s="1"/>
  <c r="D110" i="5" s="1"/>
  <c r="G68" i="2"/>
  <c r="F54" i="5"/>
  <c r="F56" i="5" s="1"/>
  <c r="F59" i="5" s="1"/>
  <c r="C57" i="5"/>
  <c r="D99" i="2"/>
  <c r="C61" i="5"/>
  <c r="C62" i="5" s="1"/>
  <c r="C88" i="5"/>
  <c r="E102" i="5"/>
  <c r="E101" i="5" s="1"/>
  <c r="F57" i="5"/>
  <c r="E68" i="2"/>
  <c r="D54" i="5"/>
  <c r="D56" i="5" s="1"/>
  <c r="F102" i="5"/>
  <c r="F101" i="5" s="1"/>
  <c r="G57" i="5"/>
  <c r="H68" i="2"/>
  <c r="G54" i="5"/>
  <c r="D57" i="5"/>
  <c r="D13" i="8"/>
  <c r="E13" i="8"/>
  <c r="G13" i="8"/>
  <c r="D28" i="8"/>
  <c r="F13" i="8"/>
  <c r="H83" i="2"/>
  <c r="G61" i="5" s="1"/>
  <c r="G62" i="5" s="1"/>
  <c r="D52" i="2"/>
  <c r="E70" i="2"/>
  <c r="E80" i="2" s="1"/>
  <c r="E101" i="2" s="1"/>
  <c r="E114" i="2" s="1"/>
  <c r="D34" i="8" s="1"/>
  <c r="H52" i="2"/>
  <c r="G83" i="2"/>
  <c r="F61" i="5" s="1"/>
  <c r="F62" i="5" s="1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D59" i="5" l="1"/>
  <c r="D63" i="5" s="1"/>
  <c r="D102" i="5"/>
  <c r="F63" i="5"/>
  <c r="F65" i="5" s="1"/>
  <c r="F68" i="5" s="1"/>
  <c r="F71" i="5" s="1"/>
  <c r="E87" i="5"/>
  <c r="H70" i="2"/>
  <c r="H80" i="2" s="1"/>
  <c r="H101" i="2" s="1"/>
  <c r="H114" i="2" s="1"/>
  <c r="G34" i="8" s="1"/>
  <c r="G52" i="5"/>
  <c r="G56" i="5" s="1"/>
  <c r="G59" i="5" s="1"/>
  <c r="G63" i="5" s="1"/>
  <c r="G65" i="5" s="1"/>
  <c r="G68" i="5" s="1"/>
  <c r="G71" i="5" s="1"/>
  <c r="F116" i="5" s="1"/>
  <c r="O40" i="7"/>
  <c r="N40" i="7"/>
  <c r="G42" i="2"/>
  <c r="G29" i="8"/>
  <c r="D70" i="2"/>
  <c r="D80" i="2" s="1"/>
  <c r="D101" i="2" s="1"/>
  <c r="D114" i="2" s="1"/>
  <c r="C52" i="5"/>
  <c r="C56" i="5" s="1"/>
  <c r="C59" i="5" s="1"/>
  <c r="C63" i="5" s="1"/>
  <c r="C65" i="5" s="1"/>
  <c r="C68" i="5" s="1"/>
  <c r="C71" i="5" s="1"/>
  <c r="C101" i="5"/>
  <c r="C102" i="5"/>
  <c r="F42" i="2"/>
  <c r="F29" i="8"/>
  <c r="E42" i="2"/>
  <c r="E29" i="8"/>
  <c r="D87" i="5"/>
  <c r="H99" i="2"/>
  <c r="G28" i="8" s="1"/>
  <c r="G99" i="2"/>
  <c r="F28" i="8" s="1"/>
  <c r="F16" i="8"/>
  <c r="E16" i="8"/>
  <c r="E7" i="8"/>
  <c r="G16" i="8"/>
  <c r="H42" i="2"/>
  <c r="H44" i="2" s="1"/>
  <c r="D7" i="8"/>
  <c r="D16" i="8"/>
  <c r="G44" i="2"/>
  <c r="F44" i="2"/>
  <c r="E44" i="2"/>
  <c r="D44" i="2"/>
  <c r="D29" i="8"/>
  <c r="G101" i="2"/>
  <c r="G114" i="2" s="1"/>
  <c r="F34" i="8" s="1"/>
  <c r="C87" i="5" l="1"/>
  <c r="F87" i="5"/>
  <c r="D65" i="5"/>
  <c r="D68" i="5" s="1"/>
  <c r="D71" i="5" s="1"/>
  <c r="C116" i="5" s="1"/>
  <c r="C89" i="5"/>
  <c r="C112" i="5" s="1"/>
  <c r="D116" i="5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C90" i="5" l="1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G30" i="8"/>
  <c r="F8" i="8"/>
  <c r="F30" i="8"/>
  <c r="M17" i="6"/>
  <c r="E112" i="5" l="1"/>
  <c r="E90" i="5"/>
  <c r="E107" i="5" s="1"/>
  <c r="K48" i="3"/>
  <c r="L48" i="3"/>
  <c r="M48" i="3"/>
  <c r="N48" i="3"/>
  <c r="G44" i="6" s="1"/>
  <c r="J48" i="3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E113" i="5" l="1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I39" i="3" l="1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I61" i="3" l="1"/>
  <c r="I71" i="3" s="1"/>
  <c r="I74" i="3" s="1"/>
  <c r="I77" i="3" s="1"/>
  <c r="I92" i="3" s="1"/>
  <c r="I93" i="3" s="1"/>
  <c r="T38" i="3"/>
  <c r="H61" i="3"/>
  <c r="T60" i="3" l="1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D19" i="8" s="1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J49" i="3"/>
  <c r="J50" i="3" s="1"/>
  <c r="F135" i="1"/>
  <c r="H110" i="1"/>
  <c r="F24" i="6"/>
  <c r="K49" i="3"/>
  <c r="M49" i="3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34" i="6" l="1"/>
  <c r="F177" i="1"/>
  <c r="O38" i="7"/>
  <c r="N38" i="7"/>
  <c r="G19" i="8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H19" i="6"/>
  <c r="H27" i="6" s="1"/>
  <c r="H17" i="6"/>
  <c r="P100" i="1"/>
  <c r="D18" i="6" s="1"/>
  <c r="C25" i="6"/>
  <c r="J18" i="6"/>
  <c r="N49" i="3"/>
  <c r="E24" i="6"/>
  <c r="L49" i="3"/>
  <c r="F19" i="6"/>
  <c r="F27" i="6" s="1"/>
  <c r="F17" i="6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Q38" i="7" l="1"/>
  <c r="Q39" i="7"/>
  <c r="G19" i="6"/>
  <c r="G27" i="6" s="1"/>
  <c r="R38" i="7"/>
  <c r="R39" i="7"/>
  <c r="F18" i="6"/>
  <c r="R167" i="1"/>
  <c r="H31" i="2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B52" i="7" l="1"/>
  <c r="F52" i="7"/>
  <c r="G31" i="2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2" i="5" l="1"/>
  <c r="F113" i="5" s="1"/>
  <c r="F117" i="5" s="1"/>
  <c r="F123" i="5" s="1"/>
  <c r="Q172" i="1" l="1"/>
  <c r="Q85" i="1"/>
  <c r="P37" i="1"/>
  <c r="Q37" i="1"/>
  <c r="P172" i="1"/>
  <c r="P85" i="1"/>
  <c r="S37" i="1"/>
  <c r="S172" i="1"/>
  <c r="S85" i="1"/>
  <c r="R31" i="1"/>
  <c r="P31" i="1"/>
  <c r="F182" i="1"/>
  <c r="C13" i="6"/>
  <c r="F31" i="1"/>
  <c r="F44" i="1"/>
  <c r="F93" i="1"/>
  <c r="C11" i="6"/>
  <c r="R37" i="1"/>
  <c r="S31" i="1"/>
  <c r="G182" i="1"/>
  <c r="D13" i="6"/>
  <c r="G31" i="1"/>
  <c r="G44" i="1"/>
  <c r="G93" i="1"/>
  <c r="D11" i="6"/>
  <c r="G13" i="6"/>
  <c r="J182" i="1"/>
  <c r="J31" i="1"/>
  <c r="J44" i="1"/>
  <c r="J93" i="1"/>
  <c r="G11" i="6"/>
  <c r="F11" i="6"/>
  <c r="I182" i="1"/>
  <c r="F13" i="6"/>
  <c r="I31" i="1"/>
  <c r="I44" i="1"/>
  <c r="I93" i="1"/>
  <c r="R85" i="1"/>
  <c r="R172" i="1"/>
  <c r="Q31" i="1"/>
  <c r="H182" i="1"/>
  <c r="E13" i="6"/>
  <c r="H31" i="1"/>
  <c r="H44" i="1"/>
  <c r="H93" i="1"/>
  <c r="E11" i="6"/>
</calcChain>
</file>

<file path=xl/sharedStrings.xml><?xml version="1.0" encoding="utf-8"?>
<sst xmlns="http://schemas.openxmlformats.org/spreadsheetml/2006/main" count="854" uniqueCount="570">
  <si>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</si>
  <si>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</si>
  <si>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</si>
  <si>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</si>
  <si>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</si>
  <si>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</si>
  <si>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</si>
  <si>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</si>
  <si>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</si>
  <si>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</si>
  <si>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</si>
  <si>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</si>
  <si>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</si>
  <si>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</si>
  <si>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</si>
  <si>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</si>
  <si>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</si>
  <si>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</si>
  <si>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</si>
  <si>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</si>
  <si>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</si>
  <si>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</si>
  <si>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</si>
  <si>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</si>
  <si>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</si>
  <si>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</si>
  <si>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</si>
  <si>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</si>
  <si>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</si>
  <si>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</si>
  <si>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</si>
  <si>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</si>
  <si>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</si>
  <si>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</si>
  <si>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</si>
  <si>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</si>
  <si>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</si>
  <si>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</si>
  <si>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</si>
  <si>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</si>
  <si>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</si>
  <si>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</si>
  <si>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</si>
  <si>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</si>
  <si>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</si>
  <si>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</si>
  <si>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</si>
  <si>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</si>
  <si>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</si>
  <si>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</si>
  <si>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</si>
  <si>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</si>
  <si>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</si>
  <si>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</si>
  <si>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</si>
  <si>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</si>
  <si>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</si>
  <si>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</si>
  <si>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</si>
  <si>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</si>
  <si>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</si>
  <si>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</si>
  <si>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</si>
  <si>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</si>
  <si>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</si>
  <si>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</si>
  <si>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</si>
  <si>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</si>
  <si>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</si>
  <si>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</si>
  <si>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</si>
  <si>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</si>
  <si>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</si>
  <si>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</si>
  <si>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</si>
  <si>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</si>
  <si>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</si>
  <si>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</si>
  <si>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</si>
  <si>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</si>
  <si>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</si>
  <si>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</si>
  <si>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</si>
  <si>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</si>
  <si>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</si>
  <si>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</si>
  <si>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</si>
  <si>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</si>
  <si>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</si>
  <si>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</si>
  <si>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</si>
  <si>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</si>
  <si>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</si>
  <si>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</si>
  <si>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</si>
  <si>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</si>
  <si>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</si>
  <si>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</si>
  <si>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</si>
  <si>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</si>
  <si>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</si>
  <si>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</si>
  <si>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</si>
  <si>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</si>
  <si>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</si>
  <si>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</si>
  <si>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</si>
  <si>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</si>
  <si>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</si>
  <si>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</si>
  <si>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</si>
  <si>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</si>
  <si>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</si>
  <si>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</si>
  <si>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</si>
  <si>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</si>
  <si>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</si>
  <si>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</si>
  <si>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</si>
  <si>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</si>
  <si>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</si>
  <si>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</si>
  <si>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</si>
  <si>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</si>
  <si>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</si>
  <si>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</si>
  <si>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</si>
  <si>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</si>
  <si>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</si>
  <si>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</si>
  <si>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</si>
  <si>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</si>
  <si>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</si>
  <si>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</si>
  <si>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</si>
  <si>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</si>
  <si>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</si>
  <si>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</si>
  <si>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</si>
  <si>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</si>
  <si>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</si>
  <si>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</si>
  <si>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</si>
  <si>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</si>
  <si>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</si>
  <si>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</si>
  <si>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</si>
  <si>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</si>
  <si>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</si>
  <si>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</si>
  <si>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</si>
  <si>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</si>
  <si>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</si>
  <si>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</si>
  <si>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</si>
  <si>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</si>
  <si>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</si>
  <si>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</si>
  <si>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</si>
  <si>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</si>
  <si>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</si>
  <si>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</si>
  <si>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</si>
  <si>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</si>
  <si>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</si>
  <si>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</si>
  <si>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</si>
  <si>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</si>
  <si>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</si>
  <si>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</si>
  <si>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</si>
  <si>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</si>
  <si>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</si>
  <si>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</si>
  <si>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</si>
  <si>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</si>
  <si>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</si>
  <si>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</si>
  <si>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</si>
  <si>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</si>
  <si>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</si>
  <si>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</si>
  <si>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</si>
  <si>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</si>
  <si>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</si>
  <si>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</si>
  <si>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</si>
  <si>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</si>
  <si>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</si>
  <si>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</si>
  <si>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</si>
  <si>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</si>
  <si>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</si>
  <si>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</si>
  <si>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</si>
  <si>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</si>
  <si>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</si>
  <si>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</si>
  <si>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</si>
  <si>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</si>
  <si>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</si>
  <si>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</si>
  <si>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</si>
  <si>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</si>
  <si>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</si>
  <si>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</si>
  <si>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</si>
  <si>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</si>
  <si>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</si>
  <si>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</si>
  <si>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</si>
  <si>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</si>
  <si>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</si>
  <si>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</si>
  <si>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</si>
  <si>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</si>
  <si>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</si>
  <si>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</si>
  <si>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</si>
  <si>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</si>
  <si>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</si>
  <si>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</si>
  <si>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</si>
  <si>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</si>
  <si>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</si>
  <si>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</si>
  <si>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</si>
  <si>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</si>
  <si>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</si>
  <si>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</si>
  <si>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</si>
  <si>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</si>
  <si>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</si>
  <si>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</si>
  <si>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</si>
  <si>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</si>
  <si>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</si>
  <si>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</si>
  <si>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</si>
  <si>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</si>
  <si>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</si>
  <si>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</si>
  <si>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</si>
  <si>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</si>
  <si>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</si>
  <si>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</si>
  <si>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</si>
  <si>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</si>
  <si>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</si>
  <si>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</si>
  <si>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</si>
  <si>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</si>
  <si>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</si>
  <si>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</si>
  <si>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</si>
  <si>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</si>
  <si>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</si>
  <si>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</si>
  <si>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</si>
  <si>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</si>
  <si>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</si>
  <si>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</si>
  <si>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</si>
  <si>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</si>
  <si>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</si>
  <si>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</si>
  <si>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</si>
  <si>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</si>
  <si>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</si>
  <si>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</si>
  <si>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</si>
  <si>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</si>
  <si>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</si>
  <si>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</si>
  <si>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</si>
  <si>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</si>
  <si>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</si>
  <si>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</si>
  <si>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</si>
  <si>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</si>
  <si>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</si>
  <si>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</si>
  <si>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</si>
  <si>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</si>
  <si>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</si>
  <si>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</si>
  <si>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</si>
  <si>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</si>
  <si>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</si>
  <si>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</si>
  <si>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</si>
  <si>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</si>
  <si>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</si>
  <si>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</si>
  <si>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</si>
  <si>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</si>
  <si>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</si>
  <si>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</si>
  <si>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</si>
  <si>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</si>
  <si>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</si>
  <si>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</si>
  <si>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</si>
  <si>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</si>
  <si>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</si>
  <si>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</si>
  <si>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 xml:space="preserve">Financial targets </t>
  </si>
  <si>
    <t>Ebitda</t>
  </si>
  <si>
    <t>Change %</t>
  </si>
  <si>
    <t>Generation</t>
  </si>
  <si>
    <t xml:space="preserve">Market </t>
  </si>
  <si>
    <t>Waste</t>
  </si>
  <si>
    <t>Networks</t>
  </si>
  <si>
    <t xml:space="preserve">Capex plan </t>
  </si>
  <si>
    <t>2019/23</t>
  </si>
  <si>
    <t xml:space="preserve">Development </t>
  </si>
  <si>
    <t>Maintenance</t>
  </si>
  <si>
    <t>Gas tenders</t>
  </si>
  <si>
    <t xml:space="preserve">Generation </t>
  </si>
  <si>
    <t xml:space="preserve">M&amp;A </t>
  </si>
  <si>
    <t>Market</t>
  </si>
  <si>
    <t xml:space="preserve">Other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</si>
  <si>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</si>
  <si>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</si>
  <si>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</si>
  <si>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</si>
  <si>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</si>
  <si>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</si>
  <si>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</si>
  <si>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</si>
  <si>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</si>
  <si>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</si>
  <si>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</si>
  <si>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</si>
  <si>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</si>
  <si>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</si>
  <si>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</si>
  <si>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</si>
  <si>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</si>
  <si>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</si>
  <si>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</si>
  <si>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</si>
  <si>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</si>
  <si>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</si>
  <si>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</si>
  <si>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</si>
  <si>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</si>
  <si>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</si>
  <si>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</si>
  <si>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</si>
  <si>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</si>
  <si>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</si>
  <si>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</si>
  <si>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</si>
  <si>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</si>
  <si>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</si>
  <si>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</si>
  <si>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</si>
  <si>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</si>
  <si>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</si>
  <si>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</si>
  <si>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</si>
  <si>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</si>
  <si>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</si>
  <si>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</si>
  <si>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</si>
  <si>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</si>
  <si>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</si>
  <si>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</si>
  <si>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</si>
  <si>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</si>
  <si>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</si>
  <si>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</si>
  <si>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</si>
  <si>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</si>
  <si>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</si>
  <si>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</si>
  <si>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</si>
  <si>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</si>
  <si>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</si>
  <si>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</si>
  <si>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</si>
  <si>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</si>
  <si>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</si>
  <si>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</si>
  <si>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</si>
  <si>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</si>
  <si>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</si>
  <si>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</si>
  <si>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</si>
  <si>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</si>
  <si>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</si>
  <si>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</si>
  <si>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</si>
  <si>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</si>
  <si>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</si>
  <si>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</si>
  <si>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</si>
  <si>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</si>
  <si>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</si>
  <si>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</si>
  <si>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</si>
  <si>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</si>
  <si>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</si>
  <si>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</si>
  <si>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</si>
  <si>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</si>
  <si>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</si>
  <si>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</si>
  <si>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</si>
  <si>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</si>
  <si>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</si>
  <si>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</si>
  <si>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</si>
  <si>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</si>
  <si>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</si>
  <si>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</si>
  <si>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</si>
  <si>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</si>
  <si>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</si>
  <si>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</si>
  <si>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</si>
  <si>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</si>
  <si>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</si>
  <si>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</si>
  <si>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</si>
  <si>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</si>
  <si>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</si>
  <si>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</si>
  <si>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</si>
  <si>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</si>
  <si>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</si>
  <si>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</si>
  <si>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</si>
  <si>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HERE FULL RATIOS </t>
  </si>
  <si>
    <t xml:space="preserve">WACC </t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</si>
  <si>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</si>
  <si>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</si>
  <si>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</si>
  <si>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</si>
  <si>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</si>
  <si>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</si>
  <si>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</si>
  <si>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</si>
  <si>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</si>
  <si>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</si>
  <si>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</si>
  <si>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</si>
  <si>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</si>
  <si>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</si>
  <si>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</si>
  <si>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</si>
  <si>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</si>
  <si>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</si>
  <si>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</si>
  <si>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</si>
  <si>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</si>
  <si>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2: risk free rate, default sprea, bottom up beta (at market values)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</si>
  <si>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</si>
  <si>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</si>
  <si>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</si>
  <si>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</si>
  <si>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</si>
  <si>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</si>
  <si>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</si>
  <si>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</si>
  <si>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</si>
  <si>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</si>
  <si>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</si>
  <si>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Residual Coup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</si>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</sst>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_-* #,##0.0000_-;\-* #,##0.0000_-;_-* &quot;-&quot;??_-;_-@_-"/>
    <numFmt numFmtId="173" formatCode="0.000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5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13" borderId="26" xfId="0" applyFill="1" applyBorder="1"/>
    <xf numFmtId="0" fontId="0" fillId="11" borderId="28" xfId="0" applyFill="1" applyBorder="1"/>
    <xf numFmtId="0" fontId="0" fillId="11" borderId="1" xfId="0" applyFill="1" applyBorder="1"/>
    <xf numFmtId="0" fontId="0" fillId="11" borderId="27" xfId="0" applyFill="1" applyBorder="1"/>
    <xf numFmtId="0" fontId="0" fillId="11" borderId="19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21" xfId="1" applyNumberFormat="1" applyFont="1" applyBorder="1"/>
    <xf numFmtId="166" fontId="0" fillId="0" borderId="0" xfId="1" applyNumberFormat="1" applyFont="1"/>
    <xf numFmtId="0" fontId="0" fillId="0" borderId="28" xfId="0" applyBorder="1"/>
    <xf numFmtId="0" fontId="0" fillId="0" borderId="27" xfId="0" applyBorder="1"/>
    <xf numFmtId="0" fontId="2" fillId="0" borderId="30" xfId="0" applyFont="1" applyBorder="1"/>
    <xf numFmtId="0" fontId="2" fillId="0" borderId="32" xfId="0" applyFont="1" applyBorder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3" fillId="14" borderId="0" xfId="0" applyFont="1" applyFill="1" applyBorder="1"/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0" fillId="2" borderId="0" xfId="0" applyFill="1" applyAlignment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/>
    <xf numFmtId="168" fontId="6" fillId="2" borderId="0" xfId="0" applyNumberFormat="1" applyFont="1" applyFill="1" applyBorder="1" applyAlignment="1">
      <alignment wrapText="1"/>
    </xf>
    <xf numFmtId="168" fontId="6" fillId="2" borderId="0" xfId="0" applyNumberFormat="1" applyFont="1" applyFill="1" applyAlignment="1">
      <alignment wrapText="1"/>
    </xf>
    <xf numFmtId="168" fontId="6" fillId="2" borderId="0" xfId="1" applyNumberFormat="1" applyFont="1" applyFill="1" applyBorder="1"/>
    <xf numFmtId="168" fontId="11" fillId="7" borderId="0" xfId="0" applyNumberFormat="1" applyFont="1" applyFill="1"/>
    <xf numFmtId="168" fontId="11" fillId="2" borderId="0" xfId="0" applyNumberFormat="1" applyFont="1" applyFill="1"/>
    <xf numFmtId="168" fontId="11" fillId="7" borderId="2" xfId="0" applyNumberFormat="1" applyFont="1" applyFill="1" applyBorder="1"/>
    <xf numFmtId="168" fontId="11" fillId="5" borderId="0" xfId="0" applyNumberFormat="1" applyFont="1" applyFill="1"/>
    <xf numFmtId="168" fontId="11" fillId="5" borderId="2" xfId="0" applyNumberFormat="1" applyFont="1" applyFill="1" applyBorder="1"/>
    <xf numFmtId="168" fontId="6" fillId="5" borderId="0" xfId="0" applyNumberFormat="1" applyFont="1" applyFill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0" xfId="0" applyNumberFormat="1" applyFont="1" applyFill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0" xfId="0" applyNumberFormat="1" applyFont="1" applyFill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168" fontId="14" fillId="2" borderId="0" xfId="0" applyNumberFormat="1" applyFont="1" applyFill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11" fillId="2" borderId="0" xfId="0" applyFont="1" applyFill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7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168" fontId="29" fillId="2" borderId="0" xfId="0" applyNumberFormat="1" applyFont="1" applyFill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0" fillId="2" borderId="39" xfId="0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171" fontId="0" fillId="0" borderId="0" xfId="1" applyNumberFormat="1" applyFont="1" applyFill="1" applyBorder="1"/>
    <xf numFmtId="9" fontId="0" fillId="0" borderId="0" xfId="1" applyFont="1" applyFill="1" applyBorder="1"/>
    <xf numFmtId="171" fontId="0" fillId="0" borderId="30" xfId="1" applyNumberFormat="1" applyFont="1" applyFill="1" applyBorder="1"/>
    <xf numFmtId="172" fontId="0" fillId="0" borderId="0" xfId="2" applyNumberFormat="1" applyFont="1" applyFill="1" applyBorder="1"/>
    <xf numFmtId="0" fontId="0" fillId="6" borderId="28" xfId="0" applyFill="1" applyBorder="1"/>
    <xf numFmtId="0" fontId="0" fillId="6" borderId="31" xfId="0" applyFill="1" applyBorder="1"/>
    <xf numFmtId="170" fontId="0" fillId="0" borderId="0" xfId="1" applyNumberFormat="1" applyFont="1" applyFill="1" applyBorder="1"/>
    <xf numFmtId="173" fontId="0" fillId="0" borderId="0" xfId="1" applyNumberFormat="1" applyFont="1" applyFill="1" applyBorder="1"/>
    <xf numFmtId="0" fontId="0" fillId="0" borderId="0" xfId="0" applyFill="1" applyBorder="1"/>
    <xf numFmtId="171" fontId="0" fillId="0" borderId="0" xfId="0" applyNumberFormat="1" applyFill="1" applyBorder="1"/>
    <xf numFmtId="10" fontId="0" fillId="0" borderId="0" xfId="0" applyNumberFormat="1" applyFill="1" applyBorder="1"/>
    <xf numFmtId="170" fontId="0" fillId="0" borderId="0" xfId="0" applyNumberFormat="1" applyFill="1" applyBorder="1"/>
    <xf numFmtId="0" fontId="0" fillId="6" borderId="1" xfId="0" applyFill="1" applyBorder="1"/>
    <xf numFmtId="0" fontId="0" fillId="6" borderId="27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32" fillId="18" borderId="43" xfId="0" applyFont="1" applyFill="1" applyBorder="1"/>
    <xf numFmtId="170" fontId="0" fillId="2" borderId="30" xfId="1" applyNumberFormat="1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170" fontId="0" fillId="2" borderId="30" xfId="0" applyNumberFormat="1" applyFill="1" applyBorder="1"/>
    <xf numFmtId="171" fontId="0" fillId="2" borderId="30" xfId="1" applyNumberFormat="1" applyFont="1" applyFill="1" applyBorder="1"/>
    <xf numFmtId="0" fontId="0" fillId="2" borderId="30" xfId="0" applyFill="1" applyBorder="1"/>
    <xf numFmtId="171" fontId="0" fillId="2" borderId="30" xfId="0" applyNumberFormat="1" applyFill="1" applyBorder="1"/>
    <xf numFmtId="0" fontId="2" fillId="2" borderId="44" xfId="0" applyFont="1" applyFill="1" applyBorder="1"/>
    <xf numFmtId="172" fontId="0" fillId="2" borderId="45" xfId="2" applyNumberFormat="1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171" fontId="0" fillId="2" borderId="45" xfId="0" applyNumberFormat="1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32" fillId="17" borderId="5" xfId="0" applyFont="1" applyFill="1" applyBorder="1"/>
    <xf numFmtId="0" fontId="32" fillId="14" borderId="5" xfId="0" applyFont="1" applyFill="1" applyBorder="1"/>
    <xf numFmtId="0" fontId="32" fillId="14" borderId="28" xfId="0" applyFont="1" applyFill="1" applyBorder="1"/>
    <xf numFmtId="0" fontId="0" fillId="2" borderId="27" xfId="0" applyFill="1" applyBorder="1"/>
    <xf numFmtId="0" fontId="0" fillId="2" borderId="11" xfId="0" applyFill="1" applyBorder="1"/>
    <xf numFmtId="0" fontId="0" fillId="2" borderId="46" xfId="0" applyFill="1" applyBorder="1"/>
    <xf numFmtId="0" fontId="0" fillId="2" borderId="13" xfId="0" applyFill="1" applyBorder="1"/>
    <xf numFmtId="0" fontId="0" fillId="2" borderId="47" xfId="0" applyFill="1" applyBorder="1"/>
    <xf numFmtId="171" fontId="0" fillId="2" borderId="0" xfId="1" applyNumberFormat="1" applyFont="1" applyFill="1" applyBorder="1"/>
    <xf numFmtId="0" fontId="0" fillId="2" borderId="22" xfId="0" applyFill="1" applyBorder="1"/>
    <xf numFmtId="0" fontId="0" fillId="2" borderId="32" xfId="0" applyFill="1" applyBorder="1"/>
    <xf numFmtId="0" fontId="0" fillId="2" borderId="1" xfId="0" applyFill="1" applyBorder="1"/>
    <xf numFmtId="0" fontId="2" fillId="2" borderId="27" xfId="0" applyFont="1" applyFill="1" applyBorder="1"/>
    <xf numFmtId="0" fontId="2" fillId="2" borderId="39" xfId="0" applyFont="1" applyFill="1" applyBorder="1"/>
    <xf numFmtId="0" fontId="32" fillId="19" borderId="28" xfId="0" applyFont="1" applyFill="1" applyBorder="1"/>
    <xf numFmtId="0" fontId="32" fillId="19" borderId="29" xfId="0" applyFont="1" applyFill="1" applyBorder="1"/>
    <xf numFmtId="0" fontId="32" fillId="19" borderId="0" xfId="0" applyFont="1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2" fillId="2" borderId="30" xfId="0" applyFont="1" applyFill="1" applyBorder="1"/>
    <xf numFmtId="0" fontId="2" fillId="2" borderId="26" xfId="0" applyFont="1" applyFill="1" applyBorder="1"/>
    <xf numFmtId="166" fontId="32" fillId="18" borderId="43" xfId="1" applyNumberFormat="1" applyFont="1" applyFill="1" applyBorder="1"/>
    <xf numFmtId="166" fontId="32" fillId="13" borderId="17" xfId="1" applyNumberFormat="1" applyFont="1" applyFill="1" applyBorder="1"/>
    <xf numFmtId="0" fontId="0" fillId="2" borderId="48" xfId="0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20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1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9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20" borderId="29" xfId="0" applyFont="1" applyFill="1" applyBorder="1"/>
    <xf numFmtId="168" fontId="6" fillId="20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  <xf numFmtId="0" fontId="0" fillId="2" borderId="28" xfId="0" applyFill="1" applyBorder="1"/>
    <xf numFmtId="0" fontId="38" fillId="22" borderId="26" xfId="0" applyFont="1" applyFill="1" applyBorder="1"/>
    <xf numFmtId="0" fontId="39" fillId="2" borderId="29" xfId="0" applyFont="1" applyFill="1" applyBorder="1"/>
    <xf numFmtId="0" fontId="39" fillId="2" borderId="44" xfId="0" applyFont="1" applyFill="1" applyBorder="1"/>
    <xf numFmtId="0" fontId="38" fillId="2" borderId="29" xfId="0" applyFont="1" applyFill="1" applyBorder="1"/>
    <xf numFmtId="0" fontId="39" fillId="2" borderId="0" xfId="0" applyFont="1" applyFill="1" applyBorder="1"/>
    <xf numFmtId="0" fontId="38" fillId="2" borderId="0" xfId="0" applyFont="1" applyFill="1" applyBorder="1"/>
    <xf numFmtId="0" fontId="39" fillId="2" borderId="35" xfId="0" applyFont="1" applyFill="1" applyBorder="1"/>
    <xf numFmtId="0" fontId="38" fillId="2" borderId="44" xfId="0" applyFont="1" applyFill="1" applyBorder="1"/>
    <xf numFmtId="0" fontId="38" fillId="2" borderId="50" xfId="0" applyFont="1" applyFill="1" applyBorder="1"/>
    <xf numFmtId="0" fontId="39" fillId="2" borderId="30" xfId="0" applyFont="1" applyFill="1" applyBorder="1"/>
    <xf numFmtId="0" fontId="40" fillId="2" borderId="35" xfId="0" applyFont="1" applyFill="1" applyBorder="1"/>
    <xf numFmtId="0" fontId="39" fillId="2" borderId="45" xfId="0" applyFont="1" applyFill="1" applyBorder="1"/>
    <xf numFmtId="2" fontId="39" fillId="2" borderId="35" xfId="0" applyNumberFormat="1" applyFon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1" fontId="39" fillId="2" borderId="35" xfId="3" applyNumberFormat="1" applyFont="1" applyFill="1" applyBorder="1"/>
    <xf numFmtId="1" fontId="39" fillId="2" borderId="35" xfId="0" applyNumberFormat="1" applyFont="1" applyFill="1" applyBorder="1"/>
    <xf numFmtId="1" fontId="39" fillId="2" borderId="0" xfId="0" applyNumberFormat="1" applyFont="1" applyFill="1" applyBorder="1"/>
    <xf numFmtId="1" fontId="38" fillId="2" borderId="0" xfId="0" applyNumberFormat="1" applyFont="1" applyFill="1" applyBorder="1"/>
    <xf numFmtId="0" fontId="38" fillId="2" borderId="35" xfId="0" applyFont="1" applyFill="1" applyBorder="1"/>
    <xf numFmtId="0" fontId="38" fillId="2" borderId="36" xfId="0" applyFont="1" applyFill="1" applyBorder="1"/>
    <xf numFmtId="0" fontId="0" fillId="20" borderId="31" xfId="0" applyFill="1" applyBorder="1"/>
    <xf numFmtId="0" fontId="2" fillId="20" borderId="31" xfId="0" applyFont="1" applyFill="1" applyBorder="1"/>
    <xf numFmtId="1" fontId="41" fillId="20" borderId="22" xfId="0" applyNumberFormat="1" applyFont="1" applyFill="1" applyBorder="1"/>
    <xf numFmtId="0" fontId="38" fillId="2" borderId="30" xfId="0" applyFont="1" applyFill="1" applyBorder="1"/>
    <xf numFmtId="1" fontId="38" fillId="2" borderId="30" xfId="0" applyNumberFormat="1" applyFont="1" applyFill="1" applyBorder="1"/>
    <xf numFmtId="0" fontId="38" fillId="2" borderId="46" xfId="0" applyFont="1" applyFill="1" applyBorder="1"/>
    <xf numFmtId="1" fontId="41" fillId="20" borderId="32" xfId="0" applyNumberFormat="1" applyFont="1" applyFill="1" applyBorder="1"/>
    <xf numFmtId="0" fontId="38" fillId="2" borderId="45" xfId="0" applyFont="1" applyFill="1" applyBorder="1"/>
    <xf numFmtId="0" fontId="38" fillId="23" borderId="5" xfId="0" applyFont="1" applyFill="1" applyBorder="1"/>
    <xf numFmtId="14" fontId="38" fillId="23" borderId="26" xfId="0" applyNumberFormat="1" applyFont="1" applyFill="1" applyBorder="1"/>
    <xf numFmtId="0" fontId="38" fillId="24" borderId="31" xfId="0" applyFont="1" applyFill="1" applyBorder="1"/>
    <xf numFmtId="0" fontId="39" fillId="24" borderId="22" xfId="0" applyFont="1" applyFill="1" applyBorder="1"/>
    <xf numFmtId="0" fontId="39" fillId="24" borderId="32" xfId="0" applyFont="1" applyFill="1" applyBorder="1"/>
    <xf numFmtId="0" fontId="38" fillId="2" borderId="51" xfId="0" applyFont="1" applyFill="1" applyBorder="1"/>
    <xf numFmtId="0" fontId="38" fillId="2" borderId="52" xfId="0" applyFont="1" applyFill="1" applyBorder="1"/>
    <xf numFmtId="0" fontId="38" fillId="2" borderId="53" xfId="0" applyFont="1" applyFill="1" applyBorder="1"/>
    <xf numFmtId="0" fontId="39" fillId="2" borderId="31" xfId="0" applyFont="1" applyFill="1" applyBorder="1"/>
    <xf numFmtId="0" fontId="39" fillId="2" borderId="22" xfId="0" applyFont="1" applyFill="1" applyBorder="1"/>
    <xf numFmtId="0" fontId="39" fillId="2" borderId="32" xfId="0" applyFont="1" applyFill="1" applyBorder="1"/>
    <xf numFmtId="2" fontId="39" fillId="2" borderId="45" xfId="0" applyNumberFormat="1" applyFont="1" applyFill="1" applyBorder="1"/>
    <xf numFmtId="2" fontId="38" fillId="2" borderId="0" xfId="0" applyNumberFormat="1" applyFont="1" applyFill="1" applyBorder="1"/>
    <xf numFmtId="2" fontId="38" fillId="2" borderId="30" xfId="0" applyNumberFormat="1" applyFont="1" applyFill="1" applyBorder="1"/>
    <xf numFmtId="1" fontId="39" fillId="2" borderId="45" xfId="0" applyNumberFormat="1" applyFont="1" applyFill="1" applyBorder="1"/>
    <xf numFmtId="0" fontId="40" fillId="2" borderId="29" xfId="0" applyFont="1" applyFill="1" applyBorder="1"/>
    <xf numFmtId="10" fontId="40" fillId="2" borderId="0" xfId="1" applyNumberFormat="1" applyFont="1" applyFill="1" applyBorder="1"/>
    <xf numFmtId="10" fontId="40" fillId="2" borderId="30" xfId="1" applyNumberFormat="1" applyFont="1" applyFill="1" applyBorder="1"/>
    <xf numFmtId="1" fontId="39" fillId="2" borderId="30" xfId="0" applyNumberFormat="1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14" fontId="38" fillId="0" borderId="0" xfId="0" applyNumberFormat="1" applyFont="1" applyFill="1" applyBorder="1"/>
    <xf numFmtId="14" fontId="38" fillId="22" borderId="26" xfId="0" applyNumberFormat="1" applyFont="1" applyFill="1" applyBorder="1"/>
    <xf numFmtId="14" fontId="38" fillId="22" borderId="39" xfId="0" applyNumberFormat="1" applyFont="1" applyFill="1" applyBorder="1"/>
    <xf numFmtId="0" fontId="38" fillId="23" borderId="26" xfId="0" applyFont="1" applyFill="1" applyBorder="1"/>
    <xf numFmtId="0" fontId="32" fillId="19" borderId="1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20" borderId="22" xfId="0" applyNumberFormat="1" applyFill="1" applyBorder="1"/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8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303020"/>
          <a:ext cx="323850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10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 x14ac:dyDescent="0.3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 x14ac:dyDescent="0.65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93"/>
      <c r="L1" s="193"/>
      <c r="M1" s="193"/>
      <c r="N1" s="193"/>
      <c r="O1" s="19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6">
      <c r="B2" s="62"/>
      <c r="C2" s="63"/>
      <c r="D2" s="64"/>
      <c r="E2" s="458" t="s">
        <v>158</v>
      </c>
      <c r="F2" s="458"/>
      <c r="G2" s="458"/>
      <c r="H2" s="458"/>
      <c r="I2" s="458"/>
      <c r="J2" s="458"/>
      <c r="K2" s="195"/>
      <c r="L2" s="195"/>
      <c r="M2" s="195"/>
      <c r="N2" s="195"/>
      <c r="O2" s="19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3">
      <c r="B3" s="66"/>
      <c r="C3" s="144"/>
      <c r="D3" s="65"/>
      <c r="E3" s="144" t="s">
        <v>1</v>
      </c>
      <c r="F3" s="147">
        <v>42369</v>
      </c>
      <c r="G3" s="147">
        <v>42735</v>
      </c>
      <c r="H3" s="147">
        <v>43100</v>
      </c>
      <c r="I3" s="147">
        <v>43465</v>
      </c>
      <c r="J3" s="147">
        <v>43830</v>
      </c>
      <c r="K3" s="55"/>
      <c r="L3" s="55"/>
      <c r="M3" s="55"/>
      <c r="N3" s="55"/>
      <c r="O3" s="55"/>
      <c r="P3" s="196" t="s">
        <v>364</v>
      </c>
      <c r="Q3" s="197" t="s">
        <v>365</v>
      </c>
      <c r="R3" s="197" t="s">
        <v>366</v>
      </c>
      <c r="S3" s="197" t="s">
        <v>367</v>
      </c>
      <c r="T3" s="196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4.6" x14ac:dyDescent="0.55000000000000004">
      <c r="C4" s="141" t="s">
        <v>2</v>
      </c>
      <c r="D4" s="5"/>
      <c r="E4" s="7"/>
      <c r="F4" s="231"/>
      <c r="G4" s="232"/>
      <c r="H4" s="232"/>
      <c r="I4" s="232"/>
      <c r="J4" s="232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 x14ac:dyDescent="0.4">
      <c r="C5" s="6" t="s">
        <v>3</v>
      </c>
      <c r="D5" s="5" t="s">
        <v>4</v>
      </c>
      <c r="E5" s="5"/>
      <c r="F5" s="231"/>
      <c r="G5" s="232"/>
      <c r="H5" s="232"/>
      <c r="I5" s="232"/>
      <c r="J5" s="232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ht="16.8" x14ac:dyDescent="0.4">
      <c r="C6" s="8" t="s">
        <v>5</v>
      </c>
      <c r="D6" s="5" t="s">
        <v>6</v>
      </c>
      <c r="E6" s="5"/>
      <c r="F6" s="231"/>
      <c r="G6" s="232"/>
      <c r="H6" s="232"/>
      <c r="I6" s="232"/>
      <c r="J6" s="232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ht="16.8" x14ac:dyDescent="0.4">
      <c r="C7" s="5" t="s">
        <v>7</v>
      </c>
      <c r="D7" s="5"/>
      <c r="E7" s="5"/>
      <c r="F7" s="231">
        <v>266</v>
      </c>
      <c r="G7" s="232">
        <v>235</v>
      </c>
      <c r="H7" s="232">
        <v>113</v>
      </c>
      <c r="I7" s="232">
        <v>116</v>
      </c>
      <c r="J7" s="232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ht="16.8" x14ac:dyDescent="0.4">
      <c r="C8" s="5" t="s">
        <v>8</v>
      </c>
      <c r="D8" s="5"/>
      <c r="E8" s="5"/>
      <c r="F8" s="231">
        <v>913</v>
      </c>
      <c r="G8" s="232">
        <v>821</v>
      </c>
      <c r="H8" s="232">
        <v>606</v>
      </c>
      <c r="I8" s="232">
        <v>590</v>
      </c>
      <c r="J8" s="232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ht="16.8" x14ac:dyDescent="0.4">
      <c r="C9" s="5" t="s">
        <v>9</v>
      </c>
      <c r="D9" s="5"/>
      <c r="E9" s="5"/>
      <c r="F9" s="231">
        <v>3608</v>
      </c>
      <c r="G9" s="232">
        <v>3703</v>
      </c>
      <c r="H9" s="232">
        <v>3459</v>
      </c>
      <c r="I9" s="232">
        <v>3460</v>
      </c>
      <c r="J9" s="232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ht="16.8" x14ac:dyDescent="0.4">
      <c r="C10" s="5" t="s">
        <v>10</v>
      </c>
      <c r="D10" s="5"/>
      <c r="E10" s="5"/>
      <c r="F10" s="231">
        <v>24</v>
      </c>
      <c r="G10" s="232">
        <v>33</v>
      </c>
      <c r="H10" s="232">
        <v>36</v>
      </c>
      <c r="I10" s="232">
        <v>38</v>
      </c>
      <c r="J10" s="232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ht="16.8" x14ac:dyDescent="0.4">
      <c r="C11" s="5" t="s">
        <v>11</v>
      </c>
      <c r="D11" s="5"/>
      <c r="E11" s="5"/>
      <c r="F11" s="231">
        <v>56</v>
      </c>
      <c r="G11" s="232">
        <v>72</v>
      </c>
      <c r="H11" s="232">
        <v>98</v>
      </c>
      <c r="I11" s="232">
        <v>120</v>
      </c>
      <c r="J11" s="232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ht="16.8" x14ac:dyDescent="0.4">
      <c r="C12" s="5" t="s">
        <v>12</v>
      </c>
      <c r="D12" s="5"/>
      <c r="E12" s="5"/>
      <c r="F12" s="231">
        <v>23</v>
      </c>
      <c r="G12" s="232">
        <v>73</v>
      </c>
      <c r="H12" s="232">
        <v>66</v>
      </c>
      <c r="I12" s="232">
        <v>66</v>
      </c>
      <c r="J12" s="232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ht="16.8" x14ac:dyDescent="0.4">
      <c r="C13" s="5" t="s">
        <v>13</v>
      </c>
      <c r="D13" s="5"/>
      <c r="E13" s="5"/>
      <c r="F13" s="231">
        <v>103</v>
      </c>
      <c r="G13" s="232">
        <v>101</v>
      </c>
      <c r="H13" s="232">
        <v>95</v>
      </c>
      <c r="I13" s="232">
        <v>85</v>
      </c>
      <c r="J13" s="232">
        <v>131</v>
      </c>
      <c r="K13" s="50"/>
      <c r="L13" s="126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ht="16.8" x14ac:dyDescent="0.4">
      <c r="C14" s="5" t="s">
        <v>14</v>
      </c>
      <c r="D14" s="5"/>
      <c r="E14" s="5"/>
      <c r="F14" s="231">
        <v>72</v>
      </c>
      <c r="G14" s="232">
        <v>82</v>
      </c>
      <c r="H14" s="232">
        <v>83</v>
      </c>
      <c r="I14" s="232">
        <v>91</v>
      </c>
      <c r="J14" s="232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ht="16.8" x14ac:dyDescent="0.4">
      <c r="C15" s="5" t="s">
        <v>15</v>
      </c>
      <c r="D15" s="5"/>
      <c r="E15" s="5"/>
      <c r="F15" s="231">
        <v>2</v>
      </c>
      <c r="G15" s="232">
        <v>9</v>
      </c>
      <c r="H15" s="232">
        <v>50</v>
      </c>
      <c r="I15" s="232">
        <v>54</v>
      </c>
      <c r="J15" s="232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ht="16.8" x14ac:dyDescent="0.4">
      <c r="C16" s="10" t="s">
        <v>16</v>
      </c>
      <c r="D16" s="11"/>
      <c r="E16" s="12"/>
      <c r="F16" s="233">
        <f t="shared" ref="F16:G16" si="3">SUM(F7:F15)</f>
        <v>5067</v>
      </c>
      <c r="G16" s="233">
        <f t="shared" si="3"/>
        <v>5129</v>
      </c>
      <c r="H16" s="234">
        <f>SUM(H7:H15)</f>
        <v>4606</v>
      </c>
      <c r="I16" s="234">
        <f>SUM(I7:I15)</f>
        <v>4620</v>
      </c>
      <c r="J16" s="234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ht="16.8" x14ac:dyDescent="0.4">
      <c r="C17" s="14" t="s">
        <v>17</v>
      </c>
      <c r="D17" s="14"/>
      <c r="E17" s="14"/>
      <c r="F17" s="235"/>
      <c r="G17" s="236"/>
      <c r="H17" s="236"/>
      <c r="I17" s="236"/>
      <c r="J17" s="236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ht="16.8" x14ac:dyDescent="0.4">
      <c r="C18" s="14" t="s">
        <v>18</v>
      </c>
      <c r="D18" s="14"/>
      <c r="E18" s="14"/>
      <c r="F18" s="235">
        <v>9838</v>
      </c>
      <c r="G18" s="236">
        <v>10421</v>
      </c>
      <c r="H18" s="236">
        <v>10070</v>
      </c>
      <c r="I18" s="236">
        <v>10520</v>
      </c>
      <c r="J18" s="236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ht="16.8" x14ac:dyDescent="0.4">
      <c r="C19" s="14" t="s">
        <v>19</v>
      </c>
      <c r="D19" s="14"/>
      <c r="E19" s="14"/>
      <c r="F19" s="235">
        <v>-4253</v>
      </c>
      <c r="G19" s="236">
        <v>-4553</v>
      </c>
      <c r="H19" s="236">
        <v>-4725</v>
      </c>
      <c r="I19" s="236">
        <v>-5045</v>
      </c>
      <c r="J19" s="236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ht="16.8" x14ac:dyDescent="0.4">
      <c r="C20" s="14" t="s">
        <v>20</v>
      </c>
      <c r="D20" s="14"/>
      <c r="E20" s="14"/>
      <c r="F20" s="235">
        <v>-518</v>
      </c>
      <c r="G20" s="236">
        <v>-739</v>
      </c>
      <c r="H20" s="236">
        <v>-739</v>
      </c>
      <c r="I20" s="236">
        <v>-855</v>
      </c>
      <c r="J20" s="236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ht="16.8" x14ac:dyDescent="0.4">
      <c r="C21" s="8" t="s">
        <v>21</v>
      </c>
      <c r="D21" s="5" t="s">
        <v>22</v>
      </c>
      <c r="E21" s="5"/>
      <c r="F21" s="231"/>
      <c r="G21" s="232"/>
      <c r="H21" s="232"/>
      <c r="I21" s="232"/>
      <c r="J21" s="232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ht="16.8" x14ac:dyDescent="0.4">
      <c r="C22" s="5" t="s">
        <v>23</v>
      </c>
      <c r="D22" s="5"/>
      <c r="E22" s="5"/>
      <c r="F22" s="231">
        <v>26</v>
      </c>
      <c r="G22" s="232">
        <v>21</v>
      </c>
      <c r="H22" s="232">
        <v>19</v>
      </c>
      <c r="I22" s="232">
        <v>24</v>
      </c>
      <c r="J22" s="232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ht="16.8" x14ac:dyDescent="0.4">
      <c r="C23" s="5" t="s">
        <v>24</v>
      </c>
      <c r="D23" s="5"/>
      <c r="E23" s="5"/>
      <c r="F23" s="231">
        <v>799</v>
      </c>
      <c r="G23" s="232">
        <v>1046</v>
      </c>
      <c r="H23" s="232">
        <v>1130</v>
      </c>
      <c r="I23" s="232">
        <v>1502</v>
      </c>
      <c r="J23" s="232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ht="16.8" x14ac:dyDescent="0.4">
      <c r="C24" s="5" t="s">
        <v>25</v>
      </c>
      <c r="D24" s="5"/>
      <c r="E24" s="5"/>
      <c r="F24" s="231">
        <v>20</v>
      </c>
      <c r="G24" s="232">
        <v>500</v>
      </c>
      <c r="H24" s="232">
        <v>457</v>
      </c>
      <c r="I24" s="232">
        <v>444</v>
      </c>
      <c r="J24" s="232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ht="16.8" x14ac:dyDescent="0.4">
      <c r="C25" s="5" t="s">
        <v>26</v>
      </c>
      <c r="D25" s="5"/>
      <c r="E25" s="5"/>
      <c r="F25" s="231">
        <v>21</v>
      </c>
      <c r="G25" s="232">
        <v>26</v>
      </c>
      <c r="H25" s="232">
        <v>40</v>
      </c>
      <c r="I25" s="232">
        <v>44</v>
      </c>
      <c r="J25" s="232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ht="16.8" x14ac:dyDescent="0.4">
      <c r="C26" s="5" t="s">
        <v>27</v>
      </c>
      <c r="D26" s="5"/>
      <c r="E26" s="5"/>
      <c r="F26" s="231">
        <v>482</v>
      </c>
      <c r="G26" s="232">
        <v>111</v>
      </c>
      <c r="H26" s="232">
        <v>217</v>
      </c>
      <c r="I26" s="232">
        <v>288</v>
      </c>
      <c r="J26" s="232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ht="16.8" x14ac:dyDescent="0.4">
      <c r="C27" s="10" t="s">
        <v>16</v>
      </c>
      <c r="D27" s="12"/>
      <c r="E27" s="12"/>
      <c r="F27" s="233">
        <f t="shared" ref="F27:G27" si="6">SUM(F22:F26)</f>
        <v>1348</v>
      </c>
      <c r="G27" s="234">
        <f t="shared" si="6"/>
        <v>1704</v>
      </c>
      <c r="H27" s="234">
        <f>SUM(H22:H26)</f>
        <v>1863</v>
      </c>
      <c r="I27" s="234">
        <f>SUM(I22:I26)</f>
        <v>2302</v>
      </c>
      <c r="J27" s="234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ht="16.8" x14ac:dyDescent="0.4">
      <c r="C28" s="8" t="s">
        <v>28</v>
      </c>
      <c r="D28" s="5"/>
      <c r="E28" s="5"/>
      <c r="F28" s="231"/>
      <c r="G28" s="232"/>
      <c r="H28" s="232"/>
      <c r="I28" s="232"/>
      <c r="J28" s="232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ht="16.8" x14ac:dyDescent="0.4">
      <c r="C29" s="5" t="s">
        <v>29</v>
      </c>
      <c r="D29" s="5" t="s">
        <v>30</v>
      </c>
      <c r="E29" s="5"/>
      <c r="F29" s="231">
        <v>68</v>
      </c>
      <c r="G29" s="232">
        <v>67</v>
      </c>
      <c r="H29" s="232">
        <v>63</v>
      </c>
      <c r="I29" s="232">
        <v>16</v>
      </c>
      <c r="J29" s="232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3">
      <c r="C30" s="5" t="s">
        <v>31</v>
      </c>
      <c r="D30" s="5" t="s">
        <v>32</v>
      </c>
      <c r="E30" s="5"/>
      <c r="F30" s="231">
        <v>69</v>
      </c>
      <c r="G30" s="232">
        <v>69</v>
      </c>
      <c r="H30" s="232">
        <v>44</v>
      </c>
      <c r="I30" s="232">
        <v>29</v>
      </c>
      <c r="J30" s="232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x14ac:dyDescent="0.3">
      <c r="C31" s="10" t="s">
        <v>16</v>
      </c>
      <c r="D31" s="12"/>
      <c r="E31" s="12"/>
      <c r="F31" s="233">
        <f ca="1">SUM(F29:F31)</f>
        <v>137</v>
      </c>
      <c r="G31" s="234">
        <f ca="1">SUM(G29:G31)</f>
        <v>136</v>
      </c>
      <c r="H31" s="234">
        <f ca="1">SUM(H29:H31)</f>
        <v>107</v>
      </c>
      <c r="I31" s="234">
        <f ca="1">SUM(I29:I31)</f>
        <v>45</v>
      </c>
      <c r="J31" s="234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x14ac:dyDescent="0.3">
      <c r="C32" s="14" t="s">
        <v>371</v>
      </c>
      <c r="D32" s="192"/>
      <c r="E32" s="198"/>
      <c r="F32" s="237">
        <v>57</v>
      </c>
      <c r="G32" s="238">
        <v>56</v>
      </c>
      <c r="H32" s="238">
        <v>36</v>
      </c>
      <c r="I32" s="238">
        <v>22</v>
      </c>
      <c r="J32" s="238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x14ac:dyDescent="0.3">
      <c r="C33" s="1"/>
      <c r="D33" s="1"/>
      <c r="E33" s="55"/>
      <c r="F33" s="239"/>
      <c r="G33" s="240"/>
      <c r="H33" s="240"/>
      <c r="I33" s="240"/>
      <c r="J33" s="240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x14ac:dyDescent="0.3">
      <c r="E34" s="55"/>
      <c r="F34" s="241"/>
      <c r="G34" s="242"/>
      <c r="H34" s="242"/>
      <c r="I34" s="242"/>
      <c r="J34" s="242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3">
      <c r="C35" s="8" t="s">
        <v>33</v>
      </c>
      <c r="D35" s="5" t="s">
        <v>34</v>
      </c>
      <c r="E35" s="5"/>
      <c r="F35" s="243">
        <v>308</v>
      </c>
      <c r="G35" s="244">
        <v>341</v>
      </c>
      <c r="H35" s="244">
        <v>301</v>
      </c>
      <c r="I35" s="244">
        <v>264</v>
      </c>
      <c r="J35" s="244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3">
      <c r="C36" s="8" t="s">
        <v>35</v>
      </c>
      <c r="D36" s="5" t="s">
        <v>32</v>
      </c>
      <c r="E36" s="5"/>
      <c r="F36" s="231"/>
      <c r="G36" s="232"/>
      <c r="H36" s="232"/>
      <c r="I36" s="232"/>
      <c r="J36" s="232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3">
      <c r="C37" s="5" t="s">
        <v>36</v>
      </c>
      <c r="D37" s="5"/>
      <c r="E37" s="5"/>
      <c r="F37" s="213">
        <v>0</v>
      </c>
      <c r="G37" s="232">
        <v>4</v>
      </c>
      <c r="H37" s="214">
        <v>0</v>
      </c>
      <c r="I37" s="232">
        <v>8</v>
      </c>
      <c r="J37" s="232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3">
      <c r="C38" s="5" t="s">
        <v>37</v>
      </c>
      <c r="D38" s="5"/>
      <c r="E38" s="5"/>
      <c r="F38" s="231">
        <v>6</v>
      </c>
      <c r="G38" s="232">
        <v>8</v>
      </c>
      <c r="H38" s="232">
        <v>8</v>
      </c>
      <c r="I38" s="232">
        <v>12</v>
      </c>
      <c r="J38" s="232">
        <v>23</v>
      </c>
      <c r="K38" s="50"/>
      <c r="L38" s="126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3">
      <c r="E39" s="55"/>
      <c r="F39" s="241"/>
      <c r="G39" s="242"/>
      <c r="H39" s="242"/>
      <c r="I39" s="242"/>
      <c r="J39" s="242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3">
      <c r="C40" s="10" t="s">
        <v>16</v>
      </c>
      <c r="D40" s="12"/>
      <c r="E40" s="13"/>
      <c r="F40" s="233">
        <f>SUM(F37:F38)</f>
        <v>6</v>
      </c>
      <c r="G40" s="234">
        <f>SUM(G37:G38)</f>
        <v>12</v>
      </c>
      <c r="H40" s="234">
        <f>SUM(H37:H38)</f>
        <v>8</v>
      </c>
      <c r="I40" s="234">
        <f>SUM(I37:I38)</f>
        <v>20</v>
      </c>
      <c r="J40" s="234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3">
      <c r="C41" s="14" t="s">
        <v>371</v>
      </c>
      <c r="D41" s="14"/>
      <c r="E41" s="14"/>
      <c r="F41" s="226">
        <v>0</v>
      </c>
      <c r="G41" s="236">
        <v>4</v>
      </c>
      <c r="H41" s="227">
        <v>0</v>
      </c>
      <c r="I41" s="236">
        <v>8</v>
      </c>
      <c r="J41" s="236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3">
      <c r="C42" s="5"/>
      <c r="D42" s="5"/>
      <c r="E42" s="5"/>
      <c r="F42" s="231"/>
      <c r="G42" s="232"/>
      <c r="H42" s="232"/>
      <c r="I42" s="232"/>
      <c r="J42" s="232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3">
      <c r="E43" s="55"/>
      <c r="F43" s="241"/>
      <c r="G43" s="242"/>
      <c r="H43" s="242"/>
      <c r="I43" s="242"/>
      <c r="J43" s="242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3">
      <c r="C44" s="15" t="s">
        <v>38</v>
      </c>
      <c r="D44" s="16"/>
      <c r="E44" s="15"/>
      <c r="F44" s="245">
        <f ca="1">SUM(F16,F27,F31,F35,F40)</f>
        <v>6866</v>
      </c>
      <c r="G44" s="246">
        <f ca="1">SUM(G16,G27,G31,G35,G40)</f>
        <v>7322</v>
      </c>
      <c r="H44" s="246">
        <f ca="1">SUM(H16,H27,H31,H35,H40)</f>
        <v>6885</v>
      </c>
      <c r="I44" s="246">
        <f ca="1">SUM(I16,I27,I31,I35,I40)</f>
        <v>7251</v>
      </c>
      <c r="J44" s="246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3">
      <c r="C45" s="8"/>
      <c r="D45" s="5"/>
      <c r="E45" s="5"/>
      <c r="F45" s="231"/>
      <c r="G45" s="232"/>
      <c r="H45" s="232"/>
      <c r="I45" s="232"/>
      <c r="J45" s="232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 x14ac:dyDescent="0.4">
      <c r="C46" s="6" t="s">
        <v>39</v>
      </c>
      <c r="D46" s="5"/>
      <c r="E46" s="5"/>
      <c r="F46" s="231"/>
      <c r="G46" s="232"/>
      <c r="H46" s="232"/>
      <c r="I46" s="232"/>
      <c r="J46" s="232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3">
      <c r="C47" s="8" t="s">
        <v>40</v>
      </c>
      <c r="D47" s="5"/>
      <c r="E47" s="5"/>
      <c r="F47" s="231"/>
      <c r="G47" s="232"/>
      <c r="H47" s="232"/>
      <c r="I47" s="232"/>
      <c r="J47" s="232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3">
      <c r="C48" s="5" t="s">
        <v>41</v>
      </c>
      <c r="D48" s="5"/>
      <c r="E48" s="5"/>
      <c r="F48" s="231">
        <v>86</v>
      </c>
      <c r="G48" s="232">
        <v>96</v>
      </c>
      <c r="H48" s="232">
        <v>71</v>
      </c>
      <c r="I48" s="232">
        <v>69</v>
      </c>
      <c r="J48" s="232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3">
      <c r="C49" s="5" t="s">
        <v>42</v>
      </c>
      <c r="D49" s="5"/>
      <c r="E49" s="5"/>
      <c r="F49" s="231">
        <v>-26</v>
      </c>
      <c r="G49" s="232">
        <v>-30</v>
      </c>
      <c r="H49" s="232">
        <v>-20</v>
      </c>
      <c r="I49" s="232">
        <v>-17</v>
      </c>
      <c r="J49" s="232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3">
      <c r="C50" s="5" t="s">
        <v>43</v>
      </c>
      <c r="D50" s="5"/>
      <c r="E50" s="5"/>
      <c r="F50" s="231">
        <f>SUM(F48:F49)</f>
        <v>60</v>
      </c>
      <c r="G50" s="231">
        <f t="shared" ref="G50:J50" si="9">SUM(G48:G49)</f>
        <v>66</v>
      </c>
      <c r="H50" s="231">
        <f t="shared" si="9"/>
        <v>51</v>
      </c>
      <c r="I50" s="231">
        <f t="shared" si="9"/>
        <v>52</v>
      </c>
      <c r="J50" s="231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3">
      <c r="C51" s="5" t="s">
        <v>44</v>
      </c>
      <c r="D51" s="5"/>
      <c r="E51" s="5"/>
      <c r="F51" s="231">
        <v>99</v>
      </c>
      <c r="G51" s="232">
        <v>77</v>
      </c>
      <c r="H51" s="232">
        <v>91</v>
      </c>
      <c r="I51" s="232">
        <v>129</v>
      </c>
      <c r="J51" s="232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3">
      <c r="C52" s="5" t="s">
        <v>45</v>
      </c>
      <c r="D52" s="5"/>
      <c r="E52" s="5"/>
      <c r="F52" s="231">
        <v>22</v>
      </c>
      <c r="G52" s="232">
        <v>9</v>
      </c>
      <c r="H52" s="232">
        <v>1</v>
      </c>
      <c r="I52" s="232">
        <v>2</v>
      </c>
      <c r="J52" s="232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3">
      <c r="C53" s="8" t="s">
        <v>46</v>
      </c>
      <c r="D53" s="5"/>
      <c r="E53" s="5"/>
      <c r="F53" s="231">
        <v>181</v>
      </c>
      <c r="G53" s="232">
        <f t="shared" ref="G53" si="11">SUM(G51,G50,G52)</f>
        <v>152</v>
      </c>
      <c r="H53" s="232">
        <f>SUM(H51,H50,H52)</f>
        <v>143</v>
      </c>
      <c r="I53" s="232">
        <f>SUM(I51,I50,I52)</f>
        <v>183</v>
      </c>
      <c r="J53" s="232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3">
      <c r="C54" s="5" t="s">
        <v>47</v>
      </c>
      <c r="D54" s="5"/>
      <c r="E54" s="5"/>
      <c r="F54" s="231">
        <v>3</v>
      </c>
      <c r="G54" s="232">
        <v>7</v>
      </c>
      <c r="H54" s="232">
        <v>4</v>
      </c>
      <c r="I54" s="232">
        <v>4</v>
      </c>
      <c r="J54" s="232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3">
      <c r="C55" s="10" t="s">
        <v>16</v>
      </c>
      <c r="D55" s="12"/>
      <c r="E55" s="12"/>
      <c r="F55" s="233">
        <f t="shared" ref="F55:G55" si="12">SUM(F53,F54)</f>
        <v>184</v>
      </c>
      <c r="G55" s="234">
        <f t="shared" si="12"/>
        <v>159</v>
      </c>
      <c r="H55" s="234">
        <f>SUM(H53,H54)</f>
        <v>147</v>
      </c>
      <c r="I55" s="234">
        <f>SUM(I53,I54)</f>
        <v>187</v>
      </c>
      <c r="J55" s="234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3">
      <c r="C56" s="8" t="s">
        <v>48</v>
      </c>
      <c r="D56" s="5"/>
      <c r="E56" s="5"/>
      <c r="F56" s="231"/>
      <c r="G56" s="232"/>
      <c r="H56" s="232"/>
      <c r="I56" s="232"/>
      <c r="J56" s="232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3">
      <c r="C57" s="5" t="s">
        <v>49</v>
      </c>
      <c r="D57" s="5"/>
      <c r="E57" s="5"/>
      <c r="F57" s="231">
        <v>1066</v>
      </c>
      <c r="G57" s="232">
        <v>1054</v>
      </c>
      <c r="H57" s="232">
        <v>929</v>
      </c>
      <c r="I57" s="232">
        <v>1030</v>
      </c>
      <c r="J57" s="232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3">
      <c r="C58" s="5" t="s">
        <v>50</v>
      </c>
      <c r="D58" s="5"/>
      <c r="E58" s="5"/>
      <c r="F58" s="231">
        <v>734</v>
      </c>
      <c r="G58" s="232">
        <v>1120</v>
      </c>
      <c r="H58" s="232">
        <v>897</v>
      </c>
      <c r="I58" s="232">
        <v>914</v>
      </c>
      <c r="J58" s="232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3">
      <c r="C59" s="5" t="s">
        <v>51</v>
      </c>
      <c r="D59" s="5"/>
      <c r="E59" s="5"/>
      <c r="F59" s="231">
        <v>-315</v>
      </c>
      <c r="G59" s="232">
        <v>-353</v>
      </c>
      <c r="H59" s="232">
        <v>-155</v>
      </c>
      <c r="I59" s="232">
        <v>-163</v>
      </c>
      <c r="J59" s="232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3">
      <c r="C60" s="10" t="s">
        <v>16</v>
      </c>
      <c r="D60" s="12"/>
      <c r="E60" s="12"/>
      <c r="F60" s="233">
        <f t="shared" ref="F60:G60" si="16">SUM(F57:F59)</f>
        <v>1485</v>
      </c>
      <c r="G60" s="234">
        <f t="shared" si="16"/>
        <v>1821</v>
      </c>
      <c r="H60" s="234">
        <f>SUM(H57:H59)</f>
        <v>1671</v>
      </c>
      <c r="I60" s="234">
        <f>SUM(I57:I59)</f>
        <v>1781</v>
      </c>
      <c r="J60" s="234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3">
      <c r="C61" s="8" t="s">
        <v>52</v>
      </c>
      <c r="D61" s="5"/>
      <c r="E61" s="5"/>
      <c r="F61" s="231"/>
      <c r="G61" s="232"/>
      <c r="H61" s="232"/>
      <c r="I61" s="232"/>
      <c r="J61" s="232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3">
      <c r="C62" s="8" t="s">
        <v>53</v>
      </c>
      <c r="D62" s="5" t="s">
        <v>54</v>
      </c>
      <c r="E62" s="5"/>
      <c r="F62" s="217">
        <v>55</v>
      </c>
      <c r="G62" s="218">
        <v>265</v>
      </c>
      <c r="H62" s="218">
        <v>96</v>
      </c>
      <c r="I62" s="218">
        <v>163</v>
      </c>
      <c r="J62" s="218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3">
      <c r="C63" s="8" t="s">
        <v>55</v>
      </c>
      <c r="D63" s="5"/>
      <c r="E63" s="5"/>
      <c r="F63" s="217">
        <v>128</v>
      </c>
      <c r="G63" s="218">
        <v>124</v>
      </c>
      <c r="H63" s="218">
        <v>120</v>
      </c>
      <c r="I63" s="218">
        <v>150</v>
      </c>
      <c r="J63" s="218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3">
      <c r="C64" s="5" t="s">
        <v>56</v>
      </c>
      <c r="D64" s="5"/>
      <c r="E64" s="5"/>
      <c r="F64" s="217">
        <v>52</v>
      </c>
      <c r="G64" s="218">
        <v>40</v>
      </c>
      <c r="H64" s="218">
        <v>49</v>
      </c>
      <c r="I64" s="218">
        <v>46</v>
      </c>
      <c r="J64" s="218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3">
      <c r="C65" s="5" t="s">
        <v>57</v>
      </c>
      <c r="D65" s="5"/>
      <c r="E65" s="5"/>
      <c r="F65" s="217">
        <v>7</v>
      </c>
      <c r="G65" s="218">
        <v>11</v>
      </c>
      <c r="H65" s="218">
        <v>25</v>
      </c>
      <c r="I65" s="218">
        <v>35</v>
      </c>
      <c r="J65" s="218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3">
      <c r="C66" s="5" t="s">
        <v>58</v>
      </c>
      <c r="D66" s="5"/>
      <c r="E66" s="5"/>
      <c r="F66" s="217">
        <v>1</v>
      </c>
      <c r="G66" s="218">
        <v>1</v>
      </c>
      <c r="H66" s="218">
        <v>1</v>
      </c>
      <c r="I66" s="218">
        <v>1</v>
      </c>
      <c r="J66" s="218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3">
      <c r="C67" s="5" t="s">
        <v>59</v>
      </c>
      <c r="D67" s="5"/>
      <c r="E67" s="5"/>
      <c r="F67" s="217">
        <v>4</v>
      </c>
      <c r="G67" s="218">
        <v>12</v>
      </c>
      <c r="H67" s="218">
        <v>6</v>
      </c>
      <c r="I67" s="218">
        <v>10</v>
      </c>
      <c r="J67" s="218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3">
      <c r="C68" s="5" t="s">
        <v>60</v>
      </c>
      <c r="D68" s="5"/>
      <c r="E68" s="5"/>
      <c r="F68" s="217">
        <v>12</v>
      </c>
      <c r="G68" s="218">
        <v>14</v>
      </c>
      <c r="H68" s="218">
        <v>14</v>
      </c>
      <c r="I68" s="218">
        <v>22</v>
      </c>
      <c r="J68" s="218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3">
      <c r="C69" s="5" t="s">
        <v>61</v>
      </c>
      <c r="D69" s="5"/>
      <c r="E69" s="5"/>
      <c r="F69" s="217">
        <v>19</v>
      </c>
      <c r="G69" s="218">
        <v>9</v>
      </c>
      <c r="H69" s="218">
        <v>2</v>
      </c>
      <c r="I69" s="218">
        <v>2</v>
      </c>
      <c r="J69" s="218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3">
      <c r="C70" s="5" t="s">
        <v>62</v>
      </c>
      <c r="D70" s="5"/>
      <c r="E70" s="5"/>
      <c r="F70" s="217">
        <v>3</v>
      </c>
      <c r="G70" s="218">
        <v>3</v>
      </c>
      <c r="H70" s="218">
        <v>3</v>
      </c>
      <c r="I70" s="218">
        <v>3</v>
      </c>
      <c r="J70" s="218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3">
      <c r="C71" s="5" t="s">
        <v>63</v>
      </c>
      <c r="D71" s="5"/>
      <c r="E71" s="5"/>
      <c r="F71" s="217">
        <v>1</v>
      </c>
      <c r="G71" s="218">
        <v>0</v>
      </c>
      <c r="H71" s="218">
        <v>1</v>
      </c>
      <c r="I71" s="218">
        <v>1</v>
      </c>
      <c r="J71" s="218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3">
      <c r="C72" s="5" t="s">
        <v>64</v>
      </c>
      <c r="D72" s="5"/>
      <c r="E72" s="5"/>
      <c r="F72" s="217">
        <v>1</v>
      </c>
      <c r="G72" s="218">
        <v>1</v>
      </c>
      <c r="H72" s="218">
        <v>1</v>
      </c>
      <c r="I72" s="218">
        <v>1</v>
      </c>
      <c r="J72" s="218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 x14ac:dyDescent="0.35">
      <c r="C73" s="58" t="s">
        <v>162</v>
      </c>
      <c r="D73" s="5"/>
      <c r="E73" s="5"/>
      <c r="F73" s="217">
        <v>1</v>
      </c>
      <c r="G73" s="218">
        <v>0</v>
      </c>
      <c r="H73" s="218">
        <v>0</v>
      </c>
      <c r="I73" s="218">
        <v>0</v>
      </c>
      <c r="J73" s="218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3">
      <c r="C74" s="5" t="s">
        <v>65</v>
      </c>
      <c r="D74" s="5"/>
      <c r="E74" s="5"/>
      <c r="F74" s="217">
        <v>12</v>
      </c>
      <c r="G74" s="218">
        <v>13</v>
      </c>
      <c r="H74" s="218">
        <v>0</v>
      </c>
      <c r="I74" s="218">
        <v>0</v>
      </c>
      <c r="J74" s="218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3">
      <c r="C75" s="5" t="s">
        <v>66</v>
      </c>
      <c r="D75" s="5"/>
      <c r="E75" s="5"/>
      <c r="F75" s="217">
        <v>5</v>
      </c>
      <c r="G75" s="218">
        <v>5</v>
      </c>
      <c r="H75" s="218">
        <v>3</v>
      </c>
      <c r="I75" s="218">
        <v>0</v>
      </c>
      <c r="J75" s="218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3">
      <c r="C76" s="5" t="s">
        <v>67</v>
      </c>
      <c r="D76" s="5"/>
      <c r="E76" s="5"/>
      <c r="F76" s="217">
        <v>1</v>
      </c>
      <c r="G76" s="218">
        <v>1</v>
      </c>
      <c r="H76" s="218">
        <v>1</v>
      </c>
      <c r="I76" s="218">
        <v>2</v>
      </c>
      <c r="J76" s="218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3">
      <c r="C77" s="5" t="s">
        <v>68</v>
      </c>
      <c r="D77" s="5"/>
      <c r="E77" s="5"/>
      <c r="F77" s="217">
        <v>0</v>
      </c>
      <c r="G77" s="218">
        <v>3</v>
      </c>
      <c r="H77" s="218">
        <v>3</v>
      </c>
      <c r="I77" s="218">
        <v>2</v>
      </c>
      <c r="J77" s="218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3">
      <c r="C78" s="5" t="s">
        <v>69</v>
      </c>
      <c r="D78" s="5"/>
      <c r="E78" s="5"/>
      <c r="F78" s="217">
        <v>0</v>
      </c>
      <c r="G78" s="218">
        <v>3</v>
      </c>
      <c r="H78" s="218">
        <v>0</v>
      </c>
      <c r="I78" s="218">
        <v>0</v>
      </c>
      <c r="J78" s="218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3">
      <c r="C79" s="5" t="s">
        <v>70</v>
      </c>
      <c r="D79" s="5"/>
      <c r="E79" s="5"/>
      <c r="F79" s="217">
        <v>9</v>
      </c>
      <c r="G79" s="218">
        <v>8</v>
      </c>
      <c r="H79" s="218">
        <v>11</v>
      </c>
      <c r="I79" s="218">
        <v>25</v>
      </c>
      <c r="J79" s="218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3">
      <c r="C80" s="10" t="s">
        <v>16</v>
      </c>
      <c r="D80" s="11"/>
      <c r="E80" s="12"/>
      <c r="F80" s="233">
        <f>SUM(F62,F63)</f>
        <v>183</v>
      </c>
      <c r="G80" s="234">
        <f>SUM(G62,G63)</f>
        <v>389</v>
      </c>
      <c r="H80" s="234">
        <f>SUM(H62,H63)</f>
        <v>216</v>
      </c>
      <c r="I80" s="234">
        <f>SUM(I62,I63)</f>
        <v>313</v>
      </c>
      <c r="J80" s="234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3">
      <c r="C81" s="8" t="s">
        <v>71</v>
      </c>
      <c r="D81" s="5"/>
      <c r="E81" s="5"/>
      <c r="F81" s="231"/>
      <c r="G81" s="232"/>
      <c r="H81" s="232"/>
      <c r="I81" s="232"/>
      <c r="J81" s="232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3">
      <c r="C82" s="5" t="s">
        <v>72</v>
      </c>
      <c r="D82" s="5"/>
      <c r="E82" s="5"/>
      <c r="F82" s="217">
        <v>165</v>
      </c>
      <c r="G82" s="218">
        <v>206</v>
      </c>
      <c r="H82" s="218">
        <v>7</v>
      </c>
      <c r="I82" s="218">
        <v>15</v>
      </c>
      <c r="J82" s="218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3">
      <c r="C83" s="5" t="s">
        <v>73</v>
      </c>
      <c r="D83" s="5"/>
      <c r="E83" s="5"/>
      <c r="F83" s="217">
        <v>6</v>
      </c>
      <c r="G83" s="218">
        <v>10</v>
      </c>
      <c r="H83" s="218">
        <v>1</v>
      </c>
      <c r="I83" s="218">
        <v>1</v>
      </c>
      <c r="J83" s="218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3">
      <c r="C84" s="5" t="s">
        <v>74</v>
      </c>
      <c r="D84" s="5"/>
      <c r="E84" s="5"/>
      <c r="F84" s="217">
        <v>0</v>
      </c>
      <c r="G84" s="218">
        <v>2</v>
      </c>
      <c r="H84" s="218">
        <v>0</v>
      </c>
      <c r="I84" s="218">
        <v>0</v>
      </c>
      <c r="J84" s="218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3">
      <c r="C85" s="10" t="s">
        <v>16</v>
      </c>
      <c r="D85" s="11"/>
      <c r="E85" s="11"/>
      <c r="F85" s="233">
        <f>SUM(F82:F84)</f>
        <v>171</v>
      </c>
      <c r="G85" s="234">
        <f>SUM(G82:G84)</f>
        <v>218</v>
      </c>
      <c r="H85" s="234">
        <f>SUM(H82:H84)</f>
        <v>8</v>
      </c>
      <c r="I85" s="234">
        <f>SUM(I82:I84)</f>
        <v>16</v>
      </c>
      <c r="J85" s="234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3">
      <c r="C86" s="14" t="s">
        <v>371</v>
      </c>
      <c r="D86" s="14"/>
      <c r="E86" s="14"/>
      <c r="F86" s="235">
        <v>171</v>
      </c>
      <c r="G86" s="236">
        <v>218</v>
      </c>
      <c r="H86" s="236">
        <v>8</v>
      </c>
      <c r="I86" s="236">
        <v>16</v>
      </c>
      <c r="J86" s="236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3">
      <c r="C87" s="8" t="s">
        <v>75</v>
      </c>
      <c r="D87" s="5" t="s">
        <v>76</v>
      </c>
      <c r="E87" s="5"/>
      <c r="F87" s="243">
        <v>71</v>
      </c>
      <c r="G87" s="244">
        <v>70</v>
      </c>
      <c r="H87" s="244">
        <v>107</v>
      </c>
      <c r="I87" s="244">
        <v>49</v>
      </c>
      <c r="J87" s="244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3">
      <c r="C88" s="8" t="s">
        <v>77</v>
      </c>
      <c r="D88" s="5" t="s">
        <v>78</v>
      </c>
      <c r="E88" s="5"/>
      <c r="F88" s="243">
        <v>636</v>
      </c>
      <c r="G88" s="244">
        <v>402</v>
      </c>
      <c r="H88" s="244">
        <v>691</v>
      </c>
      <c r="I88" s="244">
        <v>624</v>
      </c>
      <c r="J88" s="244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3">
      <c r="C89" s="15" t="s">
        <v>79</v>
      </c>
      <c r="D89" s="16"/>
      <c r="E89" s="16"/>
      <c r="F89" s="245">
        <f>SUM(F88,F87,F85,F80,F60,F55,)</f>
        <v>2730</v>
      </c>
      <c r="G89" s="246">
        <f>SUM(G88,G87,G85,G80,G60,G55,)</f>
        <v>3059</v>
      </c>
      <c r="H89" s="246">
        <f>SUM(H88,H87,H85,H80,H60,H55,)</f>
        <v>2840</v>
      </c>
      <c r="I89" s="246">
        <f>SUM(I88,I87,I85,I80,I60,I55,)</f>
        <v>2970</v>
      </c>
      <c r="J89" s="246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3">
      <c r="C90" s="17"/>
      <c r="D90" s="17"/>
      <c r="E90" s="5"/>
      <c r="F90" s="247"/>
      <c r="G90" s="232"/>
      <c r="H90" s="232"/>
      <c r="I90" s="232"/>
      <c r="J90" s="232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3">
      <c r="C91" s="8" t="s">
        <v>80</v>
      </c>
      <c r="D91" s="5" t="s">
        <v>81</v>
      </c>
      <c r="E91" s="5"/>
      <c r="F91" s="243">
        <v>205</v>
      </c>
      <c r="G91" s="244">
        <v>6</v>
      </c>
      <c r="H91" s="244">
        <v>224</v>
      </c>
      <c r="I91" s="244">
        <v>112</v>
      </c>
      <c r="J91" s="244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3">
      <c r="C92" s="17"/>
      <c r="D92" s="17"/>
      <c r="E92" s="5"/>
      <c r="F92" s="231"/>
      <c r="G92" s="232"/>
      <c r="H92" s="232"/>
      <c r="I92" s="232"/>
      <c r="J92" s="232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3">
      <c r="C93" s="18" t="s">
        <v>82</v>
      </c>
      <c r="D93" s="19" t="s">
        <v>83</v>
      </c>
      <c r="E93" s="20"/>
      <c r="F93" s="248">
        <f ca="1">SUM(F91,F89,F44)</f>
        <v>9801</v>
      </c>
      <c r="G93" s="249">
        <f ca="1">SUM(G91,G89,G44)</f>
        <v>10387</v>
      </c>
      <c r="H93" s="249">
        <f ca="1">SUM(H91,H89,H44)</f>
        <v>9949</v>
      </c>
      <c r="I93" s="249">
        <f ca="1">SUM(I91,I89,I44)</f>
        <v>10333</v>
      </c>
      <c r="J93" s="249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3">
      <c r="C94" s="8"/>
      <c r="D94" s="21"/>
      <c r="E94" s="5"/>
      <c r="F94" s="231"/>
      <c r="G94" s="232"/>
      <c r="H94" s="232"/>
      <c r="I94" s="232"/>
      <c r="J94" s="232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4">
      <c r="C95" s="141" t="s">
        <v>84</v>
      </c>
      <c r="D95" s="22"/>
      <c r="E95" s="22"/>
      <c r="F95" s="250"/>
      <c r="G95" s="232"/>
      <c r="H95" s="232"/>
      <c r="I95" s="232"/>
      <c r="J95" s="232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 x14ac:dyDescent="0.4">
      <c r="C96" s="6" t="s">
        <v>85</v>
      </c>
      <c r="D96" s="5" t="s">
        <v>86</v>
      </c>
      <c r="E96" s="5"/>
      <c r="F96" s="231"/>
      <c r="G96" s="232"/>
      <c r="H96" s="232"/>
      <c r="I96" s="232"/>
      <c r="J96" s="232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3">
      <c r="C97" s="5" t="s">
        <v>87</v>
      </c>
      <c r="D97" s="5" t="s">
        <v>88</v>
      </c>
      <c r="E97" s="5"/>
      <c r="F97" s="231">
        <v>1629</v>
      </c>
      <c r="G97" s="232">
        <v>1629</v>
      </c>
      <c r="H97" s="232">
        <v>1629</v>
      </c>
      <c r="I97" s="232">
        <v>1629</v>
      </c>
      <c r="J97" s="232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3">
      <c r="C98" s="5" t="s">
        <v>161</v>
      </c>
      <c r="D98" s="5" t="s">
        <v>89</v>
      </c>
      <c r="E98" s="5"/>
      <c r="F98" s="231">
        <v>-61</v>
      </c>
      <c r="G98" s="232">
        <v>-54</v>
      </c>
      <c r="H98" s="232">
        <v>-54</v>
      </c>
      <c r="I98" s="232">
        <v>-54</v>
      </c>
      <c r="J98" s="232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3">
      <c r="C99" s="5" t="s">
        <v>160</v>
      </c>
      <c r="D99" s="5" t="s">
        <v>90</v>
      </c>
      <c r="E99" s="5"/>
      <c r="F99" s="231">
        <v>1005</v>
      </c>
      <c r="G99" s="232">
        <v>919</v>
      </c>
      <c r="H99" s="232">
        <v>1010</v>
      </c>
      <c r="I99" s="232">
        <v>1216</v>
      </c>
      <c r="J99" s="232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3">
      <c r="C100" s="14" t="s">
        <v>17</v>
      </c>
      <c r="D100" s="14"/>
      <c r="E100" s="14"/>
      <c r="F100" s="235"/>
      <c r="G100" s="236"/>
      <c r="H100" s="236"/>
      <c r="I100" s="236"/>
      <c r="J100" s="236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 x14ac:dyDescent="0.3">
      <c r="C101" s="23" t="s">
        <v>91</v>
      </c>
      <c r="D101" s="14"/>
      <c r="E101" s="14"/>
      <c r="F101" s="235">
        <v>-33</v>
      </c>
      <c r="G101" s="236">
        <v>-2</v>
      </c>
      <c r="H101" s="236">
        <v>-27</v>
      </c>
      <c r="I101" s="236">
        <v>-9</v>
      </c>
      <c r="J101" s="236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3">
      <c r="C102" s="14" t="s">
        <v>92</v>
      </c>
      <c r="D102" s="14"/>
      <c r="E102" s="14"/>
      <c r="F102" s="235">
        <v>8</v>
      </c>
      <c r="G102" s="236">
        <v>0</v>
      </c>
      <c r="H102" s="236">
        <v>7</v>
      </c>
      <c r="I102" s="236">
        <v>2</v>
      </c>
      <c r="J102" s="236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3">
      <c r="C103" s="14" t="s">
        <v>93</v>
      </c>
      <c r="D103" s="5"/>
      <c r="E103" s="5"/>
      <c r="F103" s="231">
        <v>-25</v>
      </c>
      <c r="G103" s="232">
        <f>SUM(G101:G102)</f>
        <v>-2</v>
      </c>
      <c r="H103" s="232">
        <f>SUM(H101:H102)</f>
        <v>-20</v>
      </c>
      <c r="I103" s="232">
        <f>SUM(I101:I102)</f>
        <v>-7</v>
      </c>
      <c r="J103" s="232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3">
      <c r="C104" s="14" t="s">
        <v>94</v>
      </c>
      <c r="D104" s="5"/>
      <c r="E104" s="5"/>
      <c r="F104" s="231">
        <v>-64</v>
      </c>
      <c r="G104" s="232">
        <v>-91</v>
      </c>
      <c r="H104" s="232">
        <v>-72</v>
      </c>
      <c r="I104" s="232">
        <v>-70</v>
      </c>
      <c r="J104" s="232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3">
      <c r="C105" s="14" t="s">
        <v>92</v>
      </c>
      <c r="D105" s="5"/>
      <c r="E105" s="5"/>
      <c r="F105" s="231">
        <v>16</v>
      </c>
      <c r="G105" s="232">
        <v>26</v>
      </c>
      <c r="H105" s="232">
        <v>19</v>
      </c>
      <c r="I105" s="232">
        <v>18</v>
      </c>
      <c r="J105" s="232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3">
      <c r="C106" s="14" t="s">
        <v>95</v>
      </c>
      <c r="D106" s="5"/>
      <c r="E106" s="5"/>
      <c r="F106" s="231">
        <v>-48</v>
      </c>
      <c r="G106" s="232">
        <f>SUM(G104:G105)</f>
        <v>-65</v>
      </c>
      <c r="H106" s="232">
        <f>SUM(H104:H105)</f>
        <v>-53</v>
      </c>
      <c r="I106" s="232">
        <f>SUM(I104:I105)</f>
        <v>-52</v>
      </c>
      <c r="J106" s="232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3">
      <c r="C107" s="5" t="s">
        <v>96</v>
      </c>
      <c r="D107" s="5" t="s">
        <v>97</v>
      </c>
      <c r="E107" s="5"/>
      <c r="F107" s="231">
        <v>73</v>
      </c>
      <c r="G107" s="232">
        <v>232</v>
      </c>
      <c r="H107" s="232">
        <v>293</v>
      </c>
      <c r="I107" s="232">
        <v>344</v>
      </c>
      <c r="J107" s="232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3">
      <c r="C108" s="15" t="s">
        <v>98</v>
      </c>
      <c r="D108" s="16" t="s">
        <v>99</v>
      </c>
      <c r="E108" s="16"/>
      <c r="F108" s="245">
        <f t="shared" ref="F108:G108" si="29">SUM(F97,F98,F99,F107,)</f>
        <v>2646</v>
      </c>
      <c r="G108" s="246">
        <f t="shared" si="29"/>
        <v>2726</v>
      </c>
      <c r="H108" s="246">
        <f>SUM(H97,H98,H99,H107,)</f>
        <v>2878</v>
      </c>
      <c r="I108" s="246">
        <f>SUM(I97,I98,I99,I107,)</f>
        <v>3135</v>
      </c>
      <c r="J108" s="246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3">
      <c r="C109" s="8" t="s">
        <v>100</v>
      </c>
      <c r="D109" s="5" t="s">
        <v>101</v>
      </c>
      <c r="E109" s="5"/>
      <c r="F109" s="231">
        <v>613</v>
      </c>
      <c r="G109" s="232">
        <v>553</v>
      </c>
      <c r="H109" s="232">
        <v>135</v>
      </c>
      <c r="I109" s="232">
        <v>388</v>
      </c>
      <c r="J109" s="232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3">
      <c r="C110" s="24" t="s">
        <v>102</v>
      </c>
      <c r="D110" s="25"/>
      <c r="E110" s="24"/>
      <c r="F110" s="251">
        <f t="shared" ref="F110:G110" si="30">SUM(F109,F108)</f>
        <v>3259</v>
      </c>
      <c r="G110" s="252">
        <f t="shared" si="30"/>
        <v>3279</v>
      </c>
      <c r="H110" s="252">
        <f>SUM(H109,H108)</f>
        <v>3013</v>
      </c>
      <c r="I110" s="252">
        <f>SUM(I109,I108)</f>
        <v>3523</v>
      </c>
      <c r="J110" s="252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3">
      <c r="C111" s="5"/>
      <c r="D111" s="5"/>
      <c r="E111" s="5"/>
      <c r="F111" s="231"/>
      <c r="G111" s="232"/>
      <c r="H111" s="232"/>
      <c r="I111" s="232"/>
      <c r="J111" s="232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 x14ac:dyDescent="0.4">
      <c r="C112" s="6" t="s">
        <v>103</v>
      </c>
      <c r="D112" s="5"/>
      <c r="E112" s="5"/>
      <c r="F112" s="231"/>
      <c r="G112" s="232"/>
      <c r="H112" s="232"/>
      <c r="I112" s="232"/>
      <c r="J112" s="232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 x14ac:dyDescent="0.35">
      <c r="C113" s="131" t="s">
        <v>104</v>
      </c>
      <c r="D113" s="5"/>
      <c r="E113" s="5"/>
      <c r="F113" s="231"/>
      <c r="G113" s="232"/>
      <c r="H113" s="232"/>
      <c r="I113" s="232"/>
      <c r="J113" s="232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3">
      <c r="C114" s="8" t="s">
        <v>105</v>
      </c>
      <c r="D114" s="5"/>
      <c r="E114" s="5"/>
      <c r="F114" s="231"/>
      <c r="G114" s="232"/>
      <c r="H114" s="232"/>
      <c r="I114" s="232"/>
      <c r="J114" s="232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3">
      <c r="C115" s="5" t="s">
        <v>106</v>
      </c>
      <c r="D115" s="5"/>
      <c r="E115" s="5"/>
      <c r="F115" s="231">
        <v>2431</v>
      </c>
      <c r="G115" s="232">
        <v>2480</v>
      </c>
      <c r="H115" s="232">
        <v>2650</v>
      </c>
      <c r="I115" s="232">
        <v>2180</v>
      </c>
      <c r="J115" s="232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3">
      <c r="C116" s="5" t="s">
        <v>107</v>
      </c>
      <c r="D116" s="5"/>
      <c r="E116" s="5"/>
      <c r="F116" s="231">
        <v>657</v>
      </c>
      <c r="G116" s="232">
        <v>946</v>
      </c>
      <c r="H116" s="232">
        <v>807</v>
      </c>
      <c r="I116" s="232">
        <v>755</v>
      </c>
      <c r="J116" s="232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3">
      <c r="C117" s="5" t="s">
        <v>108</v>
      </c>
      <c r="D117" s="5"/>
      <c r="E117" s="5"/>
      <c r="F117" s="231">
        <v>1</v>
      </c>
      <c r="G117" s="232">
        <v>5</v>
      </c>
      <c r="H117" s="232">
        <v>40</v>
      </c>
      <c r="I117" s="232">
        <v>46</v>
      </c>
      <c r="J117" s="232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3">
      <c r="C118" s="5" t="s">
        <v>109</v>
      </c>
      <c r="D118" s="5"/>
      <c r="E118" s="5"/>
      <c r="F118" s="213">
        <v>0</v>
      </c>
      <c r="G118" s="232">
        <v>5</v>
      </c>
      <c r="H118" s="232">
        <v>4</v>
      </c>
      <c r="I118" s="232">
        <v>3</v>
      </c>
      <c r="J118" s="232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3">
      <c r="C119" s="10" t="s">
        <v>110</v>
      </c>
      <c r="D119" s="12"/>
      <c r="E119" s="12"/>
      <c r="F119" s="233">
        <f t="shared" ref="F119:G119" si="33">SUM(F115:F118)</f>
        <v>3089</v>
      </c>
      <c r="G119" s="234">
        <f t="shared" si="33"/>
        <v>3436</v>
      </c>
      <c r="H119" s="234">
        <f>SUM(H115:H118)</f>
        <v>3501</v>
      </c>
      <c r="I119" s="234">
        <f>SUM(I115:I118)</f>
        <v>2984</v>
      </c>
      <c r="J119" s="234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3">
      <c r="C120" s="8" t="s">
        <v>111</v>
      </c>
      <c r="D120" s="5"/>
      <c r="E120" s="5"/>
      <c r="F120" s="231"/>
      <c r="G120" s="232"/>
      <c r="H120" s="232"/>
      <c r="I120" s="232"/>
      <c r="J120" s="232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3">
      <c r="C121" s="5" t="s">
        <v>112</v>
      </c>
      <c r="D121" s="5"/>
      <c r="E121" s="5"/>
      <c r="F121" s="231">
        <v>164</v>
      </c>
      <c r="G121" s="232">
        <v>176</v>
      </c>
      <c r="H121" s="232">
        <v>168</v>
      </c>
      <c r="I121" s="232">
        <v>165</v>
      </c>
      <c r="J121" s="232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3">
      <c r="C122" s="5" t="s">
        <v>113</v>
      </c>
      <c r="D122" s="5"/>
      <c r="E122" s="5"/>
      <c r="F122" s="231">
        <v>168</v>
      </c>
      <c r="G122" s="232">
        <v>189</v>
      </c>
      <c r="H122" s="232">
        <v>151</v>
      </c>
      <c r="I122" s="232">
        <v>149</v>
      </c>
      <c r="J122" s="232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3">
      <c r="C123" s="10" t="s">
        <v>110</v>
      </c>
      <c r="D123" s="12"/>
      <c r="E123" s="12"/>
      <c r="F123" s="233">
        <f t="shared" ref="F123:G123" si="35">SUM(F121:F122)</f>
        <v>332</v>
      </c>
      <c r="G123" s="234">
        <f t="shared" si="35"/>
        <v>365</v>
      </c>
      <c r="H123" s="234">
        <f>SUM(H121:H122)</f>
        <v>319</v>
      </c>
      <c r="I123" s="234">
        <f>SUM(I121:I122)</f>
        <v>314</v>
      </c>
      <c r="J123" s="234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3">
      <c r="C124" s="8" t="s">
        <v>114</v>
      </c>
      <c r="D124" s="5"/>
      <c r="E124" s="5"/>
      <c r="F124" s="231"/>
      <c r="G124" s="232"/>
      <c r="H124" s="232"/>
      <c r="I124" s="232"/>
      <c r="J124" s="232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3">
      <c r="C125" s="5" t="s">
        <v>115</v>
      </c>
      <c r="D125" s="5"/>
      <c r="E125" s="5"/>
      <c r="F125" s="231">
        <v>170</v>
      </c>
      <c r="G125" s="232">
        <v>210</v>
      </c>
      <c r="H125" s="232">
        <v>226</v>
      </c>
      <c r="I125" s="232">
        <v>238</v>
      </c>
      <c r="J125" s="232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3">
      <c r="C126" s="5" t="s">
        <v>116</v>
      </c>
      <c r="D126" s="5"/>
      <c r="E126" s="5"/>
      <c r="F126" s="231">
        <v>145</v>
      </c>
      <c r="G126" s="232">
        <v>188</v>
      </c>
      <c r="H126" s="232">
        <v>188</v>
      </c>
      <c r="I126" s="232">
        <v>196</v>
      </c>
      <c r="J126" s="232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3">
      <c r="C127" s="5" t="s">
        <v>117</v>
      </c>
      <c r="D127" s="5"/>
      <c r="E127" s="5"/>
      <c r="F127" s="231">
        <v>59</v>
      </c>
      <c r="G127" s="232">
        <v>48</v>
      </c>
      <c r="H127" s="232">
        <v>50</v>
      </c>
      <c r="I127" s="232">
        <v>34</v>
      </c>
      <c r="J127" s="232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3">
      <c r="C128" s="5" t="s">
        <v>118</v>
      </c>
      <c r="D128" s="5"/>
      <c r="E128" s="5"/>
      <c r="F128" s="231">
        <v>131</v>
      </c>
      <c r="G128" s="232">
        <v>111</v>
      </c>
      <c r="H128" s="232">
        <v>61</v>
      </c>
      <c r="I128" s="232">
        <v>56</v>
      </c>
      <c r="J128" s="232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3">
      <c r="C129" s="5" t="s">
        <v>119</v>
      </c>
      <c r="D129" s="5"/>
      <c r="E129" s="5"/>
      <c r="F129" s="231">
        <v>71</v>
      </c>
      <c r="G129" s="232">
        <v>114</v>
      </c>
      <c r="H129" s="232">
        <v>100</v>
      </c>
      <c r="I129" s="232">
        <v>118</v>
      </c>
      <c r="J129" s="232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3">
      <c r="C130" s="10" t="s">
        <v>110</v>
      </c>
      <c r="D130" s="12"/>
      <c r="E130" s="12"/>
      <c r="F130" s="233">
        <f t="shared" ref="F130:G130" si="38">SUM(F125:F129)</f>
        <v>576</v>
      </c>
      <c r="G130" s="234">
        <f t="shared" si="38"/>
        <v>671</v>
      </c>
      <c r="H130" s="234">
        <f>SUM(H125:H129)</f>
        <v>625</v>
      </c>
      <c r="I130" s="234">
        <f>SUM(I125:I129)</f>
        <v>642</v>
      </c>
      <c r="J130" s="234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3">
      <c r="C131" s="8" t="s">
        <v>120</v>
      </c>
      <c r="D131" s="5"/>
      <c r="E131" s="5"/>
      <c r="F131" s="231"/>
      <c r="G131" s="232"/>
      <c r="H131" s="232"/>
      <c r="I131" s="232"/>
      <c r="J131" s="232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3">
      <c r="C132" s="5" t="s">
        <v>121</v>
      </c>
      <c r="D132" s="5"/>
      <c r="E132" s="5"/>
      <c r="F132" s="231">
        <v>72</v>
      </c>
      <c r="G132" s="232">
        <v>90</v>
      </c>
      <c r="H132" s="232">
        <v>125</v>
      </c>
      <c r="I132" s="232">
        <v>134</v>
      </c>
      <c r="J132" s="232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3">
      <c r="C133" s="5" t="s">
        <v>36</v>
      </c>
      <c r="D133" s="5"/>
      <c r="E133" s="5"/>
      <c r="F133" s="231">
        <v>27</v>
      </c>
      <c r="G133" s="232">
        <v>19</v>
      </c>
      <c r="H133" s="232">
        <v>23</v>
      </c>
      <c r="I133" s="232">
        <v>14</v>
      </c>
      <c r="J133" s="232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3">
      <c r="C134" s="10" t="s">
        <v>110</v>
      </c>
      <c r="D134" s="12"/>
      <c r="E134" s="12"/>
      <c r="F134" s="233">
        <f t="shared" ref="F134:G134" si="42">SUM(F132:F133)</f>
        <v>99</v>
      </c>
      <c r="G134" s="234">
        <f t="shared" si="42"/>
        <v>109</v>
      </c>
      <c r="H134" s="234">
        <f>SUM(H132:H133)</f>
        <v>148</v>
      </c>
      <c r="I134" s="234">
        <f>SUM(I132:I133)</f>
        <v>148</v>
      </c>
      <c r="J134" s="234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3">
      <c r="C135" s="15" t="s">
        <v>122</v>
      </c>
      <c r="D135" s="16"/>
      <c r="E135" s="16"/>
      <c r="F135" s="245">
        <f t="shared" ref="F135:G135" si="43">SUM(F134,F130,F123,F119)</f>
        <v>4096</v>
      </c>
      <c r="G135" s="246">
        <f t="shared" si="43"/>
        <v>4581</v>
      </c>
      <c r="H135" s="246">
        <f>SUM(H134,H130,H123,H119)</f>
        <v>4593</v>
      </c>
      <c r="I135" s="246">
        <f>SUM(I134,I130,I123,I119)</f>
        <v>4088</v>
      </c>
      <c r="J135" s="246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3">
      <c r="C136" s="8"/>
      <c r="D136" s="5"/>
      <c r="E136" s="5"/>
      <c r="F136" s="231"/>
      <c r="G136" s="232"/>
      <c r="H136" s="232"/>
      <c r="I136" s="232"/>
      <c r="J136" s="232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 x14ac:dyDescent="0.35">
      <c r="C137" s="131" t="s">
        <v>123</v>
      </c>
      <c r="D137" s="5"/>
      <c r="E137" s="5"/>
      <c r="F137" s="231"/>
      <c r="G137" s="232"/>
      <c r="H137" s="232"/>
      <c r="I137" s="232"/>
      <c r="J137" s="232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3">
      <c r="C138" s="8" t="s">
        <v>124</v>
      </c>
      <c r="D138" s="5"/>
      <c r="E138" s="5"/>
      <c r="F138" s="231"/>
      <c r="G138" s="232"/>
      <c r="H138" s="232"/>
      <c r="I138" s="232"/>
      <c r="J138" s="232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3">
      <c r="C139" s="5" t="s">
        <v>125</v>
      </c>
      <c r="D139" s="5"/>
      <c r="E139" s="5"/>
      <c r="F139" s="231">
        <v>5</v>
      </c>
      <c r="G139" s="232">
        <v>3</v>
      </c>
      <c r="H139" s="232">
        <v>2</v>
      </c>
      <c r="I139" s="232">
        <v>3</v>
      </c>
      <c r="J139" s="232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3">
      <c r="C140" s="5" t="s">
        <v>126</v>
      </c>
      <c r="D140" s="5"/>
      <c r="E140" s="5"/>
      <c r="F140" s="231">
        <v>1165</v>
      </c>
      <c r="G140" s="232">
        <v>1381</v>
      </c>
      <c r="H140" s="232">
        <v>1379</v>
      </c>
      <c r="I140" s="232">
        <v>1410</v>
      </c>
      <c r="J140" s="232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3">
      <c r="C141" s="10" t="s">
        <v>110</v>
      </c>
      <c r="D141" s="12"/>
      <c r="E141" s="12"/>
      <c r="F141" s="233">
        <f t="shared" ref="F141:G141" si="44">SUM(F139:F140)</f>
        <v>1170</v>
      </c>
      <c r="G141" s="234">
        <f t="shared" si="44"/>
        <v>1384</v>
      </c>
      <c r="H141" s="234">
        <f>SUM(H139:H140)</f>
        <v>1381</v>
      </c>
      <c r="I141" s="234">
        <f>SUM(I139:I140)</f>
        <v>1413</v>
      </c>
      <c r="J141" s="234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3">
      <c r="C142" s="8" t="s">
        <v>127</v>
      </c>
      <c r="D142" s="5"/>
      <c r="E142" s="5"/>
      <c r="F142" s="231"/>
      <c r="G142" s="232"/>
      <c r="H142" s="232"/>
      <c r="I142" s="232"/>
      <c r="J142" s="232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3">
      <c r="C143" s="5" t="s">
        <v>128</v>
      </c>
      <c r="D143" s="5"/>
      <c r="E143" s="5"/>
      <c r="F143" s="217">
        <v>37</v>
      </c>
      <c r="G143" s="218">
        <v>39</v>
      </c>
      <c r="H143" s="218">
        <v>38</v>
      </c>
      <c r="I143" s="218">
        <v>43</v>
      </c>
      <c r="J143" s="218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3">
      <c r="C144" s="5" t="s">
        <v>53</v>
      </c>
      <c r="D144" s="21"/>
      <c r="E144" s="5"/>
      <c r="F144" s="217">
        <v>51</v>
      </c>
      <c r="G144" s="218">
        <v>253</v>
      </c>
      <c r="H144" s="218">
        <v>86</v>
      </c>
      <c r="I144" s="218">
        <v>156</v>
      </c>
      <c r="J144" s="218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3">
      <c r="C145" s="5" t="s">
        <v>129</v>
      </c>
      <c r="D145" s="5"/>
      <c r="E145" s="5"/>
      <c r="F145" s="217">
        <v>433</v>
      </c>
      <c r="G145" s="218">
        <v>452</v>
      </c>
      <c r="H145" s="218">
        <v>397</v>
      </c>
      <c r="I145" s="218">
        <v>382</v>
      </c>
      <c r="J145" s="218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3">
      <c r="C146" s="5" t="s">
        <v>130</v>
      </c>
      <c r="D146" s="5"/>
      <c r="E146" s="5"/>
      <c r="F146" s="217">
        <v>72</v>
      </c>
      <c r="G146" s="218">
        <v>81</v>
      </c>
      <c r="H146" s="218">
        <v>69</v>
      </c>
      <c r="I146" s="218">
        <v>77</v>
      </c>
      <c r="J146" s="218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3">
      <c r="C147" s="5" t="s">
        <v>131</v>
      </c>
      <c r="D147" s="5"/>
      <c r="E147" s="5"/>
      <c r="F147" s="217">
        <v>100</v>
      </c>
      <c r="G147" s="218">
        <v>72</v>
      </c>
      <c r="H147" s="218">
        <v>85</v>
      </c>
      <c r="I147" s="218">
        <v>80</v>
      </c>
      <c r="J147" s="218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3">
      <c r="C148" s="5" t="s">
        <v>132</v>
      </c>
      <c r="D148" s="5"/>
      <c r="E148" s="5"/>
      <c r="F148" s="217">
        <v>44</v>
      </c>
      <c r="G148" s="218">
        <v>58</v>
      </c>
      <c r="H148" s="218">
        <v>80</v>
      </c>
      <c r="I148" s="218">
        <v>42</v>
      </c>
      <c r="J148" s="218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3">
      <c r="C149" s="5" t="s">
        <v>133</v>
      </c>
      <c r="D149" s="5"/>
      <c r="E149" s="5"/>
      <c r="F149" s="217">
        <v>8</v>
      </c>
      <c r="G149" s="218">
        <v>7</v>
      </c>
      <c r="H149" s="218">
        <v>7</v>
      </c>
      <c r="I149" s="218">
        <v>7</v>
      </c>
      <c r="J149" s="218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3">
      <c r="C150" s="5" t="s">
        <v>134</v>
      </c>
      <c r="D150" s="5"/>
      <c r="E150" s="5"/>
      <c r="F150" s="217">
        <v>105</v>
      </c>
      <c r="G150" s="218">
        <v>115</v>
      </c>
      <c r="H150" s="218">
        <v>85</v>
      </c>
      <c r="I150" s="218">
        <v>75</v>
      </c>
      <c r="J150" s="218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3">
      <c r="C151" s="5" t="s">
        <v>135</v>
      </c>
      <c r="D151" s="5"/>
      <c r="E151" s="5"/>
      <c r="F151" s="217">
        <v>0</v>
      </c>
      <c r="G151" s="218">
        <v>5</v>
      </c>
      <c r="H151" s="218">
        <v>0</v>
      </c>
      <c r="I151" s="218">
        <v>0</v>
      </c>
      <c r="J151" s="218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3">
      <c r="C152" s="9" t="s">
        <v>136</v>
      </c>
      <c r="D152" s="9"/>
      <c r="E152" s="5"/>
      <c r="F152" s="217">
        <v>20</v>
      </c>
      <c r="G152" s="218">
        <v>20</v>
      </c>
      <c r="H152" s="218">
        <v>0</v>
      </c>
      <c r="I152" s="218">
        <v>0</v>
      </c>
      <c r="J152" s="218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3">
      <c r="C153" s="5" t="s">
        <v>137</v>
      </c>
      <c r="D153" s="5"/>
      <c r="E153" s="5"/>
      <c r="F153" s="217">
        <v>7</v>
      </c>
      <c r="G153" s="218">
        <v>6</v>
      </c>
      <c r="H153" s="218">
        <v>7</v>
      </c>
      <c r="I153" s="218">
        <v>7</v>
      </c>
      <c r="J153" s="218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3">
      <c r="C154" s="5" t="s">
        <v>138</v>
      </c>
      <c r="D154" s="5"/>
      <c r="E154" s="5"/>
      <c r="F154" s="217">
        <v>14</v>
      </c>
      <c r="G154" s="218">
        <v>12</v>
      </c>
      <c r="H154" s="218">
        <v>11</v>
      </c>
      <c r="I154" s="218">
        <v>14</v>
      </c>
      <c r="J154" s="218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3">
      <c r="C155" s="5" t="s">
        <v>139</v>
      </c>
      <c r="D155" s="5"/>
      <c r="E155" s="5"/>
      <c r="F155" s="217">
        <v>3</v>
      </c>
      <c r="G155" s="218">
        <v>3</v>
      </c>
      <c r="H155" s="218">
        <v>3</v>
      </c>
      <c r="I155" s="218">
        <v>3</v>
      </c>
      <c r="J155" s="218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3">
      <c r="C156" s="5" t="s">
        <v>140</v>
      </c>
      <c r="D156" s="5"/>
      <c r="E156" s="5"/>
      <c r="F156" s="217">
        <v>21</v>
      </c>
      <c r="G156" s="218">
        <v>25</v>
      </c>
      <c r="H156" s="218">
        <v>0</v>
      </c>
      <c r="I156" s="218">
        <v>0</v>
      </c>
      <c r="J156" s="218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3">
      <c r="C157" s="5" t="s">
        <v>141</v>
      </c>
      <c r="D157" s="5"/>
      <c r="E157" s="5"/>
      <c r="F157" s="217">
        <v>1</v>
      </c>
      <c r="G157" s="218">
        <v>0</v>
      </c>
      <c r="H157" s="218">
        <v>0</v>
      </c>
      <c r="I157" s="218">
        <v>4</v>
      </c>
      <c r="J157" s="218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3">
      <c r="C158" s="5" t="s">
        <v>142</v>
      </c>
      <c r="D158" s="5"/>
      <c r="E158" s="5"/>
      <c r="F158" s="217">
        <v>0</v>
      </c>
      <c r="G158" s="218">
        <v>0</v>
      </c>
      <c r="H158" s="218">
        <v>0</v>
      </c>
      <c r="I158" s="218">
        <v>8</v>
      </c>
      <c r="J158" s="218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3">
      <c r="C159" s="5" t="s">
        <v>143</v>
      </c>
      <c r="D159" s="5"/>
      <c r="E159" s="5"/>
      <c r="F159" s="217">
        <v>1</v>
      </c>
      <c r="G159" s="218">
        <v>1</v>
      </c>
      <c r="H159" s="218">
        <v>1</v>
      </c>
      <c r="I159" s="218">
        <v>12</v>
      </c>
      <c r="J159" s="218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3">
      <c r="C160" s="5" t="s">
        <v>144</v>
      </c>
      <c r="D160" s="5"/>
      <c r="E160" s="5"/>
      <c r="F160" s="217">
        <v>8</v>
      </c>
      <c r="G160" s="218">
        <v>9</v>
      </c>
      <c r="H160" s="218">
        <v>8</v>
      </c>
      <c r="I160" s="218">
        <v>7</v>
      </c>
      <c r="J160" s="218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3">
      <c r="C161" s="5" t="s">
        <v>145</v>
      </c>
      <c r="D161" s="5"/>
      <c r="E161" s="5"/>
      <c r="F161" s="217">
        <v>3</v>
      </c>
      <c r="G161" s="218">
        <v>3</v>
      </c>
      <c r="H161" s="218">
        <v>4</v>
      </c>
      <c r="I161" s="218">
        <v>5</v>
      </c>
      <c r="J161" s="218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3">
      <c r="C162" s="5" t="s">
        <v>146</v>
      </c>
      <c r="D162" s="5"/>
      <c r="E162" s="5"/>
      <c r="F162" s="217">
        <v>6</v>
      </c>
      <c r="G162" s="218">
        <v>6</v>
      </c>
      <c r="H162" s="218">
        <v>6</v>
      </c>
      <c r="I162" s="218">
        <v>6</v>
      </c>
      <c r="J162" s="218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3">
      <c r="C163" s="5" t="s">
        <v>147</v>
      </c>
      <c r="D163" s="5"/>
      <c r="E163" s="5"/>
      <c r="F163" s="217">
        <v>3</v>
      </c>
      <c r="G163" s="218">
        <v>2</v>
      </c>
      <c r="H163" s="218">
        <v>2</v>
      </c>
      <c r="I163" s="218">
        <v>3</v>
      </c>
      <c r="J163" s="218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3">
      <c r="C164" s="5" t="s">
        <v>148</v>
      </c>
      <c r="D164" s="5"/>
      <c r="E164" s="5"/>
      <c r="F164" s="217">
        <v>0</v>
      </c>
      <c r="G164" s="218">
        <v>6</v>
      </c>
      <c r="H164" s="218">
        <v>6</v>
      </c>
      <c r="I164" s="218">
        <v>5</v>
      </c>
      <c r="J164" s="218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3">
      <c r="C165" s="5" t="s">
        <v>149</v>
      </c>
      <c r="D165" s="5"/>
      <c r="E165" s="5"/>
      <c r="F165" s="217">
        <v>16</v>
      </c>
      <c r="G165" s="218">
        <v>21</v>
      </c>
      <c r="H165" s="218">
        <v>23</v>
      </c>
      <c r="I165" s="218">
        <v>27</v>
      </c>
      <c r="J165" s="218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3">
      <c r="C166" s="10" t="s">
        <v>110</v>
      </c>
      <c r="D166" s="12"/>
      <c r="E166" s="12"/>
      <c r="F166" s="233">
        <f t="shared" ref="F166:G166" si="49">SUM(F143,F144,F145)</f>
        <v>521</v>
      </c>
      <c r="G166" s="234">
        <f t="shared" si="49"/>
        <v>744</v>
      </c>
      <c r="H166" s="234">
        <f>SUM(H143,H144,H145)</f>
        <v>521</v>
      </c>
      <c r="I166" s="234">
        <f>SUM(I143,I144,I145)</f>
        <v>581</v>
      </c>
      <c r="J166" s="234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3">
      <c r="C167" s="8" t="s">
        <v>150</v>
      </c>
      <c r="D167" s="5"/>
      <c r="E167" s="5"/>
      <c r="F167" s="231"/>
      <c r="G167" s="232"/>
      <c r="H167" s="232"/>
      <c r="I167" s="232"/>
      <c r="J167" s="232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3">
      <c r="C168" s="5" t="s">
        <v>106</v>
      </c>
      <c r="D168" s="5"/>
      <c r="E168" s="5"/>
      <c r="F168" s="217">
        <v>571</v>
      </c>
      <c r="G168" s="218">
        <v>47</v>
      </c>
      <c r="H168" s="218">
        <v>345</v>
      </c>
      <c r="I168" s="218">
        <v>558</v>
      </c>
      <c r="J168" s="218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3">
      <c r="C169" s="5" t="s">
        <v>107</v>
      </c>
      <c r="D169" s="5"/>
      <c r="E169" s="5"/>
      <c r="F169" s="217">
        <v>119</v>
      </c>
      <c r="G169" s="218">
        <v>303</v>
      </c>
      <c r="H169" s="218">
        <v>82</v>
      </c>
      <c r="I169" s="218">
        <v>128</v>
      </c>
      <c r="J169" s="218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3">
      <c r="C170" s="5" t="s">
        <v>151</v>
      </c>
      <c r="D170" s="5"/>
      <c r="E170" s="5"/>
      <c r="F170" s="217">
        <v>1</v>
      </c>
      <c r="G170" s="218">
        <v>2</v>
      </c>
      <c r="H170" s="218">
        <v>5</v>
      </c>
      <c r="I170" s="218">
        <v>5</v>
      </c>
      <c r="J170" s="218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3">
      <c r="C171" s="5" t="s">
        <v>152</v>
      </c>
      <c r="D171" s="5"/>
      <c r="E171" s="5"/>
      <c r="F171" s="217">
        <v>1</v>
      </c>
      <c r="G171" s="218">
        <v>2</v>
      </c>
      <c r="H171" s="218">
        <v>1</v>
      </c>
      <c r="I171" s="218">
        <v>2</v>
      </c>
      <c r="J171" s="218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3">
      <c r="C172" s="5" t="s">
        <v>109</v>
      </c>
      <c r="D172" s="5"/>
      <c r="E172" s="5"/>
      <c r="F172" s="217">
        <v>0</v>
      </c>
      <c r="G172" s="218">
        <v>5</v>
      </c>
      <c r="H172" s="218">
        <v>4</v>
      </c>
      <c r="I172" s="218">
        <v>1</v>
      </c>
      <c r="J172" s="218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3">
      <c r="C173" s="10" t="s">
        <v>110</v>
      </c>
      <c r="D173" s="12"/>
      <c r="E173" s="12"/>
      <c r="F173" s="233">
        <f t="shared" ref="F173:G173" si="50">SUM(F168:F172)</f>
        <v>692</v>
      </c>
      <c r="G173" s="234">
        <f t="shared" si="50"/>
        <v>359</v>
      </c>
      <c r="H173" s="234">
        <f>SUM(H168:H172)</f>
        <v>437</v>
      </c>
      <c r="I173" s="234">
        <f>SUM(I168:I172)</f>
        <v>694</v>
      </c>
      <c r="J173" s="234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3">
      <c r="C174" s="8" t="s">
        <v>153</v>
      </c>
      <c r="D174" s="5"/>
      <c r="E174" s="5"/>
      <c r="F174" s="243">
        <v>43</v>
      </c>
      <c r="G174" s="244">
        <v>33</v>
      </c>
      <c r="H174" s="244">
        <v>4</v>
      </c>
      <c r="I174" s="244">
        <v>34</v>
      </c>
      <c r="J174" s="244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3">
      <c r="C175" s="15" t="s">
        <v>154</v>
      </c>
      <c r="D175" s="16"/>
      <c r="E175" s="16"/>
      <c r="F175" s="245">
        <f t="shared" ref="F175:G175" si="51">SUM(F141,F166,F173,F174)</f>
        <v>2426</v>
      </c>
      <c r="G175" s="246">
        <f t="shared" si="51"/>
        <v>2520</v>
      </c>
      <c r="H175" s="246">
        <f>SUM(H141,H166,H173,H174)</f>
        <v>2343</v>
      </c>
      <c r="I175" s="246">
        <f>SUM(I141,I166,I173,I174)</f>
        <v>2722</v>
      </c>
      <c r="J175" s="246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3">
      <c r="C176" s="8"/>
      <c r="D176" s="5"/>
      <c r="E176" s="5"/>
      <c r="F176" s="231"/>
      <c r="G176" s="232"/>
      <c r="H176" s="232"/>
      <c r="I176" s="232"/>
      <c r="J176" s="232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3">
      <c r="C177" s="24" t="s">
        <v>155</v>
      </c>
      <c r="D177" s="25"/>
      <c r="E177" s="25"/>
      <c r="F177" s="251">
        <f>SUM(F175,F135)</f>
        <v>6522</v>
      </c>
      <c r="G177" s="252">
        <f>SUM(G175,G135)</f>
        <v>7101</v>
      </c>
      <c r="H177" s="252">
        <f>SUM(H175,H135)</f>
        <v>6936</v>
      </c>
      <c r="I177" s="252">
        <f>SUM(I175,I135)</f>
        <v>6810</v>
      </c>
      <c r="J177" s="252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3">
      <c r="C178" s="8"/>
      <c r="D178" s="5"/>
      <c r="E178" s="5"/>
      <c r="F178" s="231"/>
      <c r="G178" s="232"/>
      <c r="H178" s="232"/>
      <c r="I178" s="232"/>
      <c r="J178" s="232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 x14ac:dyDescent="0.3">
      <c r="C179" s="26" t="s">
        <v>156</v>
      </c>
      <c r="D179" s="5"/>
      <c r="E179" s="5"/>
      <c r="F179" s="231">
        <v>20</v>
      </c>
      <c r="G179" s="232">
        <v>7</v>
      </c>
      <c r="H179" s="214">
        <v>0</v>
      </c>
      <c r="I179" s="214">
        <v>0</v>
      </c>
      <c r="J179" s="214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3">
      <c r="C180" s="17"/>
      <c r="D180" s="17"/>
      <c r="E180" s="5"/>
      <c r="F180" s="231"/>
      <c r="G180" s="232"/>
      <c r="H180" s="232"/>
      <c r="I180" s="232"/>
      <c r="J180" s="232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3">
      <c r="C181" s="18" t="s">
        <v>157</v>
      </c>
      <c r="D181" s="20"/>
      <c r="E181" s="20"/>
      <c r="F181" s="248">
        <f>SUM(F177,F110,F179)</f>
        <v>9801</v>
      </c>
      <c r="G181" s="249">
        <f>SUM(G177,G110,G179)</f>
        <v>10387</v>
      </c>
      <c r="H181" s="249">
        <f>SUM(H177,H110)</f>
        <v>9949</v>
      </c>
      <c r="I181" s="249">
        <f>SUM(I177,I110)</f>
        <v>10333</v>
      </c>
      <c r="J181" s="249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3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3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3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3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3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3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3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3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3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3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3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3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3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3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3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3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3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3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3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3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3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3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3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3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3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3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3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3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3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3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3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3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3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3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3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3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3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3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3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3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3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3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3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3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3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3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3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3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3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3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3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3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3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3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3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3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3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3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3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3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3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3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3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3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3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3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3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3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3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3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3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3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3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3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3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3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3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3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3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3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3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3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3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3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3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3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3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3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3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3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3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3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3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3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3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3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3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3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3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3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3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3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3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3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3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3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3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3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3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3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3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3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3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3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3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3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3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3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3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3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3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3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3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3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3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3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3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3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3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3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3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3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3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3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3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3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3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3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3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3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3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3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3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3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3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3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3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3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3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3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3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3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3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3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3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3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3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3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3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3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3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3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3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3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3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3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3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3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3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3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3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3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3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3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3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3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3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3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3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3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3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3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3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3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3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3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3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3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3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3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3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3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3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3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3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3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3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3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3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3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3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3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3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3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3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3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3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3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3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3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3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3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3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3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3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3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3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3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3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3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3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3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3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3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3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3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3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3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3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3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3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3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3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3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3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3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3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3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3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3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3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3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3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3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3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3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3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3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3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3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3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3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3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3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3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3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3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3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3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3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3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3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3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3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3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3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3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3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3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3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3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3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3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3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3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3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3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3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3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3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3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3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3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3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3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3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3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3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3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3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3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3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3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3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3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3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3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3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3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3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3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3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3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3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3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3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3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3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3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3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3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3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3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3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3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3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3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3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3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3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3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3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3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3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3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3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3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3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3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3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3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3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3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3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3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3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3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3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3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3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3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3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3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3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3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3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3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3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3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3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3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3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3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3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3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3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3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3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3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3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3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3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3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3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3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3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3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3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3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3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3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3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3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3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3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3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3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3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3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3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3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3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3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3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3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3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3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3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3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3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3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3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3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3">
      <c r="C575" s="1"/>
      <c r="D575" s="1"/>
      <c r="E575" s="55"/>
      <c r="F575" s="55"/>
      <c r="G575" s="55"/>
      <c r="H575" s="55"/>
      <c r="I575" s="55"/>
      <c r="J575" s="55"/>
    </row>
    <row r="576" spans="3:15" x14ac:dyDescent="0.3">
      <c r="C576" s="1"/>
      <c r="D576" s="1"/>
      <c r="E576" s="48"/>
      <c r="F576" s="49"/>
      <c r="G576" s="49"/>
      <c r="H576" s="49"/>
      <c r="I576" s="49"/>
      <c r="J576" s="49"/>
    </row>
    <row r="577" spans="3:10" x14ac:dyDescent="0.3">
      <c r="C577" s="1"/>
      <c r="D577" s="1"/>
      <c r="E577" s="48"/>
      <c r="F577" s="49"/>
      <c r="G577" s="49"/>
      <c r="H577" s="49"/>
      <c r="I577" s="49"/>
      <c r="J577" s="49"/>
    </row>
    <row r="578" spans="3:10" x14ac:dyDescent="0.3">
      <c r="C578" s="1"/>
    </row>
    <row r="579" spans="3:10" x14ac:dyDescent="0.3">
      <c r="C579" s="1"/>
    </row>
    <row r="580" spans="3:10" x14ac:dyDescent="0.3">
      <c r="C580" s="1"/>
    </row>
    <row r="581" spans="3:10" x14ac:dyDescent="0.3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51" activePane="bottomRight" state="frozen"/>
      <selection pane="topRight" activeCell="D1" sqref="D1"/>
      <selection pane="bottomLeft" activeCell="A4" sqref="A4"/>
      <selection pane="bottomRight" activeCell="H72" sqref="H72"/>
    </sheetView>
  </sheetViews>
  <sheetFormatPr defaultRowHeight="14.4" x14ac:dyDescent="0.3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 x14ac:dyDescent="0.6">
      <c r="A1" s="62"/>
      <c r="B1" s="278" t="s">
        <v>361</v>
      </c>
      <c r="C1" s="140"/>
      <c r="D1" s="140"/>
      <c r="E1" s="140"/>
      <c r="F1" s="140"/>
      <c r="G1" s="140"/>
      <c r="H1" s="140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4">
      <c r="A2" s="62"/>
      <c r="B2" s="279"/>
      <c r="C2" s="279"/>
      <c r="D2" s="279"/>
      <c r="E2" s="279"/>
      <c r="F2" s="279"/>
      <c r="G2" s="280" t="s">
        <v>163</v>
      </c>
      <c r="H2" s="279"/>
      <c r="I2" s="281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45">
      <c r="A3" s="66"/>
      <c r="B3" s="65"/>
      <c r="C3" s="65"/>
      <c r="D3" s="144" t="s">
        <v>1</v>
      </c>
      <c r="E3" s="147">
        <v>42369</v>
      </c>
      <c r="F3" s="147">
        <v>42735</v>
      </c>
      <c r="G3" s="147">
        <v>43100</v>
      </c>
      <c r="H3" s="147">
        <v>43465</v>
      </c>
      <c r="I3" s="147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5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 ht="16.8" x14ac:dyDescent="0.4">
      <c r="B5" s="8" t="s">
        <v>165</v>
      </c>
      <c r="C5" s="5" t="s">
        <v>166</v>
      </c>
      <c r="D5" s="5"/>
      <c r="E5" s="253"/>
      <c r="F5" s="218"/>
      <c r="G5" s="218"/>
      <c r="H5" s="218"/>
      <c r="I5" s="218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ht="16.8" x14ac:dyDescent="0.4">
      <c r="B6" s="5" t="s">
        <v>167</v>
      </c>
      <c r="C6" s="5" t="s">
        <v>168</v>
      </c>
      <c r="D6" s="5"/>
      <c r="E6" s="253">
        <v>3947</v>
      </c>
      <c r="F6" s="218">
        <v>3734</v>
      </c>
      <c r="G6" s="218">
        <v>4633</v>
      </c>
      <c r="H6" s="218">
        <v>5268</v>
      </c>
      <c r="I6" s="218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ht="16.8" x14ac:dyDescent="0.4">
      <c r="B7" s="5" t="s">
        <v>169</v>
      </c>
      <c r="C7" s="5" t="s">
        <v>170</v>
      </c>
      <c r="D7" s="5"/>
      <c r="E7" s="253">
        <v>785</v>
      </c>
      <c r="F7" s="218">
        <v>847</v>
      </c>
      <c r="G7" s="218">
        <v>957</v>
      </c>
      <c r="H7" s="218">
        <v>1003</v>
      </c>
      <c r="I7" s="218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ht="16.8" x14ac:dyDescent="0.4">
      <c r="B8" s="135" t="s">
        <v>400</v>
      </c>
      <c r="C8" s="150" t="s">
        <v>172</v>
      </c>
      <c r="D8" s="150"/>
      <c r="E8" s="254">
        <f>SUM(E6:E7)</f>
        <v>4732</v>
      </c>
      <c r="F8" s="255">
        <f>SUM(F6:F7)</f>
        <v>4581</v>
      </c>
      <c r="G8" s="255">
        <f>SUM(G6:G7)</f>
        <v>5590</v>
      </c>
      <c r="H8" s="255">
        <f>SUM(H6:H7)</f>
        <v>6271</v>
      </c>
      <c r="I8" s="255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ht="16.8" x14ac:dyDescent="0.4">
      <c r="B9" s="5" t="s">
        <v>173</v>
      </c>
      <c r="C9" s="5" t="s">
        <v>174</v>
      </c>
      <c r="D9" s="5"/>
      <c r="E9" s="253">
        <v>189</v>
      </c>
      <c r="F9" s="218">
        <v>279</v>
      </c>
      <c r="G9" s="218">
        <v>206</v>
      </c>
      <c r="H9" s="218">
        <v>223</v>
      </c>
      <c r="I9" s="218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8.600000000000001" x14ac:dyDescent="0.55000000000000004">
      <c r="B10" s="134" t="s">
        <v>110</v>
      </c>
      <c r="C10" s="64" t="s">
        <v>175</v>
      </c>
      <c r="D10" s="64"/>
      <c r="E10" s="273">
        <f>SUM(E8:E9)</f>
        <v>4921</v>
      </c>
      <c r="F10" s="274">
        <f>SUM(F8:F9)</f>
        <v>4860</v>
      </c>
      <c r="G10" s="274">
        <f>SUM(G8:G9)</f>
        <v>5796</v>
      </c>
      <c r="H10" s="274">
        <f>SUM(H8:H9)</f>
        <v>6494</v>
      </c>
      <c r="I10" s="274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ht="16.8" x14ac:dyDescent="0.4">
      <c r="B11" s="8"/>
      <c r="C11" s="5"/>
      <c r="D11" s="5"/>
      <c r="E11" s="253"/>
      <c r="F11" s="218"/>
      <c r="G11" s="218"/>
      <c r="H11" s="216"/>
      <c r="I11" s="216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ht="16.8" x14ac:dyDescent="0.4">
      <c r="B12" s="8" t="s">
        <v>362</v>
      </c>
      <c r="C12" s="5" t="s">
        <v>176</v>
      </c>
      <c r="D12" s="5"/>
      <c r="E12" s="253"/>
      <c r="F12" s="218"/>
      <c r="G12" s="218"/>
      <c r="H12" s="218"/>
      <c r="I12" s="218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ht="16.8" x14ac:dyDescent="0.4">
      <c r="B13" s="5" t="s">
        <v>177</v>
      </c>
      <c r="C13" s="5" t="s">
        <v>178</v>
      </c>
      <c r="D13" s="5"/>
      <c r="E13" s="253">
        <v>2286</v>
      </c>
      <c r="F13" s="218">
        <v>2101</v>
      </c>
      <c r="G13" s="218">
        <v>2831</v>
      </c>
      <c r="H13" s="218">
        <v>3346</v>
      </c>
      <c r="I13" s="218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ht="16.8" x14ac:dyDescent="0.4">
      <c r="B14" s="5" t="s">
        <v>179</v>
      </c>
      <c r="C14" s="5" t="s">
        <v>180</v>
      </c>
      <c r="D14" s="5"/>
      <c r="E14" s="253">
        <v>706</v>
      </c>
      <c r="F14" s="218">
        <v>758</v>
      </c>
      <c r="G14" s="218">
        <v>850</v>
      </c>
      <c r="H14" s="218">
        <v>986</v>
      </c>
      <c r="I14" s="218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ht="16.8" x14ac:dyDescent="0.4">
      <c r="B15" s="14" t="s">
        <v>181</v>
      </c>
      <c r="C15" s="5" t="s">
        <v>182</v>
      </c>
      <c r="D15" s="5"/>
      <c r="E15" s="258">
        <f>SUM(E13:E14)</f>
        <v>2992</v>
      </c>
      <c r="F15" s="228">
        <f>SUM(F13:F14)</f>
        <v>2859</v>
      </c>
      <c r="G15" s="228">
        <f>SUM(G13:G14)</f>
        <v>3681</v>
      </c>
      <c r="H15" s="228">
        <f>SUM(H13:H14)</f>
        <v>4332</v>
      </c>
      <c r="I15" s="228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ht="16.8" x14ac:dyDescent="0.4">
      <c r="B16" s="5" t="s">
        <v>183</v>
      </c>
      <c r="C16" s="5" t="s">
        <v>184</v>
      </c>
      <c r="D16" s="5"/>
      <c r="E16" s="253">
        <v>252</v>
      </c>
      <c r="F16" s="218">
        <v>243</v>
      </c>
      <c r="G16" s="218">
        <v>281</v>
      </c>
      <c r="H16" s="218">
        <v>266</v>
      </c>
      <c r="I16" s="218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ht="16.8" x14ac:dyDescent="0.4">
      <c r="B17" s="134" t="s">
        <v>110</v>
      </c>
      <c r="C17" s="64" t="s">
        <v>185</v>
      </c>
      <c r="D17" s="64"/>
      <c r="E17" s="256">
        <f>SUM(E15:E16)</f>
        <v>3244</v>
      </c>
      <c r="F17" s="257">
        <f>SUM(F15:F16)</f>
        <v>3102</v>
      </c>
      <c r="G17" s="257">
        <f>SUM(G15:G16)</f>
        <v>3962</v>
      </c>
      <c r="H17" s="257">
        <f>SUM(H15:H16)</f>
        <v>4598</v>
      </c>
      <c r="I17" s="257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ht="16.8" x14ac:dyDescent="0.4">
      <c r="B18" s="8"/>
      <c r="C18" s="5"/>
      <c r="D18" s="5"/>
      <c r="E18" s="259"/>
      <c r="F18" s="260"/>
      <c r="G18" s="260"/>
      <c r="H18" s="260"/>
      <c r="I18" s="260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ht="16.8" x14ac:dyDescent="0.4">
      <c r="B19" s="8" t="s">
        <v>363</v>
      </c>
      <c r="C19" s="5" t="s">
        <v>186</v>
      </c>
      <c r="D19" s="5"/>
      <c r="E19" s="253"/>
      <c r="F19" s="218"/>
      <c r="G19" s="218"/>
      <c r="H19" s="218"/>
      <c r="I19" s="218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ht="16.8" x14ac:dyDescent="0.4">
      <c r="B20" s="5" t="s">
        <v>187</v>
      </c>
      <c r="C20" s="5" t="s">
        <v>188</v>
      </c>
      <c r="D20" s="5"/>
      <c r="E20" s="253">
        <v>441</v>
      </c>
      <c r="F20" s="218">
        <v>433</v>
      </c>
      <c r="G20" s="218">
        <v>471</v>
      </c>
      <c r="H20" s="218">
        <v>494</v>
      </c>
      <c r="I20" s="218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ht="16.8" x14ac:dyDescent="0.4">
      <c r="B21" s="5" t="s">
        <v>189</v>
      </c>
      <c r="C21" s="5" t="s">
        <v>190</v>
      </c>
      <c r="D21" s="5"/>
      <c r="E21" s="253">
        <v>163</v>
      </c>
      <c r="F21" s="218">
        <v>146</v>
      </c>
      <c r="G21" s="218">
        <v>160</v>
      </c>
      <c r="H21" s="218">
        <v>173</v>
      </c>
      <c r="I21" s="218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ht="16.8" x14ac:dyDescent="0.4">
      <c r="B22" s="5" t="s">
        <v>191</v>
      </c>
      <c r="C22" s="5" t="s">
        <v>191</v>
      </c>
      <c r="D22" s="5"/>
      <c r="E22" s="253">
        <v>25</v>
      </c>
      <c r="F22" s="218">
        <v>26</v>
      </c>
      <c r="G22" s="218">
        <v>29</v>
      </c>
      <c r="H22" s="218">
        <v>31</v>
      </c>
      <c r="I22" s="218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ht="16.8" x14ac:dyDescent="0.4">
      <c r="B23" s="5" t="s">
        <v>192</v>
      </c>
      <c r="C23" s="5" t="s">
        <v>193</v>
      </c>
      <c r="D23" s="5"/>
      <c r="E23" s="253">
        <v>27</v>
      </c>
      <c r="F23" s="218">
        <v>36</v>
      </c>
      <c r="G23" s="218">
        <v>27</v>
      </c>
      <c r="H23" s="218">
        <v>33</v>
      </c>
      <c r="I23" s="218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ht="16.8" x14ac:dyDescent="0.4">
      <c r="B24" s="14" t="s">
        <v>194</v>
      </c>
      <c r="C24" s="5" t="s">
        <v>195</v>
      </c>
      <c r="D24" s="5"/>
      <c r="E24" s="258">
        <f>SUM(E20:E23)</f>
        <v>656</v>
      </c>
      <c r="F24" s="228">
        <f>SUM(F20:F23)</f>
        <v>641</v>
      </c>
      <c r="G24" s="228">
        <f>SUM(G20:G23)</f>
        <v>687</v>
      </c>
      <c r="H24" s="228">
        <f>SUM(H20:H23)</f>
        <v>731</v>
      </c>
      <c r="I24" s="228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ht="16.8" x14ac:dyDescent="0.4">
      <c r="B25" s="5" t="s">
        <v>196</v>
      </c>
      <c r="C25" s="5" t="s">
        <v>197</v>
      </c>
      <c r="D25" s="5"/>
      <c r="E25" s="253">
        <v>-27</v>
      </c>
      <c r="F25" s="218">
        <v>-45</v>
      </c>
      <c r="G25" s="218">
        <v>-52</v>
      </c>
      <c r="H25" s="218">
        <v>-66</v>
      </c>
      <c r="I25" s="218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8.600000000000001" x14ac:dyDescent="0.55000000000000004">
      <c r="B26" s="134" t="s">
        <v>110</v>
      </c>
      <c r="C26" s="64" t="s">
        <v>195</v>
      </c>
      <c r="D26" s="64"/>
      <c r="E26" s="273">
        <f>SUM(E24:E25)</f>
        <v>629</v>
      </c>
      <c r="F26" s="274">
        <f>SUM(F24:F25)</f>
        <v>596</v>
      </c>
      <c r="G26" s="274">
        <f>SUM(G24:G25)</f>
        <v>635</v>
      </c>
      <c r="H26" s="274">
        <f>SUM(H24:H25)</f>
        <v>665</v>
      </c>
      <c r="I26" s="274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ht="16.8" x14ac:dyDescent="0.4">
      <c r="B27" s="8"/>
      <c r="C27" s="5"/>
      <c r="D27" s="5"/>
      <c r="E27" s="253"/>
      <c r="F27" s="218"/>
      <c r="G27" s="218"/>
      <c r="H27" s="218"/>
      <c r="I27" s="218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ht="16.8" x14ac:dyDescent="0.4">
      <c r="B28" s="15" t="s">
        <v>198</v>
      </c>
      <c r="C28" s="16" t="s">
        <v>199</v>
      </c>
      <c r="D28" s="16"/>
      <c r="E28" s="261">
        <f>SUM(E10,-E17,-E26)</f>
        <v>1048</v>
      </c>
      <c r="F28" s="229">
        <f>SUM(F10,-F17,-F26)</f>
        <v>1162</v>
      </c>
      <c r="G28" s="229">
        <f>SUM(G10,-G17,-G26)</f>
        <v>1199</v>
      </c>
      <c r="H28" s="229">
        <f>SUM(H10,-H17,-H26)</f>
        <v>1231</v>
      </c>
      <c r="I28" s="229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ht="16.8" x14ac:dyDescent="0.4">
      <c r="B29" s="8"/>
      <c r="C29" s="5"/>
      <c r="D29" s="5"/>
      <c r="E29" s="253"/>
      <c r="F29" s="218"/>
      <c r="G29" s="218"/>
      <c r="H29" s="216"/>
      <c r="I29" s="216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 x14ac:dyDescent="0.3">
      <c r="B30" s="26" t="s">
        <v>200</v>
      </c>
      <c r="C30" s="5" t="s">
        <v>201</v>
      </c>
      <c r="D30" s="5"/>
      <c r="E30" s="253"/>
      <c r="F30" s="218"/>
      <c r="G30" s="218"/>
      <c r="H30" s="216"/>
      <c r="I30" s="216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x14ac:dyDescent="0.3">
      <c r="B31" s="5" t="s">
        <v>202</v>
      </c>
      <c r="C31" s="5" t="s">
        <v>203</v>
      </c>
      <c r="D31" s="5"/>
      <c r="E31" s="253">
        <v>54</v>
      </c>
      <c r="F31" s="218">
        <v>55</v>
      </c>
      <c r="G31" s="218">
        <v>72</v>
      </c>
      <c r="H31" s="218">
        <v>91</v>
      </c>
      <c r="I31" s="218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x14ac:dyDescent="0.3">
      <c r="B32" s="5" t="s">
        <v>204</v>
      </c>
      <c r="C32" s="5" t="s">
        <v>205</v>
      </c>
      <c r="D32" s="5"/>
      <c r="E32" s="253">
        <v>341</v>
      </c>
      <c r="F32" s="218">
        <v>348</v>
      </c>
      <c r="G32" s="218">
        <v>338</v>
      </c>
      <c r="H32" s="218">
        <v>372</v>
      </c>
      <c r="I32" s="218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x14ac:dyDescent="0.3">
      <c r="B33" s="5" t="s">
        <v>206</v>
      </c>
      <c r="C33" s="5" t="s">
        <v>207</v>
      </c>
      <c r="D33" s="5"/>
      <c r="E33" s="253">
        <v>359</v>
      </c>
      <c r="F33" s="218">
        <v>245</v>
      </c>
      <c r="G33" s="218">
        <v>34</v>
      </c>
      <c r="H33" s="218">
        <v>160</v>
      </c>
      <c r="I33" s="218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x14ac:dyDescent="0.3">
      <c r="B34" s="135" t="s">
        <v>208</v>
      </c>
      <c r="C34" s="136" t="s">
        <v>209</v>
      </c>
      <c r="D34" s="136"/>
      <c r="E34" s="262">
        <f>SUM(E31:E33)</f>
        <v>754</v>
      </c>
      <c r="F34" s="263">
        <f>SUM(F31:F33)</f>
        <v>648</v>
      </c>
      <c r="G34" s="263">
        <f>SUM(G31:G33)</f>
        <v>444</v>
      </c>
      <c r="H34" s="263">
        <f>SUM(H31:H33)</f>
        <v>623</v>
      </c>
      <c r="I34" s="263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x14ac:dyDescent="0.3">
      <c r="B35" s="5" t="s">
        <v>210</v>
      </c>
      <c r="C35" s="5" t="s">
        <v>211</v>
      </c>
      <c r="D35" s="5"/>
      <c r="E35" s="253">
        <v>57</v>
      </c>
      <c r="F35" s="218">
        <v>50</v>
      </c>
      <c r="G35" s="218">
        <v>10</v>
      </c>
      <c r="H35" s="218">
        <v>-5</v>
      </c>
      <c r="I35" s="218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x14ac:dyDescent="0.3">
      <c r="B36" s="5" t="s">
        <v>212</v>
      </c>
      <c r="C36" s="5" t="s">
        <v>213</v>
      </c>
      <c r="D36" s="5"/>
      <c r="E36" s="253">
        <v>22</v>
      </c>
      <c r="F36" s="218">
        <v>21</v>
      </c>
      <c r="G36" s="218">
        <v>35</v>
      </c>
      <c r="H36" s="218">
        <v>25</v>
      </c>
      <c r="I36" s="218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x14ac:dyDescent="0.3">
      <c r="B37" s="134" t="s">
        <v>110</v>
      </c>
      <c r="C37" s="64" t="s">
        <v>214</v>
      </c>
      <c r="D37" s="64"/>
      <c r="E37" s="256">
        <f>SUM(E34:E36)</f>
        <v>833</v>
      </c>
      <c r="F37" s="257">
        <f>SUM(F34:F36)</f>
        <v>719</v>
      </c>
      <c r="G37" s="257">
        <f>SUM(G34:G36)</f>
        <v>489</v>
      </c>
      <c r="H37" s="257">
        <f>SUM(H34:H36)</f>
        <v>643</v>
      </c>
      <c r="I37" s="257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x14ac:dyDescent="0.3">
      <c r="B38" s="8"/>
      <c r="C38" s="5"/>
      <c r="D38" s="5"/>
      <c r="E38" s="253"/>
      <c r="F38" s="218"/>
      <c r="G38" s="218"/>
      <c r="H38" s="216"/>
      <c r="I38" s="216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x14ac:dyDescent="0.3">
      <c r="B39" s="24" t="s">
        <v>215</v>
      </c>
      <c r="C39" s="25" t="s">
        <v>216</v>
      </c>
      <c r="D39" s="25"/>
      <c r="E39" s="264">
        <f>SUM(E28,-E37)</f>
        <v>215</v>
      </c>
      <c r="F39" s="230">
        <f>SUM(F28,-F37)</f>
        <v>443</v>
      </c>
      <c r="G39" s="230">
        <f>SUM(G28,-G37)</f>
        <v>710</v>
      </c>
      <c r="H39" s="230">
        <f>SUM(H28,-H37)</f>
        <v>588</v>
      </c>
      <c r="I39" s="230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x14ac:dyDescent="0.3">
      <c r="B40" s="8"/>
      <c r="C40" s="5"/>
      <c r="D40" s="5"/>
      <c r="E40" s="253"/>
      <c r="F40" s="218"/>
      <c r="G40" s="218"/>
      <c r="H40" s="216"/>
      <c r="I40" s="216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x14ac:dyDescent="0.3">
      <c r="B41" s="8" t="s">
        <v>217</v>
      </c>
      <c r="C41" s="5" t="s">
        <v>218</v>
      </c>
      <c r="D41" s="5"/>
      <c r="E41" s="253">
        <v>1</v>
      </c>
      <c r="F41" s="218">
        <v>52</v>
      </c>
      <c r="G41" s="218">
        <v>0</v>
      </c>
      <c r="H41" s="216">
        <v>14</v>
      </c>
      <c r="I41" s="216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x14ac:dyDescent="0.3">
      <c r="B42" s="8"/>
      <c r="C42" s="5"/>
      <c r="D42" s="5"/>
      <c r="E42" s="253"/>
      <c r="F42" s="218"/>
      <c r="G42" s="218"/>
      <c r="H42" s="216"/>
      <c r="I42" s="216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x14ac:dyDescent="0.3">
      <c r="B43" s="8" t="s">
        <v>219</v>
      </c>
      <c r="C43" s="5" t="s">
        <v>220</v>
      </c>
      <c r="D43" s="5"/>
      <c r="E43" s="253"/>
      <c r="F43" s="218"/>
      <c r="G43" s="218"/>
      <c r="H43" s="218"/>
      <c r="I43" s="218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x14ac:dyDescent="0.3">
      <c r="B44" s="211" t="s">
        <v>221</v>
      </c>
      <c r="C44" s="5" t="s">
        <v>222</v>
      </c>
      <c r="D44" s="5"/>
      <c r="E44" s="253"/>
      <c r="F44" s="218"/>
      <c r="G44" s="218"/>
      <c r="H44" s="218"/>
      <c r="I44" s="218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x14ac:dyDescent="0.3">
      <c r="B45" s="5" t="s">
        <v>223</v>
      </c>
      <c r="C45" s="5"/>
      <c r="D45" s="5"/>
      <c r="E45" s="253"/>
      <c r="F45" s="218"/>
      <c r="G45" s="218"/>
      <c r="H45" s="218">
        <v>0</v>
      </c>
      <c r="I45" s="218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x14ac:dyDescent="0.3">
      <c r="B46" s="5" t="s">
        <v>224</v>
      </c>
      <c r="C46" s="5"/>
      <c r="D46" s="5"/>
      <c r="E46" s="253"/>
      <c r="F46" s="218"/>
      <c r="G46" s="218"/>
      <c r="H46" s="218">
        <v>16</v>
      </c>
      <c r="I46" s="218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3">
      <c r="B47" s="134" t="s">
        <v>110</v>
      </c>
      <c r="C47" s="132"/>
      <c r="D47" s="132"/>
      <c r="E47" s="256">
        <v>28</v>
      </c>
      <c r="F47" s="257">
        <v>34</v>
      </c>
      <c r="G47" s="257">
        <v>19</v>
      </c>
      <c r="H47" s="257">
        <f t="shared" ref="H47" si="2">SUM(H45:H46)</f>
        <v>16</v>
      </c>
      <c r="I47" s="257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3">
      <c r="B48" s="211" t="s">
        <v>226</v>
      </c>
      <c r="C48" s="5" t="s">
        <v>227</v>
      </c>
      <c r="D48" s="5"/>
      <c r="E48" s="253"/>
      <c r="F48" s="218"/>
      <c r="G48" s="218"/>
      <c r="H48" s="218"/>
      <c r="I48" s="218"/>
      <c r="J48" s="55">
        <f>SUM(E49:E50)</f>
        <v>140</v>
      </c>
      <c r="K48" s="55">
        <f>SUM(F49:F50)</f>
        <v>134</v>
      </c>
      <c r="L48" s="55">
        <f>SUM(G49:G50)</f>
        <v>113</v>
      </c>
      <c r="M48" s="55">
        <f>SUM(H49:H50)</f>
        <v>108</v>
      </c>
      <c r="N48" s="55">
        <f>SUM(I49:I50)</f>
        <v>98</v>
      </c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3">
      <c r="B49" s="5" t="s">
        <v>228</v>
      </c>
      <c r="C49" s="5" t="s">
        <v>229</v>
      </c>
      <c r="D49" s="5"/>
      <c r="E49" s="253">
        <v>125</v>
      </c>
      <c r="F49" s="218">
        <v>125</v>
      </c>
      <c r="G49" s="218">
        <v>104</v>
      </c>
      <c r="H49" s="218">
        <v>102</v>
      </c>
      <c r="I49" s="218">
        <v>94</v>
      </c>
      <c r="J49" s="55">
        <f>J48/'Balance sheet'!F119</f>
        <v>4.5322110715441892E-2</v>
      </c>
      <c r="K49" s="55">
        <f>K48/'Balance sheet'!G119</f>
        <v>3.8998835855646098E-2</v>
      </c>
      <c r="L49" s="55">
        <f>L48/'Balance sheet'!P109</f>
        <v>5973.3538461538456</v>
      </c>
      <c r="M49" s="55">
        <f>M48/'Balance sheet'!H119</f>
        <v>3.0848329048843187E-2</v>
      </c>
      <c r="N49" s="55">
        <f>N48/'Balance sheet'!Q109</f>
        <v>-663.6324951644101</v>
      </c>
      <c r="O49" s="55"/>
      <c r="P49" s="55"/>
      <c r="Q49" s="55"/>
      <c r="R49" s="55"/>
      <c r="T49" s="71">
        <f t="shared" si="3"/>
        <v>-0.33333333333333331</v>
      </c>
    </row>
    <row r="50" spans="2:20" x14ac:dyDescent="0.3">
      <c r="B50" s="5" t="s">
        <v>230</v>
      </c>
      <c r="C50" s="5" t="s">
        <v>231</v>
      </c>
      <c r="D50" s="5"/>
      <c r="E50" s="253">
        <v>15</v>
      </c>
      <c r="F50" s="218">
        <v>9</v>
      </c>
      <c r="G50" s="218">
        <v>9</v>
      </c>
      <c r="H50" s="218">
        <v>6</v>
      </c>
      <c r="I50" s="218">
        <v>4</v>
      </c>
      <c r="J50" s="55">
        <f>J49*(1-0.279)</f>
        <v>3.2677241825833606E-2</v>
      </c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3">
      <c r="B51" s="5" t="s">
        <v>232</v>
      </c>
      <c r="C51" s="5" t="s">
        <v>233</v>
      </c>
      <c r="D51" s="5"/>
      <c r="E51" s="253">
        <v>5</v>
      </c>
      <c r="F51" s="218">
        <v>6</v>
      </c>
      <c r="G51" s="218">
        <v>8</v>
      </c>
      <c r="H51" s="218">
        <v>8</v>
      </c>
      <c r="I51" s="218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3">
      <c r="B52" s="5" t="s">
        <v>234</v>
      </c>
      <c r="C52" s="5" t="s">
        <v>235</v>
      </c>
      <c r="D52" s="5"/>
      <c r="E52" s="253">
        <v>0</v>
      </c>
      <c r="F52" s="218">
        <v>1</v>
      </c>
      <c r="G52" s="218">
        <v>2</v>
      </c>
      <c r="H52" s="218">
        <v>2</v>
      </c>
      <c r="I52" s="218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3">
      <c r="B53" s="5" t="s">
        <v>236</v>
      </c>
      <c r="C53" s="5" t="s">
        <v>237</v>
      </c>
      <c r="D53" s="5"/>
      <c r="E53" s="253">
        <v>17</v>
      </c>
      <c r="F53" s="218">
        <v>51</v>
      </c>
      <c r="G53" s="218">
        <v>35</v>
      </c>
      <c r="H53" s="218">
        <v>14</v>
      </c>
      <c r="I53" s="218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3">
      <c r="B54" s="137" t="s">
        <v>110</v>
      </c>
      <c r="C54" s="136" t="s">
        <v>239</v>
      </c>
      <c r="D54" s="136"/>
      <c r="E54" s="265">
        <v>162</v>
      </c>
      <c r="F54" s="266">
        <f>SUM(F49:F53)</f>
        <v>192</v>
      </c>
      <c r="G54" s="266">
        <f>SUM(G49:G53)</f>
        <v>158</v>
      </c>
      <c r="H54" s="266">
        <f>SUM(H49:H53)</f>
        <v>132</v>
      </c>
      <c r="I54" s="266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3">
      <c r="B55" s="5" t="s">
        <v>240</v>
      </c>
      <c r="C55" s="5" t="s">
        <v>241</v>
      </c>
      <c r="D55" s="5"/>
      <c r="E55" s="253">
        <v>0</v>
      </c>
      <c r="F55" s="218">
        <v>0</v>
      </c>
      <c r="G55" s="218">
        <v>0</v>
      </c>
      <c r="H55" s="218">
        <v>0</v>
      </c>
      <c r="I55" s="218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3">
      <c r="B56" s="134" t="s">
        <v>110</v>
      </c>
      <c r="C56" s="132" t="s">
        <v>243</v>
      </c>
      <c r="D56" s="132"/>
      <c r="E56" s="256">
        <f>SUM(E54:E55)</f>
        <v>162</v>
      </c>
      <c r="F56" s="257">
        <f>SUM(F54:F55)</f>
        <v>192</v>
      </c>
      <c r="G56" s="257">
        <f>SUM(G54:G55)</f>
        <v>158</v>
      </c>
      <c r="H56" s="257">
        <f>SUM(H54:H55)</f>
        <v>132</v>
      </c>
      <c r="I56" s="257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3">
      <c r="B57" s="5" t="s">
        <v>244</v>
      </c>
      <c r="C57" s="128" t="s">
        <v>245</v>
      </c>
      <c r="D57" s="128"/>
      <c r="E57" s="253">
        <v>-4</v>
      </c>
      <c r="F57" s="218">
        <v>-3</v>
      </c>
      <c r="G57" s="218">
        <v>5</v>
      </c>
      <c r="H57" s="218">
        <v>4</v>
      </c>
      <c r="I57" s="218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3">
      <c r="B58" s="5" t="s">
        <v>246</v>
      </c>
      <c r="C58" s="5" t="s">
        <v>247</v>
      </c>
      <c r="D58" s="5"/>
      <c r="E58" s="253">
        <v>0</v>
      </c>
      <c r="F58" s="218">
        <v>0</v>
      </c>
      <c r="G58" s="218">
        <v>0</v>
      </c>
      <c r="H58" s="218">
        <v>0</v>
      </c>
      <c r="I58" s="218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3">
      <c r="B59" s="15" t="s">
        <v>248</v>
      </c>
      <c r="C59" s="16" t="s">
        <v>249</v>
      </c>
      <c r="D59" s="16"/>
      <c r="E59" s="261">
        <f>SUM(E47,-E56,E57)</f>
        <v>-138</v>
      </c>
      <c r="F59" s="229">
        <f>SUM(F47,-F56,F57)</f>
        <v>-161</v>
      </c>
      <c r="G59" s="229">
        <f>SUM(G47,-G56,G57)</f>
        <v>-134</v>
      </c>
      <c r="H59" s="229">
        <f>SUM(H47,-H56,H57)</f>
        <v>-112</v>
      </c>
      <c r="I59" s="229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3">
      <c r="B60" s="8"/>
      <c r="C60" s="5"/>
      <c r="D60" s="5"/>
      <c r="E60" s="253"/>
      <c r="F60" s="218"/>
      <c r="G60" s="218"/>
      <c r="H60" s="216"/>
      <c r="I60" s="216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3">
      <c r="B61" s="24" t="s">
        <v>250</v>
      </c>
      <c r="C61" s="25" t="s">
        <v>251</v>
      </c>
      <c r="D61" s="25"/>
      <c r="E61" s="264">
        <f>SUM(E39,E41,E59)</f>
        <v>78</v>
      </c>
      <c r="F61" s="230">
        <f>SUM(F39,F41,F59)</f>
        <v>334</v>
      </c>
      <c r="G61" s="230">
        <f>SUM(G39,G41,G59)</f>
        <v>576</v>
      </c>
      <c r="H61" s="230">
        <f>SUM(H39,H41,H59)</f>
        <v>490</v>
      </c>
      <c r="I61" s="230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3">
      <c r="B62" s="8"/>
      <c r="C62" s="5"/>
      <c r="D62" s="5"/>
      <c r="E62" s="253"/>
      <c r="F62" s="218"/>
      <c r="G62" s="218"/>
      <c r="H62" s="216"/>
      <c r="I62" s="216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3">
      <c r="B63" s="8" t="s">
        <v>252</v>
      </c>
      <c r="C63" s="5" t="s">
        <v>253</v>
      </c>
      <c r="D63" s="5"/>
      <c r="E63" s="253"/>
      <c r="F63" s="218"/>
      <c r="G63" s="218"/>
      <c r="H63" s="216"/>
      <c r="I63" s="216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3">
      <c r="B64" s="5" t="s">
        <v>254</v>
      </c>
      <c r="C64" s="5" t="s">
        <v>255</v>
      </c>
      <c r="D64" s="5"/>
      <c r="E64" s="253">
        <v>105</v>
      </c>
      <c r="F64" s="218">
        <v>138</v>
      </c>
      <c r="G64" s="218">
        <v>107</v>
      </c>
      <c r="H64" s="218">
        <v>146</v>
      </c>
      <c r="I64" s="218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3">
      <c r="B65" s="5" t="s">
        <v>256</v>
      </c>
      <c r="C65" s="5" t="s">
        <v>257</v>
      </c>
      <c r="D65" s="5"/>
      <c r="E65" s="253">
        <v>23</v>
      </c>
      <c r="F65" s="218">
        <v>25</v>
      </c>
      <c r="G65" s="218">
        <v>26</v>
      </c>
      <c r="H65" s="218">
        <v>30</v>
      </c>
      <c r="I65" s="218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3">
      <c r="B66" s="5" t="s">
        <v>258</v>
      </c>
      <c r="C66" s="5" t="s">
        <v>259</v>
      </c>
      <c r="D66" s="5"/>
      <c r="E66" s="253">
        <v>-17</v>
      </c>
      <c r="F66" s="218">
        <v>4</v>
      </c>
      <c r="G66" s="218">
        <v>-1</v>
      </c>
      <c r="H66" s="218">
        <v>2</v>
      </c>
      <c r="I66" s="218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3">
      <c r="B67" s="133" t="s">
        <v>260</v>
      </c>
      <c r="C67" s="64" t="s">
        <v>261</v>
      </c>
      <c r="D67" s="64"/>
      <c r="E67" s="267">
        <f>SUM(E64:E66)</f>
        <v>111</v>
      </c>
      <c r="F67" s="268">
        <f>SUM(F64:F66)</f>
        <v>167</v>
      </c>
      <c r="G67" s="268">
        <f>SUM(G64:G66)</f>
        <v>132</v>
      </c>
      <c r="H67" s="268">
        <f>SUM(H64:H66)</f>
        <v>178</v>
      </c>
      <c r="I67" s="268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3">
      <c r="B68" s="5" t="s">
        <v>33</v>
      </c>
      <c r="C68" s="5" t="s">
        <v>262</v>
      </c>
      <c r="D68" s="5"/>
      <c r="E68" s="253">
        <v>142</v>
      </c>
      <c r="F68" s="218">
        <v>44</v>
      </c>
      <c r="G68" s="218">
        <v>88</v>
      </c>
      <c r="H68" s="218">
        <v>33</v>
      </c>
      <c r="I68" s="218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3">
      <c r="B69" s="5" t="s">
        <v>263</v>
      </c>
      <c r="C69" s="5" t="s">
        <v>264</v>
      </c>
      <c r="D69" s="5"/>
      <c r="E69" s="253">
        <v>-120</v>
      </c>
      <c r="F69" s="218">
        <v>-89</v>
      </c>
      <c r="G69" s="218">
        <v>-28</v>
      </c>
      <c r="H69" s="218">
        <v>-54</v>
      </c>
      <c r="I69" s="218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3">
      <c r="B70" s="138" t="s">
        <v>265</v>
      </c>
      <c r="C70" s="139" t="s">
        <v>266</v>
      </c>
      <c r="D70" s="139"/>
      <c r="E70" s="269">
        <f>SUM(E67:E69)</f>
        <v>133</v>
      </c>
      <c r="F70" s="270">
        <f>SUM(F67:F69)</f>
        <v>122</v>
      </c>
      <c r="G70" s="270">
        <f>SUM(G67:G69)</f>
        <v>192</v>
      </c>
      <c r="H70" s="270">
        <f>SUM(H67:H69)</f>
        <v>157</v>
      </c>
      <c r="I70" s="270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3">
      <c r="B71" s="8" t="s">
        <v>267</v>
      </c>
      <c r="C71" s="5" t="s">
        <v>268</v>
      </c>
      <c r="D71" s="5"/>
      <c r="E71" s="271">
        <f>SUM(E61,-E70)</f>
        <v>-55</v>
      </c>
      <c r="F71" s="216">
        <f>SUM(F61,-F70)</f>
        <v>212</v>
      </c>
      <c r="G71" s="216">
        <f>SUM(G61,-G70)</f>
        <v>384</v>
      </c>
      <c r="H71" s="216">
        <f>SUM(H61,-H70)</f>
        <v>333</v>
      </c>
      <c r="I71" s="216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3">
      <c r="B72" s="8" t="s">
        <v>269</v>
      </c>
      <c r="C72" s="5" t="s">
        <v>270</v>
      </c>
      <c r="D72" s="5"/>
      <c r="E72" s="253">
        <v>0</v>
      </c>
      <c r="F72" s="218">
        <v>19</v>
      </c>
      <c r="G72" s="218">
        <v>-85</v>
      </c>
      <c r="H72" s="216">
        <v>21</v>
      </c>
      <c r="I72" s="216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3">
      <c r="B73" s="8"/>
      <c r="C73" s="5"/>
      <c r="D73" s="5"/>
      <c r="E73" s="253"/>
      <c r="F73" s="218"/>
      <c r="G73" s="218"/>
      <c r="H73" s="216"/>
      <c r="I73" s="216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3">
      <c r="B74" s="15" t="s">
        <v>271</v>
      </c>
      <c r="C74" s="16" t="s">
        <v>272</v>
      </c>
      <c r="D74" s="16"/>
      <c r="E74" s="261">
        <f>SUM(E71:E72)</f>
        <v>-55</v>
      </c>
      <c r="F74" s="229">
        <f>SUM(F71:F72)</f>
        <v>231</v>
      </c>
      <c r="G74" s="229">
        <f>SUM(G71:G72)</f>
        <v>299</v>
      </c>
      <c r="H74" s="229">
        <f>SUM(H71:H72)</f>
        <v>354</v>
      </c>
      <c r="I74" s="229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3">
      <c r="B75" s="5" t="s">
        <v>273</v>
      </c>
      <c r="C75" s="5" t="s">
        <v>274</v>
      </c>
      <c r="D75" s="5"/>
      <c r="E75" s="253">
        <v>130</v>
      </c>
      <c r="F75" s="218">
        <v>1</v>
      </c>
      <c r="G75" s="218">
        <v>-6</v>
      </c>
      <c r="H75" s="218">
        <v>-10</v>
      </c>
      <c r="I75" s="218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 x14ac:dyDescent="0.35">
      <c r="B76" s="5"/>
      <c r="C76" s="5"/>
      <c r="D76" s="5"/>
      <c r="E76" s="253"/>
      <c r="F76" s="218"/>
      <c r="G76" s="218"/>
      <c r="H76" s="218"/>
      <c r="I76" s="218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3">
      <c r="B77" s="24" t="s">
        <v>275</v>
      </c>
      <c r="C77" s="25" t="s">
        <v>276</v>
      </c>
      <c r="D77" s="25"/>
      <c r="E77" s="272">
        <v>73</v>
      </c>
      <c r="F77" s="220">
        <v>232</v>
      </c>
      <c r="G77" s="220">
        <v>293</v>
      </c>
      <c r="H77" s="230">
        <f t="shared" ref="H77" si="5">SUM(H74:H75)</f>
        <v>344</v>
      </c>
      <c r="I77" s="230">
        <f>SUM(I74:I75)</f>
        <v>389</v>
      </c>
      <c r="J77" s="55"/>
      <c r="K77" s="55"/>
      <c r="L77" s="55"/>
      <c r="M77" s="122"/>
      <c r="N77" s="55"/>
      <c r="O77" s="55"/>
      <c r="P77" s="55"/>
      <c r="Q77" s="55"/>
      <c r="R77" s="55"/>
    </row>
    <row r="78" spans="2:20" x14ac:dyDescent="0.3">
      <c r="B78" s="122"/>
      <c r="C78" s="55"/>
      <c r="D78" s="55"/>
      <c r="E78" s="55"/>
      <c r="F78" s="55"/>
      <c r="G78" s="55"/>
      <c r="H78" s="55"/>
      <c r="I78" s="55"/>
      <c r="M78" s="100"/>
    </row>
    <row r="79" spans="2:20" ht="15" thickBot="1" x14ac:dyDescent="0.35">
      <c r="B79" s="120" t="s">
        <v>277</v>
      </c>
      <c r="C79" s="121" t="s">
        <v>278</v>
      </c>
      <c r="D79" s="55"/>
      <c r="H79" s="75"/>
      <c r="I79" s="75"/>
      <c r="M79" s="70"/>
    </row>
    <row r="80" spans="2:20" x14ac:dyDescent="0.3">
      <c r="B80" s="77" t="s">
        <v>279</v>
      </c>
      <c r="C80" s="78" t="s">
        <v>280</v>
      </c>
      <c r="D80" s="123"/>
      <c r="E80" s="76"/>
      <c r="F80" s="69"/>
      <c r="G80" s="69"/>
      <c r="H80" s="69"/>
      <c r="I80" s="69"/>
      <c r="M80" s="70"/>
    </row>
    <row r="81" spans="2:13" x14ac:dyDescent="0.3">
      <c r="B81" s="77" t="s">
        <v>281</v>
      </c>
      <c r="C81" s="78" t="s">
        <v>282</v>
      </c>
      <c r="D81" s="124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3">
      <c r="B82" s="77" t="s">
        <v>283</v>
      </c>
      <c r="C82" s="78" t="s">
        <v>284</v>
      </c>
      <c r="D82" s="124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3">
      <c r="B83" s="77" t="s">
        <v>285</v>
      </c>
      <c r="C83" s="78" t="s">
        <v>286</v>
      </c>
      <c r="D83" s="124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 x14ac:dyDescent="0.35">
      <c r="B84" s="77" t="s">
        <v>287</v>
      </c>
      <c r="C84" s="78" t="s">
        <v>288</v>
      </c>
      <c r="D84" s="124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 x14ac:dyDescent="0.35">
      <c r="B85" s="79" t="s">
        <v>289</v>
      </c>
      <c r="C85" s="80" t="s">
        <v>290</v>
      </c>
      <c r="D85" s="125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 x14ac:dyDescent="0.35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 x14ac:dyDescent="0.35">
      <c r="M87" s="84"/>
    </row>
    <row r="88" spans="2:13" ht="15" thickBot="1" x14ac:dyDescent="0.35">
      <c r="B88" s="83" t="s">
        <v>291</v>
      </c>
      <c r="C88" s="84"/>
      <c r="D88" s="126"/>
      <c r="M88" s="88"/>
    </row>
    <row r="89" spans="2:13" x14ac:dyDescent="0.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 x14ac:dyDescent="0.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 x14ac:dyDescent="0.35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 x14ac:dyDescent="0.35">
      <c r="B92" s="91" t="s">
        <v>300</v>
      </c>
      <c r="C92" s="92"/>
      <c r="D92" s="126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 x14ac:dyDescent="0.35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 x14ac:dyDescent="0.35">
      <c r="M94" s="67"/>
    </row>
    <row r="95" spans="2:13" ht="15" thickBot="1" x14ac:dyDescent="0.35">
      <c r="B95" s="94" t="s">
        <v>301</v>
      </c>
      <c r="C95" s="67"/>
      <c r="D95" s="127"/>
    </row>
    <row r="96" spans="2:13" ht="15" thickBot="1" x14ac:dyDescent="0.35">
      <c r="B96" s="97" t="s">
        <v>279</v>
      </c>
      <c r="E96" s="76"/>
      <c r="F96" s="86"/>
      <c r="G96" s="86"/>
      <c r="H96" s="96"/>
      <c r="I96" s="95"/>
    </row>
    <row r="97" spans="5:9" ht="15" thickBot="1" x14ac:dyDescent="0.35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4"/>
  <sheetViews>
    <sheetView zoomScaleNormal="100" workbookViewId="0">
      <selection activeCell="D12" sqref="D12"/>
    </sheetView>
  </sheetViews>
  <sheetFormatPr defaultRowHeight="14.4" outlineLevelRow="1" x14ac:dyDescent="0.3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 x14ac:dyDescent="0.65">
      <c r="A1" s="146"/>
      <c r="B1" s="460" t="s">
        <v>368</v>
      </c>
      <c r="C1" s="460"/>
      <c r="D1" s="148"/>
      <c r="E1" s="148"/>
      <c r="F1" s="148"/>
      <c r="G1" s="148"/>
      <c r="H1" s="148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8" x14ac:dyDescent="0.4">
      <c r="A2" s="146"/>
      <c r="B2" s="146"/>
      <c r="C2" s="459" t="s">
        <v>158</v>
      </c>
      <c r="D2" s="459"/>
      <c r="E2" s="459"/>
      <c r="F2" s="459"/>
      <c r="G2" s="459"/>
      <c r="H2" s="459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3">
      <c r="A3" s="66"/>
      <c r="B3" s="66"/>
      <c r="C3" s="144" t="s">
        <v>1</v>
      </c>
      <c r="D3" s="147">
        <v>42369</v>
      </c>
      <c r="E3" s="147">
        <v>42735</v>
      </c>
      <c r="F3" s="147">
        <v>43100</v>
      </c>
      <c r="G3" s="147">
        <v>43465</v>
      </c>
      <c r="H3" s="147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8" x14ac:dyDescent="0.4">
      <c r="A4" s="1"/>
      <c r="B4" s="199"/>
      <c r="C4" s="149"/>
      <c r="D4" s="31"/>
      <c r="E4" s="29"/>
      <c r="F4" s="29"/>
      <c r="G4" s="29"/>
      <c r="H4" s="29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.8" x14ac:dyDescent="0.4">
      <c r="A5" s="1"/>
      <c r="B5" s="161" t="s">
        <v>381</v>
      </c>
      <c r="C5" s="173"/>
      <c r="D5" s="171">
        <f>'Balance sheet'!F16</f>
        <v>5067</v>
      </c>
      <c r="E5" s="163">
        <f>'Balance sheet'!G16</f>
        <v>5129</v>
      </c>
      <c r="F5" s="163">
        <f>'Balance sheet'!H16</f>
        <v>4606</v>
      </c>
      <c r="G5" s="163">
        <f>'Balance sheet'!I16</f>
        <v>4620</v>
      </c>
      <c r="H5" s="163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6.8" x14ac:dyDescent="0.4">
      <c r="A6" s="1"/>
      <c r="B6" s="161" t="s">
        <v>382</v>
      </c>
      <c r="C6" s="173"/>
      <c r="D6" s="171">
        <f>'Balance sheet'!F27</f>
        <v>1348</v>
      </c>
      <c r="E6" s="163">
        <f>'Balance sheet'!G27</f>
        <v>1704</v>
      </c>
      <c r="F6" s="163">
        <f>'Balance sheet'!H27</f>
        <v>1863</v>
      </c>
      <c r="G6" s="163">
        <f>'Balance sheet'!I27</f>
        <v>2302</v>
      </c>
      <c r="H6" s="163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6.8" x14ac:dyDescent="0.4">
      <c r="A7" s="1"/>
      <c r="B7" s="161" t="s">
        <v>377</v>
      </c>
      <c r="C7" s="173"/>
      <c r="D7" s="171">
        <v>137</v>
      </c>
      <c r="E7" s="163">
        <v>136</v>
      </c>
      <c r="F7" s="163">
        <v>107</v>
      </c>
      <c r="G7" s="163">
        <v>45</v>
      </c>
      <c r="H7" s="163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6.8" x14ac:dyDescent="0.4">
      <c r="A8" s="1"/>
      <c r="B8" s="180" t="s">
        <v>383</v>
      </c>
      <c r="C8" s="180"/>
      <c r="D8" s="181">
        <f>SUM(D5:D7)</f>
        <v>6552</v>
      </c>
      <c r="E8" s="166">
        <f>SUM(E5:E7)</f>
        <v>6969</v>
      </c>
      <c r="F8" s="166">
        <f>SUM(F5:F7)</f>
        <v>6576</v>
      </c>
      <c r="G8" s="166">
        <f>SUM(G5:G7)</f>
        <v>6967</v>
      </c>
      <c r="H8" s="166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6.8" x14ac:dyDescent="0.4">
      <c r="A9" s="1"/>
      <c r="B9" s="173"/>
      <c r="C9" s="173"/>
      <c r="D9" s="171"/>
      <c r="E9" s="163"/>
      <c r="F9" s="163"/>
      <c r="G9" s="163"/>
      <c r="H9" s="163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6.8" x14ac:dyDescent="0.4">
      <c r="A10" s="1"/>
      <c r="B10" s="161" t="s">
        <v>372</v>
      </c>
      <c r="C10" s="173"/>
      <c r="D10" s="171">
        <v>184</v>
      </c>
      <c r="E10" s="163">
        <v>159</v>
      </c>
      <c r="F10" s="163">
        <v>147</v>
      </c>
      <c r="G10" s="163">
        <v>187</v>
      </c>
      <c r="H10" s="163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6.8" x14ac:dyDescent="0.4">
      <c r="A11" s="1"/>
      <c r="B11" s="161" t="s">
        <v>373</v>
      </c>
      <c r="C11" s="173"/>
      <c r="D11" s="171">
        <v>1485</v>
      </c>
      <c r="E11" s="163">
        <v>1821</v>
      </c>
      <c r="F11" s="163">
        <v>1671</v>
      </c>
      <c r="G11" s="163">
        <v>1781</v>
      </c>
      <c r="H11" s="163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6.8" x14ac:dyDescent="0.4">
      <c r="A12" s="1"/>
      <c r="B12" s="161" t="s">
        <v>378</v>
      </c>
      <c r="C12" s="173"/>
      <c r="D12" s="171">
        <v>-1170</v>
      </c>
      <c r="E12" s="163">
        <v>-1384</v>
      </c>
      <c r="F12" s="163">
        <v>-1381</v>
      </c>
      <c r="G12" s="163">
        <v>-1413</v>
      </c>
      <c r="H12" s="163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6.8" x14ac:dyDescent="0.4">
      <c r="A13" s="1"/>
      <c r="B13" s="185" t="s">
        <v>384</v>
      </c>
      <c r="C13" s="185"/>
      <c r="D13" s="186">
        <f>SUM(D10:D12)</f>
        <v>499</v>
      </c>
      <c r="E13" s="187">
        <f t="shared" ref="E13:H13" si="0">SUM(E10:E12)</f>
        <v>596</v>
      </c>
      <c r="F13" s="187">
        <f t="shared" si="0"/>
        <v>437</v>
      </c>
      <c r="G13" s="187">
        <f t="shared" si="0"/>
        <v>555</v>
      </c>
      <c r="H13" s="187">
        <f t="shared" si="0"/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6.8" x14ac:dyDescent="0.4">
      <c r="A14" s="1"/>
      <c r="B14" s="178"/>
      <c r="C14" s="178"/>
      <c r="D14" s="170"/>
      <c r="E14" s="165"/>
      <c r="F14" s="165"/>
      <c r="G14" s="165"/>
      <c r="H14" s="165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4">
      <c r="A15" s="1"/>
      <c r="B15" s="173" t="s">
        <v>11</v>
      </c>
      <c r="C15" s="173"/>
      <c r="D15" s="171">
        <f>SUM(D16:D19)+D20</f>
        <v>636</v>
      </c>
      <c r="E15" s="163">
        <f>SUM(E16:E19)+E20</f>
        <v>695</v>
      </c>
      <c r="F15" s="163">
        <f>SUM(F16:F19)+F20</f>
        <v>563</v>
      </c>
      <c r="G15" s="163">
        <f>SUM(G16:G19)+G20</f>
        <v>510</v>
      </c>
      <c r="H15" s="163">
        <f>SUM(H16:H19)+H20</f>
        <v>665</v>
      </c>
      <c r="I15" s="1"/>
      <c r="J15" s="1"/>
      <c r="K15" s="1"/>
      <c r="L15" s="1"/>
      <c r="M15" s="1"/>
      <c r="N15" s="1"/>
      <c r="O15" s="1" t="s">
        <v>369</v>
      </c>
      <c r="P15" s="1"/>
      <c r="Q15" s="1"/>
      <c r="R15" s="1"/>
    </row>
    <row r="16" spans="1:18" ht="16.8" outlineLevel="1" x14ac:dyDescent="0.4">
      <c r="A16" s="1"/>
      <c r="B16" s="161" t="s">
        <v>374</v>
      </c>
      <c r="C16" s="173"/>
      <c r="D16" s="171">
        <f>'Balance sheet'!F80</f>
        <v>183</v>
      </c>
      <c r="E16" s="163">
        <f>'Balance sheet'!G80</f>
        <v>389</v>
      </c>
      <c r="F16" s="163">
        <f>'Balance sheet'!H80</f>
        <v>216</v>
      </c>
      <c r="G16" s="163">
        <f>'Balance sheet'!I80</f>
        <v>313</v>
      </c>
      <c r="H16" s="163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6.8" outlineLevel="1" x14ac:dyDescent="0.4">
      <c r="A17" s="1"/>
      <c r="B17" s="161" t="s">
        <v>375</v>
      </c>
      <c r="C17" s="173"/>
      <c r="D17" s="171">
        <f>'Balance sheet'!F85</f>
        <v>171</v>
      </c>
      <c r="E17" s="163">
        <f>'Balance sheet'!G85</f>
        <v>218</v>
      </c>
      <c r="F17" s="163">
        <f>'Balance sheet'!H85</f>
        <v>8</v>
      </c>
      <c r="G17" s="163">
        <f>'Balance sheet'!I85</f>
        <v>16</v>
      </c>
      <c r="H17" s="163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6.8" outlineLevel="1" x14ac:dyDescent="0.4">
      <c r="A18" s="1"/>
      <c r="B18" s="174" t="s">
        <v>31</v>
      </c>
      <c r="C18" s="175"/>
      <c r="D18" s="171">
        <f>'Balance sheet'!F40</f>
        <v>6</v>
      </c>
      <c r="E18" s="163">
        <f>'Balance sheet'!G40</f>
        <v>12</v>
      </c>
      <c r="F18" s="163">
        <f>'Balance sheet'!H40</f>
        <v>8</v>
      </c>
      <c r="G18" s="163">
        <f>'Balance sheet'!I40</f>
        <v>20</v>
      </c>
      <c r="H18" s="163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6.8" outlineLevel="1" x14ac:dyDescent="0.4">
      <c r="A19" s="1"/>
      <c r="B19" s="161" t="s">
        <v>75</v>
      </c>
      <c r="C19" s="161"/>
      <c r="D19" s="170">
        <f>71</f>
        <v>71</v>
      </c>
      <c r="E19" s="165">
        <f>70</f>
        <v>70</v>
      </c>
      <c r="F19" s="165">
        <f>107</f>
        <v>107</v>
      </c>
      <c r="G19" s="165">
        <f>49</f>
        <v>49</v>
      </c>
      <c r="H19" s="165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 x14ac:dyDescent="0.3">
      <c r="A20" s="1"/>
      <c r="B20" s="174" t="s">
        <v>376</v>
      </c>
      <c r="C20" s="173"/>
      <c r="D20" s="171">
        <f>'Balance sheet'!F91</f>
        <v>205</v>
      </c>
      <c r="E20" s="163">
        <f>'Balance sheet'!G91</f>
        <v>6</v>
      </c>
      <c r="F20" s="163">
        <f>'Balance sheet'!H91</f>
        <v>224</v>
      </c>
      <c r="G20" s="163">
        <f>'Balance sheet'!I91</f>
        <v>112</v>
      </c>
      <c r="H20" s="163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73" t="s">
        <v>396</v>
      </c>
      <c r="C21" s="173"/>
      <c r="D21" s="171">
        <f>SUM(D22:D25)</f>
        <v>-683</v>
      </c>
      <c r="E21" s="171">
        <f t="shared" ref="E21:H21" si="1">SUM(E22:E25)</f>
        <v>-893</v>
      </c>
      <c r="F21" s="171">
        <f t="shared" si="1"/>
        <v>-673</v>
      </c>
      <c r="G21" s="171">
        <f t="shared" si="1"/>
        <v>-763</v>
      </c>
      <c r="H21" s="171">
        <f t="shared" si="1"/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 x14ac:dyDescent="0.3">
      <c r="A22" s="1"/>
      <c r="B22" s="161" t="s">
        <v>120</v>
      </c>
      <c r="C22" s="173"/>
      <c r="D22" s="171">
        <v>-99</v>
      </c>
      <c r="E22" s="163">
        <v>-109</v>
      </c>
      <c r="F22" s="163">
        <v>-148</v>
      </c>
      <c r="G22" s="163">
        <v>-148</v>
      </c>
      <c r="H22" s="163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 x14ac:dyDescent="0.3">
      <c r="A23" s="1"/>
      <c r="B23" s="161" t="s">
        <v>153</v>
      </c>
      <c r="C23" s="161"/>
      <c r="D23" s="171">
        <v>-43</v>
      </c>
      <c r="E23" s="163">
        <v>-33</v>
      </c>
      <c r="F23" s="163">
        <v>-4</v>
      </c>
      <c r="G23" s="163">
        <v>-34</v>
      </c>
      <c r="H23" s="163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 x14ac:dyDescent="0.3">
      <c r="A24" s="1"/>
      <c r="B24" s="173" t="s">
        <v>379</v>
      </c>
      <c r="C24" s="173"/>
      <c r="D24" s="171">
        <v>-521</v>
      </c>
      <c r="E24" s="163">
        <v>-744</v>
      </c>
      <c r="F24" s="163">
        <v>-521</v>
      </c>
      <c r="G24" s="163">
        <v>-581</v>
      </c>
      <c r="H24" s="163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 x14ac:dyDescent="0.3">
      <c r="A25" s="1"/>
      <c r="B25" s="173" t="s">
        <v>430</v>
      </c>
      <c r="C25" s="173"/>
      <c r="D25" s="171">
        <v>-20</v>
      </c>
      <c r="E25" s="163">
        <v>-7</v>
      </c>
      <c r="F25" s="163">
        <v>0</v>
      </c>
      <c r="G25" s="163">
        <v>0</v>
      </c>
      <c r="H25" s="163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80" t="s">
        <v>385</v>
      </c>
      <c r="C26" s="180"/>
      <c r="D26" s="181">
        <f>D13+D15+D21</f>
        <v>452</v>
      </c>
      <c r="E26" s="181">
        <f t="shared" ref="E26:H26" si="2">E13+E15+E21</f>
        <v>398</v>
      </c>
      <c r="F26" s="181">
        <f t="shared" si="2"/>
        <v>327</v>
      </c>
      <c r="G26" s="181">
        <f t="shared" si="2"/>
        <v>302</v>
      </c>
      <c r="H26" s="181">
        <f t="shared" si="2"/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73"/>
      <c r="C27" s="173"/>
      <c r="D27" s="171"/>
      <c r="E27" s="163"/>
      <c r="F27" s="163"/>
      <c r="G27" s="163"/>
      <c r="H27" s="163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73" t="s">
        <v>429</v>
      </c>
      <c r="C28" s="173"/>
      <c r="D28" s="171">
        <v>308</v>
      </c>
      <c r="E28" s="163">
        <v>341</v>
      </c>
      <c r="F28" s="163">
        <v>301</v>
      </c>
      <c r="G28" s="163">
        <v>264</v>
      </c>
      <c r="H28" s="163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49"/>
      <c r="B29" s="161" t="s">
        <v>113</v>
      </c>
      <c r="C29" s="173"/>
      <c r="D29" s="171">
        <v>-332</v>
      </c>
      <c r="E29" s="163">
        <v>-365</v>
      </c>
      <c r="F29" s="163">
        <v>-319</v>
      </c>
      <c r="G29" s="163">
        <v>-314</v>
      </c>
      <c r="H29" s="163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73" t="s">
        <v>380</v>
      </c>
      <c r="C30" s="173"/>
      <c r="D30" s="171">
        <v>-576</v>
      </c>
      <c r="E30" s="163">
        <v>-671</v>
      </c>
      <c r="F30" s="163">
        <v>-625</v>
      </c>
      <c r="G30" s="163">
        <v>-642</v>
      </c>
      <c r="H30" s="163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 x14ac:dyDescent="0.3">
      <c r="A31" s="1"/>
      <c r="B31" s="177" t="s">
        <v>386</v>
      </c>
      <c r="C31" s="177"/>
      <c r="D31" s="179">
        <f>D8+D26+D28+D29+D30</f>
        <v>6404</v>
      </c>
      <c r="E31" s="179">
        <f>E8+E26+E28+E29+E30</f>
        <v>6672</v>
      </c>
      <c r="F31" s="179">
        <f>F8+F26+F28+F29+F30</f>
        <v>6260</v>
      </c>
      <c r="G31" s="179">
        <f>G8+G26+G28+G29+G30</f>
        <v>6577</v>
      </c>
      <c r="H31" s="179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73"/>
      <c r="C32" s="173"/>
      <c r="D32" s="171"/>
      <c r="E32" s="163"/>
      <c r="F32" s="163"/>
      <c r="G32" s="163"/>
      <c r="H32" s="163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3">
      <c r="A33" s="1"/>
      <c r="B33" s="173"/>
      <c r="C33" s="173"/>
      <c r="D33" s="171"/>
      <c r="E33" s="163"/>
      <c r="F33" s="163"/>
      <c r="G33" s="163"/>
      <c r="H33" s="163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x14ac:dyDescent="0.3">
      <c r="A34" s="1"/>
      <c r="B34" s="173"/>
      <c r="C34" s="173"/>
      <c r="D34" s="171"/>
      <c r="E34" s="163"/>
      <c r="F34" s="163"/>
      <c r="G34" s="163"/>
      <c r="H34" s="163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 x14ac:dyDescent="0.3">
      <c r="A35" s="1"/>
      <c r="B35" s="182" t="s">
        <v>393</v>
      </c>
      <c r="C35" s="182"/>
      <c r="D35" s="183">
        <v>-3259</v>
      </c>
      <c r="E35" s="184">
        <v>-3279</v>
      </c>
      <c r="F35" s="184">
        <v>-3013</v>
      </c>
      <c r="G35" s="184">
        <v>-3523</v>
      </c>
      <c r="H35" s="184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x14ac:dyDescent="0.3">
      <c r="A36" s="1"/>
      <c r="B36" s="173"/>
      <c r="C36" s="173"/>
      <c r="D36" s="171"/>
      <c r="E36" s="163"/>
      <c r="F36" s="163"/>
      <c r="G36" s="163"/>
      <c r="H36" s="1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 x14ac:dyDescent="0.3">
      <c r="A37" s="1"/>
      <c r="B37" s="161" t="s">
        <v>105</v>
      </c>
      <c r="C37" s="173"/>
      <c r="D37" s="171">
        <v>-3089</v>
      </c>
      <c r="E37" s="163">
        <v>-3436</v>
      </c>
      <c r="F37" s="163">
        <v>-3501</v>
      </c>
      <c r="G37" s="163">
        <v>-2984</v>
      </c>
      <c r="H37" s="163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8"/>
      <c r="B38" s="161" t="s">
        <v>150</v>
      </c>
      <c r="C38" s="173"/>
      <c r="D38" s="171">
        <v>-692</v>
      </c>
      <c r="E38" s="163">
        <v>-359</v>
      </c>
      <c r="F38" s="163">
        <v>-437</v>
      </c>
      <c r="G38" s="163">
        <v>-694</v>
      </c>
      <c r="H38" s="163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52"/>
      <c r="B39" s="188" t="s">
        <v>392</v>
      </c>
      <c r="C39" s="188"/>
      <c r="D39" s="189">
        <f>D37+D38</f>
        <v>-3781</v>
      </c>
      <c r="E39" s="190">
        <f t="shared" ref="E39:H39" si="3">E37+E38</f>
        <v>-3795</v>
      </c>
      <c r="F39" s="190">
        <f t="shared" si="3"/>
        <v>-3938</v>
      </c>
      <c r="G39" s="190">
        <f t="shared" si="3"/>
        <v>-3678</v>
      </c>
      <c r="H39" s="190">
        <f t="shared" si="3"/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91"/>
      <c r="C40" s="191"/>
      <c r="D40" s="172"/>
      <c r="E40" s="164"/>
      <c r="F40" s="164"/>
      <c r="G40" s="164"/>
      <c r="H40" s="16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73" t="s">
        <v>77</v>
      </c>
      <c r="C41" s="173"/>
      <c r="D41" s="171">
        <v>636</v>
      </c>
      <c r="E41" s="163">
        <v>402</v>
      </c>
      <c r="F41" s="163">
        <v>691</v>
      </c>
      <c r="G41" s="163">
        <v>624</v>
      </c>
      <c r="H41" s="163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80" t="s">
        <v>387</v>
      </c>
      <c r="C42" s="180"/>
      <c r="D42" s="166">
        <f t="shared" ref="D42:G42" si="4">D39+D41</f>
        <v>-3145</v>
      </c>
      <c r="E42" s="166">
        <f t="shared" si="4"/>
        <v>-3393</v>
      </c>
      <c r="F42" s="166">
        <f t="shared" si="4"/>
        <v>-3247</v>
      </c>
      <c r="G42" s="166">
        <f t="shared" si="4"/>
        <v>-3054</v>
      </c>
      <c r="H42" s="166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73"/>
      <c r="C43" s="173"/>
      <c r="D43" s="171"/>
      <c r="E43" s="163"/>
      <c r="F43" s="163"/>
      <c r="G43" s="163"/>
      <c r="H43" s="16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77" t="s">
        <v>386</v>
      </c>
      <c r="C44" s="177"/>
      <c r="D44" s="179">
        <f>D35+D42</f>
        <v>-6404</v>
      </c>
      <c r="E44" s="168">
        <f>E35+E42</f>
        <v>-6672</v>
      </c>
      <c r="F44" s="168">
        <f>F35+F42</f>
        <v>-6260</v>
      </c>
      <c r="G44" s="168">
        <f>G35+G42</f>
        <v>-6577</v>
      </c>
      <c r="H44" s="168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x14ac:dyDescent="0.3">
      <c r="A45" s="1"/>
      <c r="B45" s="155" t="s">
        <v>399</v>
      </c>
      <c r="C45" s="155"/>
      <c r="D45" s="277">
        <f>D31+D44</f>
        <v>0</v>
      </c>
      <c r="E45" s="277">
        <f t="shared" ref="E45:H45" si="5">E31+E44</f>
        <v>0</v>
      </c>
      <c r="F45" s="277">
        <f t="shared" si="5"/>
        <v>0</v>
      </c>
      <c r="G45" s="277">
        <f t="shared" si="5"/>
        <v>0</v>
      </c>
      <c r="H45" s="277">
        <f t="shared" si="5"/>
        <v>0</v>
      </c>
      <c r="I45" s="282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3">
      <c r="A46" s="1"/>
      <c r="B46" s="200"/>
      <c r="C46" s="201"/>
      <c r="D46" s="201"/>
      <c r="E46" s="201"/>
      <c r="F46" s="201"/>
      <c r="G46" s="201"/>
      <c r="H46" s="201"/>
      <c r="J46" s="1"/>
      <c r="K46" s="1"/>
      <c r="L46" s="1"/>
      <c r="M46" s="1"/>
      <c r="N46" s="1"/>
      <c r="O46" s="1"/>
      <c r="P46" s="1"/>
      <c r="Q46" s="1"/>
      <c r="R46" s="1"/>
    </row>
    <row r="47" spans="1:20" x14ac:dyDescent="0.3">
      <c r="B47" s="202"/>
      <c r="C47" s="203"/>
      <c r="D47" s="202"/>
      <c r="E47" s="202"/>
      <c r="F47" s="202"/>
      <c r="G47" s="202"/>
      <c r="H47" s="202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 x14ac:dyDescent="0.5">
      <c r="A48" s="146"/>
      <c r="B48" s="145" t="s">
        <v>302</v>
      </c>
      <c r="C48" s="129"/>
      <c r="D48" s="129"/>
      <c r="E48" s="129"/>
      <c r="F48" s="129"/>
      <c r="G48" s="129"/>
      <c r="H48" s="129"/>
      <c r="I48" s="1"/>
      <c r="J48" s="169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3">
      <c r="A49" s="146"/>
      <c r="B49" s="129"/>
      <c r="C49" s="129"/>
      <c r="D49" s="461" t="s">
        <v>163</v>
      </c>
      <c r="E49" s="461"/>
      <c r="F49" s="461"/>
      <c r="G49" s="461"/>
      <c r="H49" s="461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 x14ac:dyDescent="0.3">
      <c r="A50" s="66"/>
      <c r="B50" s="204"/>
      <c r="C50" s="143" t="s">
        <v>1</v>
      </c>
      <c r="D50" s="130">
        <v>42369</v>
      </c>
      <c r="E50" s="130">
        <v>42735</v>
      </c>
      <c r="F50" s="130">
        <v>43100</v>
      </c>
      <c r="G50" s="130">
        <v>43465</v>
      </c>
      <c r="H50" s="130">
        <v>43830</v>
      </c>
      <c r="I50" s="169"/>
      <c r="J50" s="1"/>
      <c r="K50" s="1"/>
      <c r="L50" s="1"/>
      <c r="M50" s="1"/>
      <c r="N50" s="1"/>
      <c r="O50" s="1" t="s">
        <v>370</v>
      </c>
      <c r="P50" s="1"/>
      <c r="Q50" s="1"/>
      <c r="R50" s="1"/>
    </row>
    <row r="51" spans="1:18" x14ac:dyDescent="0.3">
      <c r="A51" s="55"/>
      <c r="B51" s="202"/>
      <c r="C51" s="202"/>
      <c r="D51" s="209"/>
      <c r="E51" s="210"/>
      <c r="F51" s="210"/>
      <c r="G51" s="210"/>
      <c r="H51" s="210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/>
      <c r="B52" s="8" t="s">
        <v>398</v>
      </c>
      <c r="C52" s="202"/>
      <c r="D52" s="170">
        <f>SUM(D55:D56)</f>
        <v>4921</v>
      </c>
      <c r="E52" s="165">
        <f t="shared" ref="E52:H52" si="6">SUM(E55:E56)</f>
        <v>4860</v>
      </c>
      <c r="F52" s="165">
        <f t="shared" si="6"/>
        <v>5796</v>
      </c>
      <c r="G52" s="165">
        <f t="shared" si="6"/>
        <v>6494</v>
      </c>
      <c r="H52" s="165">
        <f t="shared" si="6"/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6.8" hidden="1" outlineLevel="1" x14ac:dyDescent="0.4">
      <c r="A53" s="1"/>
      <c r="B53" s="5" t="s">
        <v>167</v>
      </c>
      <c r="C53" s="202"/>
      <c r="D53" s="171">
        <v>3947</v>
      </c>
      <c r="E53" s="163">
        <v>3734</v>
      </c>
      <c r="F53" s="163">
        <v>4633</v>
      </c>
      <c r="G53" s="163">
        <v>5268</v>
      </c>
      <c r="H53" s="163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6.8" hidden="1" outlineLevel="1" x14ac:dyDescent="0.4">
      <c r="A54" s="1"/>
      <c r="B54" s="5" t="s">
        <v>169</v>
      </c>
      <c r="C54" s="202"/>
      <c r="D54" s="171">
        <v>785</v>
      </c>
      <c r="E54" s="163">
        <v>847</v>
      </c>
      <c r="F54" s="163">
        <v>957</v>
      </c>
      <c r="G54" s="163">
        <v>1003</v>
      </c>
      <c r="H54" s="163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.8" hidden="1" outlineLevel="1" x14ac:dyDescent="0.4">
      <c r="A55" s="1"/>
      <c r="B55" s="14" t="s">
        <v>171</v>
      </c>
      <c r="C55" s="202"/>
      <c r="D55" s="172">
        <f>SUM(D53:D54)</f>
        <v>4732</v>
      </c>
      <c r="E55" s="164">
        <f>SUM(E53:E54)</f>
        <v>4581</v>
      </c>
      <c r="F55" s="164">
        <f>SUM(F53:F54)</f>
        <v>5590</v>
      </c>
      <c r="G55" s="164">
        <f>SUM(G53:G54)</f>
        <v>6271</v>
      </c>
      <c r="H55" s="164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6.8" hidden="1" outlineLevel="1" x14ac:dyDescent="0.4">
      <c r="A56" s="1"/>
      <c r="B56" s="5" t="s">
        <v>173</v>
      </c>
      <c r="C56" s="202"/>
      <c r="D56" s="171">
        <v>189</v>
      </c>
      <c r="E56" s="163">
        <v>279</v>
      </c>
      <c r="F56" s="163">
        <v>206</v>
      </c>
      <c r="G56" s="163">
        <v>223</v>
      </c>
      <c r="H56" s="163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collapsed="1" x14ac:dyDescent="0.3">
      <c r="A57" s="1"/>
      <c r="B57" s="5"/>
      <c r="C57" s="201"/>
      <c r="D57" s="171"/>
      <c r="E57" s="171"/>
      <c r="F57" s="163"/>
      <c r="G57" s="163"/>
      <c r="H57" s="163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1"/>
      <c r="B58" s="5" t="s">
        <v>177</v>
      </c>
      <c r="C58" s="201"/>
      <c r="D58" s="171">
        <v>-286</v>
      </c>
      <c r="E58" s="171">
        <v>-2101</v>
      </c>
      <c r="F58" s="163">
        <v>-2831</v>
      </c>
      <c r="G58" s="163">
        <v>-3346</v>
      </c>
      <c r="H58" s="163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1"/>
      <c r="B59" s="5" t="s">
        <v>179</v>
      </c>
      <c r="C59" s="201"/>
      <c r="D59" s="171">
        <v>-706</v>
      </c>
      <c r="E59" s="171">
        <v>-758</v>
      </c>
      <c r="F59" s="163">
        <v>-850</v>
      </c>
      <c r="G59" s="163">
        <v>-986</v>
      </c>
      <c r="H59" s="163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1"/>
      <c r="B60" s="5" t="s">
        <v>183</v>
      </c>
      <c r="C60" s="201"/>
      <c r="D60" s="171">
        <v>-252</v>
      </c>
      <c r="E60" s="171">
        <v>-243</v>
      </c>
      <c r="F60" s="163">
        <v>-281</v>
      </c>
      <c r="G60" s="163">
        <v>-266</v>
      </c>
      <c r="H60" s="163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1"/>
      <c r="B61" s="5" t="s">
        <v>388</v>
      </c>
      <c r="C61" s="201"/>
      <c r="D61" s="171">
        <f>-SUM(D66:D67)</f>
        <v>-629</v>
      </c>
      <c r="E61" s="171">
        <f>-SUM(E66:E67)</f>
        <v>-596</v>
      </c>
      <c r="F61" s="163">
        <f>-SUM(F66:F67)</f>
        <v>-635</v>
      </c>
      <c r="G61" s="163">
        <f>-SUM(G66:G67)</f>
        <v>-665</v>
      </c>
      <c r="H61" s="163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6.8" hidden="1" outlineLevel="1" x14ac:dyDescent="0.4">
      <c r="A62" s="1"/>
      <c r="B62" s="5" t="s">
        <v>187</v>
      </c>
      <c r="C62" s="201"/>
      <c r="D62" s="171">
        <v>441</v>
      </c>
      <c r="E62" s="171">
        <v>433</v>
      </c>
      <c r="F62" s="163">
        <v>471</v>
      </c>
      <c r="G62" s="163">
        <v>494</v>
      </c>
      <c r="H62" s="163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6.8" hidden="1" outlineLevel="1" x14ac:dyDescent="0.4">
      <c r="A63" s="1"/>
      <c r="B63" s="5" t="s">
        <v>189</v>
      </c>
      <c r="C63" s="201"/>
      <c r="D63" s="171">
        <v>163</v>
      </c>
      <c r="E63" s="171">
        <v>146</v>
      </c>
      <c r="F63" s="163">
        <v>160</v>
      </c>
      <c r="G63" s="163">
        <v>173</v>
      </c>
      <c r="H63" s="163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6.8" hidden="1" outlineLevel="1" x14ac:dyDescent="0.4">
      <c r="A64" s="1"/>
      <c r="B64" s="5" t="s">
        <v>191</v>
      </c>
      <c r="C64" s="201"/>
      <c r="D64" s="171">
        <v>25</v>
      </c>
      <c r="E64" s="171">
        <v>26</v>
      </c>
      <c r="F64" s="163">
        <v>29</v>
      </c>
      <c r="G64" s="163">
        <v>31</v>
      </c>
      <c r="H64" s="163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6.8" hidden="1" outlineLevel="1" x14ac:dyDescent="0.4">
      <c r="A65" s="1"/>
      <c r="B65" s="5" t="s">
        <v>192</v>
      </c>
      <c r="C65" s="201"/>
      <c r="D65" s="171">
        <v>27</v>
      </c>
      <c r="E65" s="171">
        <v>36</v>
      </c>
      <c r="F65" s="163">
        <v>27</v>
      </c>
      <c r="G65" s="163">
        <v>33</v>
      </c>
      <c r="H65" s="163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6.8" hidden="1" outlineLevel="1" x14ac:dyDescent="0.4">
      <c r="A66" s="1"/>
      <c r="B66" s="14" t="s">
        <v>194</v>
      </c>
      <c r="C66" s="201"/>
      <c r="D66" s="172">
        <f>SUM(D62:D65)</f>
        <v>656</v>
      </c>
      <c r="E66" s="172">
        <f>SUM(E62:E65)</f>
        <v>641</v>
      </c>
      <c r="F66" s="164">
        <f>SUM(F62:F65)</f>
        <v>687</v>
      </c>
      <c r="G66" s="164">
        <f t="shared" ref="G66" si="7">SUM(G62:G65)</f>
        <v>731</v>
      </c>
      <c r="H66" s="164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6.8" hidden="1" outlineLevel="1" x14ac:dyDescent="0.4">
      <c r="A67" s="1"/>
      <c r="B67" s="5" t="s">
        <v>196</v>
      </c>
      <c r="C67" s="201"/>
      <c r="D67" s="171">
        <v>-27</v>
      </c>
      <c r="E67" s="171">
        <v>-45</v>
      </c>
      <c r="F67" s="163">
        <v>-52</v>
      </c>
      <c r="G67" s="163">
        <v>-66</v>
      </c>
      <c r="H67" s="163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 x14ac:dyDescent="0.3">
      <c r="A68" s="1"/>
      <c r="B68" s="15" t="s">
        <v>397</v>
      </c>
      <c r="C68" s="205"/>
      <c r="D68" s="186">
        <f>SUM(D58:D61)</f>
        <v>-1873</v>
      </c>
      <c r="E68" s="186">
        <f>SUM(E58:E61)</f>
        <v>-3698</v>
      </c>
      <c r="F68" s="187">
        <f>SUM(F58:F61)</f>
        <v>-4597</v>
      </c>
      <c r="G68" s="187">
        <f>SUM(G58:G61)</f>
        <v>-5263</v>
      </c>
      <c r="H68" s="187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1"/>
      <c r="B69" s="8"/>
      <c r="C69" s="201"/>
      <c r="D69" s="171"/>
      <c r="E69" s="171"/>
      <c r="F69" s="163"/>
      <c r="G69" s="163"/>
      <c r="H69" s="163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1"/>
      <c r="B70" s="24" t="s">
        <v>324</v>
      </c>
      <c r="C70" s="206"/>
      <c r="D70" s="181">
        <f>SUM(D52,D68)</f>
        <v>3048</v>
      </c>
      <c r="E70" s="181">
        <f>SUM(E52,E68)</f>
        <v>1162</v>
      </c>
      <c r="F70" s="166">
        <f>SUM(F52,F68)</f>
        <v>1199</v>
      </c>
      <c r="G70" s="166">
        <f>SUM(G52,G68)</f>
        <v>1231</v>
      </c>
      <c r="H70" s="166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1"/>
      <c r="B71" s="5"/>
      <c r="C71" s="201"/>
      <c r="D71" s="275"/>
      <c r="E71" s="275"/>
      <c r="F71" s="167"/>
      <c r="G71" s="167"/>
      <c r="H71" s="167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"/>
      <c r="B72" s="5" t="s">
        <v>389</v>
      </c>
      <c r="C72" s="201"/>
      <c r="D72" s="171">
        <f>-SUM(D73:D75)</f>
        <v>-754</v>
      </c>
      <c r="E72" s="171">
        <f t="shared" ref="E72:H72" si="8">-SUM(E73:E75)</f>
        <v>-648</v>
      </c>
      <c r="F72" s="163">
        <f t="shared" si="8"/>
        <v>-444</v>
      </c>
      <c r="G72" s="163">
        <f t="shared" si="8"/>
        <v>-623</v>
      </c>
      <c r="H72" s="163">
        <f t="shared" si="8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6.8" hidden="1" outlineLevel="1" x14ac:dyDescent="0.4">
      <c r="A73" s="1"/>
      <c r="B73" s="5" t="s">
        <v>202</v>
      </c>
      <c r="C73" s="201"/>
      <c r="D73" s="171">
        <v>54</v>
      </c>
      <c r="E73" s="171">
        <v>55</v>
      </c>
      <c r="F73" s="163">
        <v>72</v>
      </c>
      <c r="G73" s="163">
        <v>91</v>
      </c>
      <c r="H73" s="163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6.8" hidden="1" outlineLevel="1" x14ac:dyDescent="0.4">
      <c r="A74" s="1"/>
      <c r="B74" s="5" t="s">
        <v>204</v>
      </c>
      <c r="C74" s="201"/>
      <c r="D74" s="171">
        <v>341</v>
      </c>
      <c r="E74" s="171">
        <v>348</v>
      </c>
      <c r="F74" s="163">
        <v>338</v>
      </c>
      <c r="G74" s="163">
        <v>372</v>
      </c>
      <c r="H74" s="163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6.8" hidden="1" outlineLevel="1" x14ac:dyDescent="0.4">
      <c r="A75" s="8"/>
      <c r="B75" s="5" t="s">
        <v>206</v>
      </c>
      <c r="C75" s="201"/>
      <c r="D75" s="171">
        <v>359</v>
      </c>
      <c r="E75" s="171">
        <v>245</v>
      </c>
      <c r="F75" s="163">
        <v>34</v>
      </c>
      <c r="G75" s="163">
        <v>160</v>
      </c>
      <c r="H75" s="163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collapsed="1" x14ac:dyDescent="0.3">
      <c r="A76" s="8"/>
      <c r="B76" s="5" t="s">
        <v>517</v>
      </c>
      <c r="C76" s="201"/>
      <c r="D76" s="172">
        <f>-SUM(D77:D78)</f>
        <v>-79</v>
      </c>
      <c r="E76" s="172">
        <f t="shared" ref="E76:H76" si="9">-SUM(E77:E78)</f>
        <v>-71</v>
      </c>
      <c r="F76" s="164">
        <f t="shared" si="9"/>
        <v>-45</v>
      </c>
      <c r="G76" s="164">
        <f t="shared" si="9"/>
        <v>-20</v>
      </c>
      <c r="H76" s="164">
        <f t="shared" si="9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6.8" hidden="1" outlineLevel="1" x14ac:dyDescent="0.4">
      <c r="A77" s="1"/>
      <c r="B77" s="5" t="s">
        <v>210</v>
      </c>
      <c r="C77" s="201"/>
      <c r="D77" s="171">
        <v>57</v>
      </c>
      <c r="E77" s="171">
        <v>50</v>
      </c>
      <c r="F77" s="163">
        <v>10</v>
      </c>
      <c r="G77" s="163">
        <v>-5</v>
      </c>
      <c r="H77" s="163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6.8" hidden="1" outlineLevel="1" x14ac:dyDescent="0.4">
      <c r="A78" s="1"/>
      <c r="B78" s="128" t="s">
        <v>212</v>
      </c>
      <c r="C78" s="201"/>
      <c r="D78" s="171">
        <v>22</v>
      </c>
      <c r="E78" s="171">
        <v>21</v>
      </c>
      <c r="F78" s="163">
        <v>35</v>
      </c>
      <c r="G78" s="163">
        <v>25</v>
      </c>
      <c r="H78" s="163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 x14ac:dyDescent="0.3">
      <c r="A79" s="1"/>
      <c r="B79" s="8"/>
      <c r="C79" s="201"/>
      <c r="D79" s="170"/>
      <c r="E79" s="171"/>
      <c r="F79" s="165"/>
      <c r="G79" s="165"/>
      <c r="H79" s="165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1"/>
      <c r="B80" s="24" t="s">
        <v>303</v>
      </c>
      <c r="C80" s="206"/>
      <c r="D80" s="181">
        <f>SUM(D70,D72,D76)</f>
        <v>2215</v>
      </c>
      <c r="E80" s="181">
        <f>SUM(E70,E72,E76)</f>
        <v>443</v>
      </c>
      <c r="F80" s="166">
        <f>SUM(F70,F72,F76)</f>
        <v>710</v>
      </c>
      <c r="G80" s="166">
        <f>SUM(G70,G72,G76)</f>
        <v>588</v>
      </c>
      <c r="H80" s="166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 x14ac:dyDescent="0.3">
      <c r="A81" s="1"/>
      <c r="B81" s="8"/>
      <c r="C81" s="201"/>
      <c r="D81" s="170"/>
      <c r="E81" s="171"/>
      <c r="F81" s="165"/>
      <c r="G81" s="165"/>
      <c r="H81" s="165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1"/>
      <c r="B82" s="5" t="s">
        <v>217</v>
      </c>
      <c r="C82" s="201"/>
      <c r="D82" s="171">
        <v>1</v>
      </c>
      <c r="E82" s="171">
        <v>52</v>
      </c>
      <c r="F82" s="163">
        <v>0</v>
      </c>
      <c r="G82" s="163">
        <v>14</v>
      </c>
      <c r="H82" s="163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5"/>
      <c r="B83" s="5" t="s">
        <v>219</v>
      </c>
      <c r="C83" s="201"/>
      <c r="D83" s="171">
        <f>SUM(D87,-D96,D97)</f>
        <v>-138</v>
      </c>
      <c r="E83" s="171">
        <f t="shared" ref="E83:H83" si="10">SUM(E87,-E96,E97)</f>
        <v>-161</v>
      </c>
      <c r="F83" s="163">
        <f t="shared" si="10"/>
        <v>-134</v>
      </c>
      <c r="G83" s="163">
        <f t="shared" si="10"/>
        <v>-112</v>
      </c>
      <c r="H83" s="163">
        <f t="shared" si="10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6.8" hidden="1" outlineLevel="1" x14ac:dyDescent="0.4">
      <c r="A84" s="1"/>
      <c r="B84" s="5" t="s">
        <v>221</v>
      </c>
      <c r="C84" s="201"/>
      <c r="D84" s="171"/>
      <c r="E84" s="171"/>
      <c r="F84" s="163"/>
      <c r="G84" s="163"/>
      <c r="H84" s="163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6.8" hidden="1" outlineLevel="1" x14ac:dyDescent="0.4">
      <c r="A85" s="1"/>
      <c r="B85" s="5" t="s">
        <v>223</v>
      </c>
      <c r="C85" s="201"/>
      <c r="D85" s="171"/>
      <c r="E85" s="171"/>
      <c r="F85" s="163"/>
      <c r="G85" s="163">
        <v>0</v>
      </c>
      <c r="H85" s="163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6.8" hidden="1" outlineLevel="1" x14ac:dyDescent="0.4">
      <c r="A86" s="151"/>
      <c r="B86" s="5" t="s">
        <v>224</v>
      </c>
      <c r="C86" s="201"/>
      <c r="D86" s="171"/>
      <c r="E86" s="171"/>
      <c r="F86" s="163"/>
      <c r="G86" s="163">
        <v>16</v>
      </c>
      <c r="H86" s="163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.8" hidden="1" outlineLevel="1" x14ac:dyDescent="0.4">
      <c r="A87" s="1"/>
      <c r="B87" s="5" t="s">
        <v>225</v>
      </c>
      <c r="C87" s="201"/>
      <c r="D87" s="171">
        <v>28</v>
      </c>
      <c r="E87" s="171">
        <v>34</v>
      </c>
      <c r="F87" s="163">
        <v>19</v>
      </c>
      <c r="G87" s="163">
        <f t="shared" ref="G87" si="11">SUM(G85:G86)</f>
        <v>16</v>
      </c>
      <c r="H87" s="163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6.8" hidden="1" outlineLevel="1" x14ac:dyDescent="0.4">
      <c r="A88" s="5"/>
      <c r="B88" s="5" t="s">
        <v>226</v>
      </c>
      <c r="C88" s="201"/>
      <c r="D88" s="171"/>
      <c r="E88" s="171"/>
      <c r="F88" s="163"/>
      <c r="G88" s="163"/>
      <c r="H88" s="163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.8" hidden="1" outlineLevel="1" x14ac:dyDescent="0.4">
      <c r="A89" s="1"/>
      <c r="B89" s="5" t="s">
        <v>228</v>
      </c>
      <c r="C89" s="201"/>
      <c r="D89" s="171">
        <v>125</v>
      </c>
      <c r="E89" s="171">
        <v>125</v>
      </c>
      <c r="F89" s="163">
        <v>104</v>
      </c>
      <c r="G89" s="163">
        <v>102</v>
      </c>
      <c r="H89" s="163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6.8" hidden="1" outlineLevel="1" x14ac:dyDescent="0.4">
      <c r="A90" s="1"/>
      <c r="B90" s="5" t="s">
        <v>230</v>
      </c>
      <c r="C90" s="201"/>
      <c r="D90" s="171">
        <v>15</v>
      </c>
      <c r="E90" s="171">
        <v>9</v>
      </c>
      <c r="F90" s="163">
        <v>9</v>
      </c>
      <c r="G90" s="163">
        <v>6</v>
      </c>
      <c r="H90" s="163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6.8" hidden="1" outlineLevel="1" x14ac:dyDescent="0.4">
      <c r="A91" s="1"/>
      <c r="B91" s="5" t="s">
        <v>232</v>
      </c>
      <c r="C91" s="201"/>
      <c r="D91" s="171">
        <v>5</v>
      </c>
      <c r="E91" s="171">
        <v>6</v>
      </c>
      <c r="F91" s="163">
        <v>8</v>
      </c>
      <c r="G91" s="163">
        <v>8</v>
      </c>
      <c r="H91" s="163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6.8" hidden="1" outlineLevel="1" x14ac:dyDescent="0.4">
      <c r="A92" s="1"/>
      <c r="B92" s="5" t="s">
        <v>234</v>
      </c>
      <c r="C92" s="201"/>
      <c r="D92" s="171">
        <v>0</v>
      </c>
      <c r="E92" s="171">
        <v>1</v>
      </c>
      <c r="F92" s="163">
        <v>2</v>
      </c>
      <c r="G92" s="163">
        <v>2</v>
      </c>
      <c r="H92" s="163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6.8" hidden="1" outlineLevel="1" x14ac:dyDescent="0.4">
      <c r="A93" s="1"/>
      <c r="B93" s="5" t="s">
        <v>236</v>
      </c>
      <c r="C93" s="201"/>
      <c r="D93" s="171">
        <v>17</v>
      </c>
      <c r="E93" s="171">
        <v>51</v>
      </c>
      <c r="F93" s="163">
        <v>35</v>
      </c>
      <c r="G93" s="163">
        <v>14</v>
      </c>
      <c r="H93" s="163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6.8" hidden="1" outlineLevel="1" x14ac:dyDescent="0.4">
      <c r="A94" s="1"/>
      <c r="B94" s="5" t="s">
        <v>238</v>
      </c>
      <c r="C94" s="201"/>
      <c r="D94" s="171">
        <v>162</v>
      </c>
      <c r="E94" s="171">
        <f>SUM(E89:E93)</f>
        <v>192</v>
      </c>
      <c r="F94" s="163">
        <f>SUM(F89:F93)</f>
        <v>158</v>
      </c>
      <c r="G94" s="163">
        <f>SUM(G89:G93)</f>
        <v>132</v>
      </c>
      <c r="H94" s="163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6.8" hidden="1" outlineLevel="1" x14ac:dyDescent="0.4">
      <c r="A95" s="1"/>
      <c r="B95" s="5" t="s">
        <v>240</v>
      </c>
      <c r="C95" s="201"/>
      <c r="D95" s="171">
        <v>0</v>
      </c>
      <c r="E95" s="171">
        <v>0</v>
      </c>
      <c r="F95" s="163">
        <v>0</v>
      </c>
      <c r="G95" s="163">
        <v>0</v>
      </c>
      <c r="H95" s="163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.8" hidden="1" outlineLevel="1" x14ac:dyDescent="0.4">
      <c r="A96" s="1"/>
      <c r="B96" s="5" t="s">
        <v>242</v>
      </c>
      <c r="C96" s="201"/>
      <c r="D96" s="171">
        <f>SUM(D94:D95)</f>
        <v>162</v>
      </c>
      <c r="E96" s="171">
        <f>SUM(E94:E95)</f>
        <v>192</v>
      </c>
      <c r="F96" s="163">
        <f>SUM(F94:F95)</f>
        <v>158</v>
      </c>
      <c r="G96" s="163">
        <f>SUM(G94:G95)</f>
        <v>132</v>
      </c>
      <c r="H96" s="163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6.8" hidden="1" outlineLevel="1" x14ac:dyDescent="0.4">
      <c r="A97" s="1"/>
      <c r="B97" s="5" t="s">
        <v>244</v>
      </c>
      <c r="C97" s="201"/>
      <c r="D97" s="171">
        <v>-4</v>
      </c>
      <c r="E97" s="171">
        <v>-3</v>
      </c>
      <c r="F97" s="163">
        <v>5</v>
      </c>
      <c r="G97" s="163">
        <v>4</v>
      </c>
      <c r="H97" s="163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6.8" hidden="1" outlineLevel="1" x14ac:dyDescent="0.4">
      <c r="A98" s="1"/>
      <c r="B98" s="5" t="s">
        <v>246</v>
      </c>
      <c r="C98" s="201"/>
      <c r="D98" s="171"/>
      <c r="E98" s="171">
        <v>0</v>
      </c>
      <c r="F98" s="163">
        <v>0</v>
      </c>
      <c r="G98" s="163">
        <v>0</v>
      </c>
      <c r="H98" s="163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 x14ac:dyDescent="0.3">
      <c r="A99" s="1"/>
      <c r="B99" s="14" t="s">
        <v>428</v>
      </c>
      <c r="C99" s="201"/>
      <c r="D99" s="171">
        <f>SUM(D82:D83)</f>
        <v>-137</v>
      </c>
      <c r="E99" s="171">
        <f t="shared" ref="E99:H99" si="12">SUM(E82:E83)</f>
        <v>-109</v>
      </c>
      <c r="F99" s="163">
        <f t="shared" si="12"/>
        <v>-134</v>
      </c>
      <c r="G99" s="163">
        <f t="shared" si="12"/>
        <v>-98</v>
      </c>
      <c r="H99" s="163">
        <f t="shared" si="12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 s="1"/>
      <c r="B100" s="200"/>
      <c r="C100" s="201"/>
      <c r="D100" s="276"/>
      <c r="E100" s="276"/>
      <c r="F100" s="207"/>
      <c r="G100" s="207"/>
      <c r="H100" s="207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 s="1"/>
      <c r="B101" s="24" t="s">
        <v>304</v>
      </c>
      <c r="C101" s="206"/>
      <c r="D101" s="181">
        <f>SUM(D80,D82,D83)</f>
        <v>2078</v>
      </c>
      <c r="E101" s="181">
        <f>SUM(E80,E82,E83)</f>
        <v>334</v>
      </c>
      <c r="F101" s="166">
        <f>SUM(F80,F82,F83)</f>
        <v>576</v>
      </c>
      <c r="G101" s="166">
        <f>SUM(G80,G82,G83)</f>
        <v>490</v>
      </c>
      <c r="H101" s="166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 s="1"/>
      <c r="B102" s="200"/>
      <c r="C102" s="201"/>
      <c r="D102" s="276"/>
      <c r="E102" s="276"/>
      <c r="F102" s="207"/>
      <c r="G102" s="207"/>
      <c r="H102" s="207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6.8" hidden="1" outlineLevel="1" x14ac:dyDescent="0.4">
      <c r="A103" s="1"/>
      <c r="B103" s="5" t="s">
        <v>254</v>
      </c>
      <c r="C103" s="201"/>
      <c r="D103" s="171">
        <v>105</v>
      </c>
      <c r="E103" s="171">
        <v>138</v>
      </c>
      <c r="F103" s="163">
        <v>107</v>
      </c>
      <c r="G103" s="163">
        <v>146</v>
      </c>
      <c r="H103" s="163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6.8" hidden="1" outlineLevel="1" x14ac:dyDescent="0.4">
      <c r="A104" s="1"/>
      <c r="B104" s="5" t="s">
        <v>256</v>
      </c>
      <c r="C104" s="201"/>
      <c r="D104" s="171">
        <v>23</v>
      </c>
      <c r="E104" s="171">
        <v>25</v>
      </c>
      <c r="F104" s="163">
        <v>26</v>
      </c>
      <c r="G104" s="163">
        <v>30</v>
      </c>
      <c r="H104" s="163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6.8" hidden="1" outlineLevel="1" x14ac:dyDescent="0.4">
      <c r="A105" s="1"/>
      <c r="B105" s="5" t="s">
        <v>258</v>
      </c>
      <c r="C105" s="201"/>
      <c r="D105" s="171">
        <v>-17</v>
      </c>
      <c r="E105" s="171">
        <v>4</v>
      </c>
      <c r="F105" s="163">
        <v>-1</v>
      </c>
      <c r="G105" s="163">
        <v>2</v>
      </c>
      <c r="H105" s="163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6.8" hidden="1" outlineLevel="1" x14ac:dyDescent="0.4">
      <c r="A106" s="1"/>
      <c r="B106" s="14" t="s">
        <v>260</v>
      </c>
      <c r="C106" s="201"/>
      <c r="D106" s="172">
        <f>SUM(D103:D105)</f>
        <v>111</v>
      </c>
      <c r="E106" s="172">
        <f>SUM(E103:E105)</f>
        <v>167</v>
      </c>
      <c r="F106" s="164">
        <f>SUM(F103:F105)</f>
        <v>132</v>
      </c>
      <c r="G106" s="164">
        <f>SUM(G103:G105)</f>
        <v>178</v>
      </c>
      <c r="H106" s="164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.8" hidden="1" outlineLevel="1" x14ac:dyDescent="0.4">
      <c r="A107" s="1"/>
      <c r="B107" s="5" t="s">
        <v>394</v>
      </c>
      <c r="C107" s="201"/>
      <c r="D107" s="171">
        <v>142</v>
      </c>
      <c r="E107" s="171">
        <v>44</v>
      </c>
      <c r="F107" s="163">
        <v>88</v>
      </c>
      <c r="G107" s="163">
        <v>33</v>
      </c>
      <c r="H107" s="163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6.8" hidden="1" outlineLevel="1" x14ac:dyDescent="0.4">
      <c r="A108" s="1"/>
      <c r="B108" s="5" t="s">
        <v>395</v>
      </c>
      <c r="C108" s="201"/>
      <c r="D108" s="171">
        <v>-120</v>
      </c>
      <c r="E108" s="171">
        <v>-89</v>
      </c>
      <c r="F108" s="163">
        <v>-28</v>
      </c>
      <c r="G108" s="163">
        <v>-54</v>
      </c>
      <c r="H108" s="163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 x14ac:dyDescent="0.3">
      <c r="A109" s="1"/>
      <c r="B109" s="5" t="s">
        <v>305</v>
      </c>
      <c r="C109" s="201"/>
      <c r="D109" s="171">
        <f>-SUM(D106:D108)</f>
        <v>-133</v>
      </c>
      <c r="E109" s="171">
        <f t="shared" ref="E109:H109" si="13">-SUM(E106:E108)</f>
        <v>-122</v>
      </c>
      <c r="F109" s="163">
        <f t="shared" si="13"/>
        <v>-192</v>
      </c>
      <c r="G109" s="163">
        <f t="shared" si="13"/>
        <v>-157</v>
      </c>
      <c r="H109" s="163">
        <f t="shared" si="13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 s="1"/>
      <c r="B110" s="5" t="s">
        <v>390</v>
      </c>
      <c r="C110" s="201"/>
      <c r="D110" s="171">
        <f>SUM(D111:D112)</f>
        <v>130</v>
      </c>
      <c r="E110" s="171">
        <f t="shared" ref="E110:H110" si="14">SUM(E111:E112)</f>
        <v>20</v>
      </c>
      <c r="F110" s="163">
        <f t="shared" si="14"/>
        <v>-91</v>
      </c>
      <c r="G110" s="163">
        <f t="shared" si="14"/>
        <v>11</v>
      </c>
      <c r="H110" s="163">
        <f t="shared" si="14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 x14ac:dyDescent="0.3">
      <c r="A111" s="1"/>
      <c r="B111" s="5" t="s">
        <v>269</v>
      </c>
      <c r="C111" s="201"/>
      <c r="D111" s="171">
        <v>0</v>
      </c>
      <c r="E111" s="171">
        <v>19</v>
      </c>
      <c r="F111" s="163">
        <v>-85</v>
      </c>
      <c r="G111" s="163">
        <v>21</v>
      </c>
      <c r="H111" s="163">
        <v>1</v>
      </c>
      <c r="I111" s="1"/>
      <c r="J111" s="142"/>
      <c r="K111" s="1"/>
      <c r="L111" s="1"/>
      <c r="M111" s="1"/>
      <c r="N111" s="1"/>
      <c r="O111" s="1"/>
      <c r="P111" s="1"/>
      <c r="Q111" s="1"/>
      <c r="R111" s="1"/>
    </row>
    <row r="112" spans="1:18" outlineLevel="1" x14ac:dyDescent="0.3">
      <c r="A112" s="1"/>
      <c r="B112" s="5" t="s">
        <v>273</v>
      </c>
      <c r="C112" s="201"/>
      <c r="D112" s="171">
        <v>130</v>
      </c>
      <c r="E112" s="171">
        <v>1</v>
      </c>
      <c r="F112" s="163">
        <v>-6</v>
      </c>
      <c r="G112" s="163">
        <v>-10</v>
      </c>
      <c r="H112" s="163">
        <v>-4</v>
      </c>
      <c r="I112" s="1"/>
      <c r="J112" s="160"/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 s="1"/>
      <c r="B113" s="5"/>
      <c r="C113" s="201"/>
      <c r="D113" s="171"/>
      <c r="E113" s="171"/>
      <c r="F113" s="163"/>
      <c r="G113" s="163"/>
      <c r="H113" s="163"/>
      <c r="I113" s="1"/>
      <c r="J113" s="161"/>
      <c r="K113" s="1"/>
      <c r="L113" s="1"/>
      <c r="M113" s="1"/>
      <c r="N113" s="1"/>
      <c r="O113" s="1"/>
      <c r="P113" s="1"/>
      <c r="Q113" s="1"/>
      <c r="R113" s="1"/>
    </row>
    <row r="114" spans="1:18" x14ac:dyDescent="0.3">
      <c r="A114" s="1"/>
      <c r="B114" s="18" t="s">
        <v>391</v>
      </c>
      <c r="C114" s="208"/>
      <c r="D114" s="179">
        <f>SUM(D101,D109:D110)</f>
        <v>2075</v>
      </c>
      <c r="E114" s="179">
        <f>SUM(E101,E109:E110)</f>
        <v>232</v>
      </c>
      <c r="F114" s="168">
        <f>SUM(F101,F109:F110)</f>
        <v>293</v>
      </c>
      <c r="G114" s="168">
        <f>SUM(G101,G109:G110)</f>
        <v>344</v>
      </c>
      <c r="H114" s="168">
        <f>SUM(H101,H109:H110)</f>
        <v>389</v>
      </c>
      <c r="I114" s="142"/>
      <c r="J114" s="161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1"/>
      <c r="B115" s="1"/>
      <c r="C115" s="8"/>
      <c r="D115" s="5"/>
      <c r="E115" s="5"/>
      <c r="F115" s="142"/>
      <c r="G115" s="142"/>
      <c r="H115" s="142"/>
      <c r="I115" s="160"/>
      <c r="J115" s="162"/>
      <c r="K115" s="1"/>
      <c r="L115" s="1"/>
      <c r="M115" s="1"/>
      <c r="N115" s="1"/>
      <c r="O115" s="1"/>
      <c r="P115" s="1"/>
      <c r="Q115" s="1"/>
      <c r="R115" s="1"/>
    </row>
    <row r="116" spans="1:18" x14ac:dyDescent="0.3">
      <c r="A116" s="1"/>
      <c r="B116" s="1"/>
      <c r="C116" s="8"/>
      <c r="D116" s="5"/>
      <c r="E116" s="5"/>
      <c r="F116" s="160"/>
      <c r="G116" s="160"/>
      <c r="H116" s="160"/>
      <c r="I116" s="161"/>
      <c r="J116" s="161"/>
      <c r="K116" s="1"/>
      <c r="L116" s="1"/>
      <c r="M116" s="1"/>
      <c r="N116" s="1"/>
      <c r="O116" s="1"/>
      <c r="P116" s="1"/>
      <c r="Q116" s="1"/>
      <c r="R116" s="1"/>
    </row>
    <row r="117" spans="1:18" x14ac:dyDescent="0.3">
      <c r="A117" s="1"/>
      <c r="B117" s="1"/>
      <c r="C117" s="5"/>
      <c r="D117" s="5"/>
      <c r="E117" s="5"/>
      <c r="F117" s="161"/>
      <c r="G117" s="161"/>
      <c r="H117" s="161"/>
      <c r="I117" s="161"/>
      <c r="J117" s="161"/>
      <c r="K117" s="1"/>
      <c r="L117" s="1"/>
      <c r="M117" s="1"/>
      <c r="N117" s="1"/>
      <c r="O117" s="1"/>
      <c r="P117" s="1"/>
      <c r="Q117" s="1"/>
      <c r="R117" s="1"/>
    </row>
    <row r="118" spans="1:18" x14ac:dyDescent="0.3">
      <c r="A118" s="1"/>
      <c r="B118" s="1"/>
      <c r="C118" s="5"/>
      <c r="D118" s="5"/>
      <c r="E118" s="5"/>
      <c r="F118" s="161"/>
      <c r="G118" s="161"/>
      <c r="H118" s="161"/>
      <c r="I118" s="162"/>
      <c r="J118" s="161"/>
      <c r="K118" s="55"/>
      <c r="L118" s="1"/>
      <c r="M118" s="1"/>
      <c r="N118" s="1"/>
      <c r="O118" s="1"/>
      <c r="P118" s="1"/>
      <c r="Q118" s="1"/>
      <c r="R118" s="1"/>
    </row>
    <row r="119" spans="1:18" x14ac:dyDescent="0.3">
      <c r="A119" s="1"/>
      <c r="B119" s="1"/>
      <c r="C119" s="14"/>
      <c r="D119" s="5"/>
      <c r="E119" s="5"/>
      <c r="F119" s="162"/>
      <c r="G119" s="162"/>
      <c r="H119" s="162"/>
      <c r="I119" s="161"/>
      <c r="J119" s="161"/>
      <c r="K119" s="55"/>
      <c r="L119" s="1"/>
      <c r="M119" s="1"/>
      <c r="N119" s="1"/>
      <c r="O119" s="1"/>
      <c r="P119" s="1"/>
      <c r="Q119" s="1"/>
      <c r="R119" s="1"/>
    </row>
    <row r="120" spans="1:18" x14ac:dyDescent="0.3">
      <c r="A120" s="1"/>
      <c r="B120" s="1"/>
      <c r="C120" s="5"/>
      <c r="D120" s="5"/>
      <c r="E120" s="5"/>
      <c r="F120" s="161"/>
      <c r="G120" s="161"/>
      <c r="H120" s="161"/>
      <c r="I120" s="161"/>
      <c r="J120" s="161"/>
      <c r="K120" s="55"/>
      <c r="L120" s="1"/>
      <c r="M120" s="1"/>
      <c r="N120" s="1"/>
      <c r="O120" s="1"/>
      <c r="P120" s="1"/>
      <c r="Q120" s="1"/>
      <c r="R120" s="1"/>
    </row>
    <row r="121" spans="1:18" x14ac:dyDescent="0.3">
      <c r="A121" s="1"/>
      <c r="B121" s="1"/>
      <c r="C121" s="5"/>
      <c r="D121" s="5"/>
      <c r="E121" s="5"/>
      <c r="F121" s="161"/>
      <c r="G121" s="161"/>
      <c r="H121" s="161"/>
      <c r="I121" s="161"/>
      <c r="J121" s="161"/>
      <c r="K121" s="55"/>
      <c r="L121" s="1"/>
      <c r="M121" s="1"/>
      <c r="N121" s="1"/>
      <c r="O121" s="1"/>
      <c r="P121" s="1"/>
      <c r="Q121" s="1"/>
      <c r="R121" s="1"/>
    </row>
    <row r="122" spans="1:18" x14ac:dyDescent="0.3">
      <c r="A122" s="1"/>
      <c r="B122" s="1"/>
      <c r="C122" s="5"/>
      <c r="D122" s="5"/>
      <c r="E122" s="5"/>
      <c r="F122" s="161"/>
      <c r="G122" s="161"/>
      <c r="H122" s="161"/>
      <c r="I122" s="161"/>
      <c r="J122" s="161"/>
      <c r="K122" s="55"/>
      <c r="L122" s="1"/>
      <c r="M122" s="1"/>
      <c r="N122" s="1"/>
      <c r="O122" s="1"/>
      <c r="P122" s="1"/>
      <c r="Q122" s="1"/>
      <c r="R122" s="1"/>
    </row>
    <row r="123" spans="1:18" x14ac:dyDescent="0.3">
      <c r="A123" s="1"/>
      <c r="B123" s="1"/>
      <c r="C123" s="5"/>
      <c r="D123" s="5"/>
      <c r="E123" s="5"/>
      <c r="F123" s="161"/>
      <c r="G123" s="161"/>
      <c r="H123" s="161"/>
      <c r="I123" s="161"/>
      <c r="J123" s="161"/>
      <c r="K123" s="55"/>
      <c r="L123" s="1"/>
      <c r="M123" s="1"/>
      <c r="N123" s="1"/>
      <c r="O123" s="1"/>
      <c r="P123" s="1"/>
      <c r="Q123" s="1"/>
      <c r="R123" s="1"/>
    </row>
    <row r="124" spans="1:18" x14ac:dyDescent="0.3">
      <c r="A124" s="1"/>
      <c r="B124" s="1"/>
      <c r="C124" s="5"/>
      <c r="D124" s="5"/>
      <c r="E124" s="5"/>
      <c r="F124" s="161"/>
      <c r="G124" s="161"/>
      <c r="H124" s="161"/>
      <c r="I124" s="161"/>
      <c r="J124" s="161"/>
      <c r="K124" s="55"/>
      <c r="L124" s="1"/>
      <c r="M124" s="1"/>
      <c r="N124" s="1"/>
      <c r="O124" s="1"/>
      <c r="P124" s="1"/>
      <c r="Q124" s="1"/>
      <c r="R124" s="1"/>
    </row>
    <row r="125" spans="1:18" x14ac:dyDescent="0.3">
      <c r="A125" s="1"/>
      <c r="B125" s="1"/>
      <c r="C125" s="5"/>
      <c r="D125" s="5"/>
      <c r="E125" s="5"/>
      <c r="F125" s="161"/>
      <c r="G125" s="161"/>
      <c r="H125" s="161"/>
      <c r="I125" s="161"/>
      <c r="J125" s="161"/>
      <c r="K125" s="55"/>
      <c r="L125" s="1"/>
      <c r="M125" s="1"/>
      <c r="N125" s="1"/>
      <c r="O125" s="1"/>
      <c r="P125" s="1"/>
      <c r="Q125" s="1"/>
      <c r="R125" s="1"/>
    </row>
    <row r="126" spans="1:18" x14ac:dyDescent="0.3">
      <c r="A126" s="1"/>
      <c r="B126" s="1"/>
      <c r="C126" s="5"/>
      <c r="D126" s="5"/>
      <c r="E126" s="5"/>
      <c r="F126" s="161"/>
      <c r="G126" s="161"/>
      <c r="H126" s="161"/>
      <c r="I126" s="161"/>
      <c r="J126" s="161"/>
      <c r="K126" s="55"/>
      <c r="L126" s="1"/>
      <c r="M126" s="1"/>
      <c r="N126" s="1"/>
      <c r="O126" s="1"/>
      <c r="P126" s="1"/>
      <c r="Q126" s="1"/>
      <c r="R126" s="1"/>
    </row>
    <row r="127" spans="1:18" x14ac:dyDescent="0.3">
      <c r="A127" s="1"/>
      <c r="B127" s="1"/>
      <c r="C127" s="5"/>
      <c r="D127" s="5"/>
      <c r="E127" s="5"/>
      <c r="F127" s="161"/>
      <c r="G127" s="161"/>
      <c r="H127" s="161"/>
      <c r="I127" s="161"/>
      <c r="J127" s="161"/>
      <c r="K127" s="55"/>
      <c r="L127" s="1"/>
      <c r="M127" s="1"/>
      <c r="N127" s="1"/>
      <c r="O127" s="1"/>
      <c r="P127" s="1"/>
      <c r="Q127" s="1"/>
      <c r="R127" s="1"/>
    </row>
    <row r="128" spans="1:18" x14ac:dyDescent="0.3">
      <c r="A128" s="1"/>
      <c r="B128" s="1"/>
      <c r="C128" s="5"/>
      <c r="D128" s="5"/>
      <c r="E128" s="5"/>
      <c r="F128" s="161"/>
      <c r="G128" s="161"/>
      <c r="H128" s="161"/>
      <c r="I128" s="161"/>
      <c r="J128" s="162"/>
      <c r="K128" s="55"/>
      <c r="L128" s="1"/>
      <c r="M128" s="1"/>
      <c r="N128" s="1"/>
      <c r="O128" s="1"/>
      <c r="P128" s="1"/>
      <c r="Q128" s="1"/>
      <c r="R128" s="1"/>
    </row>
    <row r="129" spans="1:18" x14ac:dyDescent="0.3">
      <c r="A129" s="1"/>
      <c r="B129" s="1"/>
      <c r="C129" s="5"/>
      <c r="D129" s="5"/>
      <c r="E129" s="5"/>
      <c r="F129" s="161"/>
      <c r="G129" s="161"/>
      <c r="H129" s="161"/>
      <c r="I129" s="161"/>
      <c r="J129" s="161"/>
      <c r="K129" s="55"/>
      <c r="L129" s="1"/>
      <c r="M129" s="1"/>
      <c r="N129" s="1"/>
      <c r="O129" s="1"/>
      <c r="P129" s="1"/>
      <c r="Q129" s="1"/>
      <c r="R129" s="1"/>
    </row>
    <row r="130" spans="1:18" x14ac:dyDescent="0.3">
      <c r="A130" s="1"/>
      <c r="B130" s="1"/>
      <c r="C130" s="5"/>
      <c r="D130" s="5"/>
      <c r="E130" s="5"/>
      <c r="F130" s="161"/>
      <c r="G130" s="161"/>
      <c r="H130" s="161"/>
      <c r="I130" s="161"/>
      <c r="J130" s="160"/>
      <c r="K130" s="55"/>
      <c r="L130" s="1"/>
      <c r="M130" s="1"/>
      <c r="N130" s="1"/>
      <c r="O130" s="1"/>
      <c r="P130" s="1"/>
      <c r="Q130" s="1"/>
      <c r="R130" s="1"/>
    </row>
    <row r="131" spans="1:18" x14ac:dyDescent="0.3">
      <c r="A131" s="1"/>
      <c r="B131" s="1"/>
      <c r="C131" s="5"/>
      <c r="D131" s="5"/>
      <c r="E131" s="5"/>
      <c r="F131" s="161"/>
      <c r="G131" s="161"/>
      <c r="H131" s="161"/>
      <c r="I131" s="162"/>
      <c r="J131" s="161"/>
      <c r="K131" s="55"/>
      <c r="L131" s="1"/>
      <c r="M131" s="1"/>
      <c r="N131" s="1"/>
      <c r="O131" s="1"/>
      <c r="P131" s="1"/>
      <c r="Q131" s="1"/>
      <c r="R131" s="1"/>
    </row>
    <row r="132" spans="1:18" x14ac:dyDescent="0.3">
      <c r="A132" s="1"/>
      <c r="B132" s="1"/>
      <c r="C132" s="14"/>
      <c r="D132" s="5"/>
      <c r="E132" s="5"/>
      <c r="F132" s="162"/>
      <c r="G132" s="162"/>
      <c r="H132" s="162"/>
      <c r="I132" s="161"/>
      <c r="J132" s="160"/>
      <c r="K132" s="55"/>
      <c r="L132" s="1"/>
      <c r="M132" s="1"/>
      <c r="N132" s="1"/>
      <c r="O132" s="1"/>
      <c r="P132" s="1"/>
      <c r="Q132" s="1"/>
      <c r="R132" s="1"/>
    </row>
    <row r="133" spans="1:18" x14ac:dyDescent="0.3">
      <c r="A133" s="1"/>
      <c r="B133" s="1"/>
      <c r="C133" s="5"/>
      <c r="D133" s="5"/>
      <c r="E133" s="5"/>
      <c r="F133" s="161"/>
      <c r="G133" s="161"/>
      <c r="H133" s="161"/>
      <c r="I133" s="160"/>
      <c r="J133" s="176"/>
      <c r="K133" s="55"/>
      <c r="L133" s="1"/>
      <c r="M133" s="1"/>
      <c r="N133" s="1"/>
      <c r="O133" s="1"/>
      <c r="P133" s="1"/>
      <c r="Q133" s="1"/>
      <c r="R133" s="1"/>
    </row>
    <row r="134" spans="1:18" x14ac:dyDescent="0.3">
      <c r="A134" s="1"/>
      <c r="B134" s="1"/>
      <c r="C134" s="8"/>
      <c r="D134" s="8"/>
      <c r="E134" s="8"/>
      <c r="F134" s="160"/>
      <c r="G134" s="160"/>
      <c r="H134" s="160"/>
      <c r="I134" s="161"/>
      <c r="J134" s="161"/>
      <c r="K134" s="55"/>
    </row>
    <row r="135" spans="1:18" x14ac:dyDescent="0.3">
      <c r="A135" s="1"/>
      <c r="B135" s="1"/>
      <c r="C135" s="8"/>
      <c r="D135" s="5"/>
      <c r="E135" s="5"/>
      <c r="F135" s="161"/>
      <c r="G135" s="161"/>
      <c r="H135" s="161"/>
      <c r="I135" s="160"/>
      <c r="J135" s="161"/>
      <c r="K135" s="55"/>
    </row>
    <row r="136" spans="1:18" x14ac:dyDescent="0.3">
      <c r="A136" s="1"/>
      <c r="B136" s="1"/>
      <c r="C136" s="8"/>
      <c r="D136" s="5"/>
      <c r="E136" s="5"/>
      <c r="F136" s="160"/>
      <c r="G136" s="160"/>
      <c r="H136" s="160"/>
      <c r="I136" s="176"/>
      <c r="J136" s="161"/>
      <c r="K136" s="55"/>
    </row>
    <row r="137" spans="1:18" x14ac:dyDescent="0.3">
      <c r="A137" s="1"/>
      <c r="B137" s="1"/>
      <c r="C137" s="5"/>
      <c r="D137" s="5"/>
      <c r="E137" s="5"/>
      <c r="F137" s="176"/>
      <c r="G137" s="176"/>
      <c r="H137" s="176"/>
      <c r="I137" s="161"/>
      <c r="J137" s="161"/>
      <c r="K137" s="55"/>
    </row>
    <row r="138" spans="1:18" x14ac:dyDescent="0.3">
      <c r="A138" s="1"/>
      <c r="B138" s="1"/>
      <c r="C138" s="5"/>
      <c r="D138" s="5"/>
      <c r="E138" s="5"/>
      <c r="F138" s="161"/>
      <c r="G138" s="161"/>
      <c r="H138" s="161"/>
      <c r="I138" s="161"/>
      <c r="J138" s="162"/>
      <c r="K138" s="55"/>
    </row>
    <row r="139" spans="1:18" x14ac:dyDescent="0.3">
      <c r="A139" s="1"/>
      <c r="B139" s="1"/>
      <c r="C139" s="5"/>
      <c r="D139" s="5"/>
      <c r="E139" s="5"/>
      <c r="F139" s="161"/>
      <c r="G139" s="161"/>
      <c r="H139" s="161"/>
      <c r="I139" s="161"/>
      <c r="J139" s="161"/>
      <c r="K139" s="55"/>
    </row>
    <row r="140" spans="1:18" x14ac:dyDescent="0.3">
      <c r="A140" s="1"/>
      <c r="B140" s="1"/>
      <c r="C140" s="5"/>
      <c r="D140" s="5"/>
      <c r="E140" s="5"/>
      <c r="F140" s="161"/>
      <c r="G140" s="161"/>
      <c r="H140" s="161"/>
      <c r="I140" s="161"/>
      <c r="J140" s="161"/>
      <c r="K140" s="55"/>
    </row>
    <row r="141" spans="1:18" x14ac:dyDescent="0.3">
      <c r="A141" s="1"/>
      <c r="B141" s="1"/>
      <c r="C141" s="5"/>
      <c r="D141" s="5"/>
      <c r="E141" s="5"/>
      <c r="F141" s="161"/>
      <c r="G141" s="161"/>
      <c r="H141" s="161"/>
      <c r="I141" s="162"/>
      <c r="J141" s="160"/>
      <c r="K141" s="55"/>
    </row>
    <row r="142" spans="1:18" x14ac:dyDescent="0.3">
      <c r="A142" s="1"/>
      <c r="B142" s="1"/>
      <c r="C142" s="14"/>
      <c r="D142" s="5"/>
      <c r="E142" s="5"/>
      <c r="F142" s="162"/>
      <c r="G142" s="162"/>
      <c r="H142" s="162"/>
      <c r="I142" s="161"/>
      <c r="J142" s="160"/>
      <c r="K142" s="55"/>
    </row>
    <row r="143" spans="1:18" x14ac:dyDescent="0.3">
      <c r="A143" s="1"/>
      <c r="B143" s="1"/>
      <c r="C143" s="5"/>
      <c r="D143" s="5"/>
      <c r="E143" s="5"/>
      <c r="F143" s="161"/>
      <c r="G143" s="161"/>
      <c r="H143" s="161"/>
      <c r="I143" s="161"/>
      <c r="J143" s="160"/>
      <c r="K143" s="55"/>
    </row>
    <row r="144" spans="1:18" x14ac:dyDescent="0.3">
      <c r="A144" s="1"/>
      <c r="B144" s="1"/>
      <c r="C144" s="128"/>
      <c r="D144" s="5"/>
      <c r="E144" s="5"/>
      <c r="F144" s="161"/>
      <c r="G144" s="161"/>
      <c r="H144" s="161"/>
      <c r="I144" s="160"/>
      <c r="J144" s="160"/>
      <c r="K144" s="55"/>
    </row>
    <row r="145" spans="1:11" x14ac:dyDescent="0.3">
      <c r="A145" s="1"/>
      <c r="B145" s="1"/>
      <c r="C145" s="8"/>
      <c r="D145" s="5"/>
      <c r="E145" s="5"/>
      <c r="F145" s="160"/>
      <c r="G145" s="161"/>
      <c r="H145" s="160"/>
      <c r="I145" s="160"/>
      <c r="J145" s="161"/>
      <c r="K145" s="55"/>
    </row>
    <row r="146" spans="1:11" x14ac:dyDescent="0.3">
      <c r="A146" s="1"/>
      <c r="B146" s="1"/>
      <c r="C146" s="8"/>
      <c r="D146" s="5"/>
      <c r="E146" s="5"/>
      <c r="F146" s="160"/>
      <c r="G146" s="160"/>
      <c r="H146" s="160"/>
      <c r="I146" s="160"/>
      <c r="J146" s="161"/>
      <c r="K146" s="55"/>
    </row>
    <row r="147" spans="1:11" x14ac:dyDescent="0.3">
      <c r="A147" s="1"/>
      <c r="B147" s="1"/>
      <c r="C147" s="8"/>
      <c r="D147" s="5"/>
      <c r="E147" s="5"/>
      <c r="F147" s="160"/>
      <c r="G147" s="161"/>
      <c r="H147" s="160"/>
      <c r="I147" s="160"/>
      <c r="J147" s="161"/>
      <c r="K147" s="55"/>
    </row>
    <row r="148" spans="1:11" x14ac:dyDescent="0.3">
      <c r="A148" s="1"/>
      <c r="B148" s="1"/>
      <c r="C148" s="5"/>
      <c r="D148" s="5"/>
      <c r="E148" s="5"/>
      <c r="F148" s="161"/>
      <c r="G148" s="161"/>
      <c r="H148" s="161"/>
      <c r="I148" s="161"/>
      <c r="J148" s="161"/>
      <c r="K148" s="55"/>
    </row>
    <row r="149" spans="1:11" x14ac:dyDescent="0.3">
      <c r="A149" s="1"/>
      <c r="B149" s="1"/>
      <c r="C149" s="5"/>
      <c r="D149" s="8"/>
      <c r="E149" s="8"/>
      <c r="F149" s="161"/>
      <c r="G149" s="161"/>
      <c r="H149" s="161"/>
      <c r="I149" s="161"/>
      <c r="J149" s="161"/>
      <c r="K149" s="55"/>
    </row>
    <row r="150" spans="1:11" x14ac:dyDescent="0.3">
      <c r="A150" s="1"/>
      <c r="B150" s="1"/>
      <c r="C150" s="5"/>
      <c r="D150" s="5"/>
      <c r="E150" s="5"/>
      <c r="F150" s="161"/>
      <c r="G150" s="161"/>
      <c r="H150" s="161"/>
      <c r="I150" s="161"/>
      <c r="J150" s="161"/>
      <c r="K150" s="55"/>
    </row>
    <row r="151" spans="1:11" x14ac:dyDescent="0.3">
      <c r="A151" s="1"/>
      <c r="B151" s="1"/>
      <c r="C151" s="5"/>
      <c r="D151" s="5"/>
      <c r="E151" s="5"/>
      <c r="F151" s="161"/>
      <c r="G151" s="161"/>
      <c r="H151" s="161"/>
      <c r="I151" s="161"/>
      <c r="J151" s="161"/>
      <c r="K151" s="55"/>
    </row>
    <row r="152" spans="1:11" x14ac:dyDescent="0.3">
      <c r="A152" s="1"/>
      <c r="B152" s="1"/>
      <c r="C152" s="5"/>
      <c r="D152" s="5"/>
      <c r="E152" s="5"/>
      <c r="F152" s="161"/>
      <c r="G152" s="161"/>
      <c r="H152" s="161"/>
      <c r="I152" s="161"/>
      <c r="J152" s="161"/>
      <c r="K152" s="55"/>
    </row>
    <row r="153" spans="1:11" x14ac:dyDescent="0.3">
      <c r="A153" s="1"/>
      <c r="B153" s="1"/>
      <c r="C153" s="14"/>
      <c r="D153" s="5"/>
      <c r="E153" s="5"/>
      <c r="F153" s="161"/>
      <c r="G153" s="161"/>
      <c r="H153" s="161"/>
      <c r="I153" s="161"/>
      <c r="J153" s="161"/>
      <c r="K153" s="55"/>
    </row>
    <row r="154" spans="1:11" x14ac:dyDescent="0.3">
      <c r="A154" s="1"/>
      <c r="B154" s="1"/>
      <c r="C154" s="5"/>
      <c r="D154" s="5"/>
      <c r="E154" s="5"/>
      <c r="F154" s="161"/>
      <c r="G154" s="161"/>
      <c r="H154" s="161"/>
      <c r="I154" s="161"/>
      <c r="J154" s="161"/>
      <c r="K154" s="55"/>
    </row>
    <row r="155" spans="1:11" x14ac:dyDescent="0.3">
      <c r="A155" s="1"/>
      <c r="B155" s="1"/>
      <c r="C155" s="5"/>
      <c r="D155" s="5"/>
      <c r="E155" s="5"/>
      <c r="F155" s="161"/>
      <c r="G155" s="161"/>
      <c r="H155" s="161"/>
      <c r="I155" s="161"/>
      <c r="J155" s="161"/>
      <c r="K155" s="55"/>
    </row>
    <row r="156" spans="1:11" x14ac:dyDescent="0.3">
      <c r="A156" s="1"/>
      <c r="B156" s="1"/>
      <c r="C156" s="5"/>
      <c r="D156" s="5"/>
      <c r="E156" s="5"/>
      <c r="F156" s="161"/>
      <c r="G156" s="161"/>
      <c r="H156" s="161"/>
      <c r="I156" s="161"/>
      <c r="J156" s="161"/>
      <c r="K156" s="55"/>
    </row>
    <row r="157" spans="1:11" x14ac:dyDescent="0.3">
      <c r="A157" s="1"/>
      <c r="B157" s="1"/>
      <c r="C157" s="5"/>
      <c r="D157" s="5"/>
      <c r="E157" s="5"/>
      <c r="F157" s="161"/>
      <c r="G157" s="161"/>
      <c r="H157" s="161"/>
      <c r="I157" s="161"/>
      <c r="J157" s="161"/>
      <c r="K157" s="55"/>
    </row>
    <row r="158" spans="1:11" x14ac:dyDescent="0.3">
      <c r="A158" s="1"/>
      <c r="B158" s="1"/>
      <c r="C158" s="5"/>
      <c r="D158" s="5"/>
      <c r="E158" s="5"/>
      <c r="F158" s="161"/>
      <c r="G158" s="161"/>
      <c r="H158" s="161"/>
      <c r="I158" s="161"/>
      <c r="J158" s="161"/>
      <c r="K158" s="55"/>
    </row>
    <row r="159" spans="1:11" x14ac:dyDescent="0.3">
      <c r="A159" s="1"/>
      <c r="B159" s="1"/>
      <c r="C159" s="5"/>
      <c r="D159" s="5"/>
      <c r="E159" s="5"/>
      <c r="F159" s="161"/>
      <c r="G159" s="161"/>
      <c r="H159" s="161"/>
      <c r="I159" s="161"/>
      <c r="J159" s="161"/>
      <c r="K159" s="55"/>
    </row>
    <row r="160" spans="1:11" x14ac:dyDescent="0.3">
      <c r="A160" s="1"/>
      <c r="B160" s="1"/>
      <c r="C160" s="14"/>
      <c r="D160" s="5"/>
      <c r="E160" s="5"/>
      <c r="F160" s="161"/>
      <c r="G160" s="161"/>
      <c r="H160" s="161"/>
      <c r="I160" s="161"/>
      <c r="J160" s="55"/>
      <c r="K160" s="55"/>
    </row>
    <row r="161" spans="1:11" x14ac:dyDescent="0.3">
      <c r="A161" s="1"/>
      <c r="B161" s="1"/>
      <c r="C161" s="5"/>
      <c r="D161" s="5"/>
      <c r="E161" s="5"/>
      <c r="F161" s="161"/>
      <c r="G161" s="161"/>
      <c r="H161" s="161"/>
      <c r="I161" s="161"/>
      <c r="J161" s="55"/>
      <c r="K161" s="55"/>
    </row>
    <row r="162" spans="1:11" x14ac:dyDescent="0.3">
      <c r="A162" s="1"/>
      <c r="B162" s="1"/>
      <c r="C162" s="14"/>
      <c r="D162" s="5"/>
      <c r="E162" s="5"/>
      <c r="F162" s="161"/>
      <c r="G162" s="161"/>
      <c r="H162" s="161"/>
      <c r="I162" s="161"/>
      <c r="J162" s="55"/>
      <c r="K162" s="55"/>
    </row>
    <row r="163" spans="1:11" x14ac:dyDescent="0.3">
      <c r="A163" s="1"/>
      <c r="B163" s="1"/>
      <c r="C163" s="14"/>
      <c r="D163" s="128"/>
      <c r="E163" s="128"/>
      <c r="F163" s="161"/>
      <c r="G163" s="161"/>
      <c r="H163" s="161"/>
      <c r="I163" s="55"/>
      <c r="J163" s="55"/>
      <c r="K163" s="55"/>
    </row>
    <row r="164" spans="1:11" x14ac:dyDescent="0.3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3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3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3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3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3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3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3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3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3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3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3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3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3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3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 x14ac:dyDescent="0.3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 x14ac:dyDescent="0.3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3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3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 x14ac:dyDescent="0.3">
      <c r="A183" s="1"/>
      <c r="B183" s="1"/>
      <c r="C183" s="55"/>
      <c r="D183" s="55"/>
      <c r="E183" s="55"/>
      <c r="F183" s="55"/>
      <c r="G183" s="55"/>
      <c r="H183" s="55"/>
    </row>
    <row r="184" spans="1:14" x14ac:dyDescent="0.3">
      <c r="A184" s="1"/>
      <c r="B184" s="1"/>
    </row>
    <row r="185" spans="1:14" x14ac:dyDescent="0.3">
      <c r="A185" s="1"/>
    </row>
    <row r="186" spans="1:14" x14ac:dyDescent="0.3">
      <c r="A186" s="1"/>
    </row>
    <row r="187" spans="1:14" x14ac:dyDescent="0.3">
      <c r="A187" s="1"/>
      <c r="K187" s="1"/>
    </row>
    <row r="188" spans="1:14" x14ac:dyDescent="0.3">
      <c r="A188" s="1"/>
      <c r="J188" s="1"/>
      <c r="K188" s="1"/>
    </row>
    <row r="189" spans="1:14" x14ac:dyDescent="0.3">
      <c r="A189" s="1"/>
      <c r="J189" s="1"/>
      <c r="K189" s="1"/>
    </row>
    <row r="190" spans="1:14" x14ac:dyDescent="0.3">
      <c r="A190" s="1"/>
      <c r="J190" s="1"/>
      <c r="K190" s="1"/>
    </row>
    <row r="191" spans="1:14" x14ac:dyDescent="0.3">
      <c r="A191" s="1"/>
      <c r="I191" s="149"/>
      <c r="J191" s="1"/>
      <c r="K191" s="1"/>
      <c r="L191" s="1"/>
      <c r="M191" s="1"/>
      <c r="N191" s="1"/>
    </row>
    <row r="192" spans="1:14" x14ac:dyDescent="0.3">
      <c r="A192" s="1"/>
      <c r="C192" s="5"/>
      <c r="D192" s="149"/>
      <c r="E192" s="149"/>
      <c r="F192" s="149"/>
      <c r="G192" s="149"/>
      <c r="H192" s="149"/>
      <c r="I192" s="149"/>
      <c r="J192" s="1"/>
      <c r="K192" s="1"/>
      <c r="L192" s="1"/>
      <c r="M192" s="1"/>
      <c r="N192" s="1"/>
    </row>
    <row r="193" spans="1:14" x14ac:dyDescent="0.3">
      <c r="A193" s="1"/>
      <c r="C193" s="5"/>
      <c r="D193" s="149"/>
      <c r="E193" s="149"/>
      <c r="F193" s="149"/>
      <c r="G193" s="149"/>
      <c r="H193" s="149"/>
      <c r="I193" s="149"/>
      <c r="J193" s="1"/>
      <c r="K193" s="1"/>
      <c r="L193" s="1"/>
      <c r="M193" s="1"/>
      <c r="N193" s="1"/>
    </row>
    <row r="194" spans="1:14" x14ac:dyDescent="0.3">
      <c r="A194" s="1"/>
      <c r="C194" s="5"/>
      <c r="D194" s="149"/>
      <c r="E194" s="149"/>
      <c r="F194" s="149"/>
      <c r="G194" s="149"/>
      <c r="H194" s="149"/>
      <c r="I194" s="149"/>
      <c r="J194" s="1"/>
      <c r="K194" s="1"/>
      <c r="L194" s="1"/>
      <c r="M194" s="1"/>
      <c r="N194" s="1"/>
    </row>
    <row r="195" spans="1:14" x14ac:dyDescent="0.3">
      <c r="A195" s="1"/>
      <c r="C195" s="5"/>
      <c r="D195" s="149"/>
      <c r="E195" s="149"/>
      <c r="F195" s="149"/>
      <c r="G195" s="149"/>
      <c r="H195" s="149"/>
      <c r="I195" s="149"/>
      <c r="J195" s="1"/>
      <c r="K195" s="1"/>
      <c r="L195" s="1"/>
      <c r="M195" s="1"/>
      <c r="N195" s="1"/>
    </row>
    <row r="196" spans="1:14" x14ac:dyDescent="0.3">
      <c r="A196" s="1"/>
      <c r="C196" s="149"/>
      <c r="D196" s="149"/>
      <c r="E196" s="149"/>
      <c r="F196" s="149"/>
      <c r="G196" s="149"/>
      <c r="H196" s="149"/>
      <c r="I196" s="149"/>
      <c r="J196" s="1"/>
      <c r="K196" s="1"/>
      <c r="L196" s="1"/>
      <c r="M196" s="1"/>
      <c r="N196" s="1"/>
    </row>
    <row r="197" spans="1:14" x14ac:dyDescent="0.3">
      <c r="A197" s="1"/>
      <c r="C197" s="128"/>
      <c r="D197" s="153"/>
      <c r="E197" s="149"/>
      <c r="F197" s="149"/>
      <c r="G197" s="149"/>
      <c r="H197" s="149"/>
      <c r="I197" s="149"/>
      <c r="J197" s="1"/>
      <c r="K197" s="1"/>
      <c r="L197" s="1"/>
      <c r="M197" s="1"/>
      <c r="N197" s="1"/>
    </row>
    <row r="198" spans="1:14" x14ac:dyDescent="0.3">
      <c r="A198" s="1"/>
      <c r="C198" s="5"/>
      <c r="D198" s="149"/>
      <c r="E198" s="149"/>
      <c r="F198" s="149"/>
      <c r="G198" s="149"/>
      <c r="H198" s="149"/>
      <c r="I198" s="149"/>
      <c r="J198" s="1"/>
      <c r="K198" s="202"/>
      <c r="L198" s="1"/>
      <c r="M198" s="1"/>
      <c r="N198" s="1"/>
    </row>
    <row r="199" spans="1:14" x14ac:dyDescent="0.3">
      <c r="A199" s="1"/>
      <c r="C199" s="157"/>
      <c r="D199" s="157"/>
      <c r="E199" s="149"/>
      <c r="F199" s="149"/>
      <c r="G199" s="149"/>
      <c r="H199" s="149"/>
      <c r="I199" s="149"/>
      <c r="J199" s="1"/>
      <c r="K199" s="1"/>
      <c r="L199" s="1"/>
      <c r="M199" s="1"/>
      <c r="N199" s="1"/>
    </row>
    <row r="200" spans="1:14" x14ac:dyDescent="0.3">
      <c r="A200" s="1"/>
      <c r="C200" s="5"/>
      <c r="D200" s="149"/>
      <c r="E200" s="149"/>
      <c r="F200" s="149"/>
      <c r="G200" s="149"/>
      <c r="H200" s="149"/>
      <c r="I200" s="149"/>
      <c r="J200" s="1"/>
      <c r="K200" s="1"/>
      <c r="L200" s="1"/>
      <c r="M200" s="1"/>
      <c r="N200" s="1"/>
    </row>
    <row r="201" spans="1:14" x14ac:dyDescent="0.3">
      <c r="A201" s="1"/>
      <c r="C201" s="157"/>
      <c r="D201" s="157"/>
      <c r="E201" s="149"/>
      <c r="F201" s="149"/>
      <c r="G201" s="149"/>
      <c r="H201" s="149"/>
      <c r="I201" s="149"/>
      <c r="J201" s="1"/>
      <c r="K201" s="1"/>
      <c r="L201" s="1"/>
      <c r="M201" s="1"/>
      <c r="N201" s="1"/>
    </row>
    <row r="202" spans="1:14" x14ac:dyDescent="0.3">
      <c r="A202" s="1"/>
      <c r="C202" s="128"/>
      <c r="D202" s="149"/>
      <c r="E202" s="149"/>
      <c r="F202" s="149"/>
      <c r="G202" s="149"/>
      <c r="H202" s="149"/>
      <c r="I202" s="149"/>
      <c r="J202" s="1"/>
      <c r="K202" s="1"/>
      <c r="L202" s="1"/>
      <c r="M202" s="1"/>
      <c r="N202" s="1"/>
    </row>
    <row r="203" spans="1:14" x14ac:dyDescent="0.3">
      <c r="A203" s="1"/>
      <c r="C203" s="5"/>
      <c r="D203" s="149"/>
      <c r="E203" s="149"/>
      <c r="F203" s="149"/>
      <c r="G203" s="149"/>
      <c r="H203" s="149"/>
      <c r="I203" s="149"/>
      <c r="J203" s="1"/>
      <c r="K203" s="1"/>
      <c r="L203" s="1"/>
      <c r="M203" s="1"/>
      <c r="N203" s="1"/>
    </row>
    <row r="204" spans="1:14" x14ac:dyDescent="0.3">
      <c r="A204" s="1"/>
      <c r="C204" s="149"/>
      <c r="D204" s="149"/>
      <c r="E204" s="149"/>
      <c r="F204" s="149"/>
      <c r="G204" s="149"/>
      <c r="H204" s="149"/>
      <c r="I204" s="155"/>
      <c r="J204" s="202"/>
      <c r="K204" s="1"/>
      <c r="L204" s="1"/>
      <c r="M204" s="1"/>
      <c r="N204" s="1"/>
    </row>
    <row r="205" spans="1:14" x14ac:dyDescent="0.3">
      <c r="A205" s="1"/>
      <c r="C205" s="155"/>
      <c r="D205" s="155"/>
      <c r="E205" s="155"/>
      <c r="F205" s="155"/>
      <c r="G205" s="155"/>
      <c r="H205" s="155"/>
      <c r="I205" s="149"/>
      <c r="J205" s="1"/>
      <c r="K205" s="1"/>
      <c r="L205" s="1"/>
      <c r="M205" s="1"/>
      <c r="N205" s="1"/>
    </row>
    <row r="206" spans="1:14" ht="24.6" x14ac:dyDescent="0.5">
      <c r="A206" s="1"/>
      <c r="C206" s="154"/>
      <c r="D206" s="149"/>
      <c r="E206" s="149"/>
      <c r="F206" s="149"/>
      <c r="G206" s="149"/>
      <c r="H206" s="149"/>
      <c r="I206" s="149"/>
      <c r="J206" s="1"/>
      <c r="K206" s="1"/>
      <c r="L206" s="1"/>
      <c r="M206" s="1"/>
      <c r="N206" s="1"/>
    </row>
    <row r="207" spans="1:14" x14ac:dyDescent="0.3">
      <c r="A207" s="1"/>
      <c r="C207" s="1"/>
      <c r="D207" s="149"/>
      <c r="E207" s="149"/>
      <c r="F207" s="149"/>
      <c r="G207" s="149"/>
      <c r="H207" s="149"/>
      <c r="I207" s="149"/>
      <c r="J207" s="1"/>
      <c r="K207" s="1"/>
      <c r="L207" s="1"/>
      <c r="M207" s="1"/>
      <c r="N207" s="1"/>
    </row>
    <row r="208" spans="1:14" x14ac:dyDescent="0.3">
      <c r="A208" s="1"/>
      <c r="C208" s="5"/>
      <c r="D208" s="149"/>
      <c r="E208" s="149"/>
      <c r="F208" s="149"/>
      <c r="G208" s="149"/>
      <c r="H208" s="149"/>
      <c r="I208" s="149"/>
      <c r="J208" s="1"/>
      <c r="K208" s="1"/>
      <c r="L208" s="1"/>
      <c r="M208" s="1"/>
      <c r="N208" s="1"/>
    </row>
    <row r="209" spans="1:14" x14ac:dyDescent="0.3">
      <c r="A209" s="1"/>
      <c r="C209" s="5"/>
      <c r="D209" s="149"/>
      <c r="E209" s="149"/>
      <c r="F209" s="149"/>
      <c r="G209" s="149"/>
      <c r="H209" s="149"/>
      <c r="I209" s="149"/>
      <c r="J209" s="1"/>
      <c r="K209" s="1"/>
      <c r="L209" s="1"/>
      <c r="M209" s="1"/>
      <c r="N209" s="1"/>
    </row>
    <row r="210" spans="1:14" x14ac:dyDescent="0.3">
      <c r="A210" s="1"/>
      <c r="C210" s="128"/>
      <c r="D210" s="149"/>
      <c r="E210" s="149"/>
      <c r="F210" s="159"/>
      <c r="G210" s="149"/>
      <c r="H210" s="149"/>
      <c r="I210" s="149"/>
      <c r="J210" s="1"/>
      <c r="K210" s="1"/>
      <c r="L210" s="1"/>
      <c r="M210" s="1"/>
      <c r="N210" s="1"/>
    </row>
    <row r="211" spans="1:14" x14ac:dyDescent="0.3">
      <c r="A211" s="1"/>
      <c r="C211" s="149"/>
      <c r="D211" s="149"/>
      <c r="E211" s="149"/>
      <c r="F211" s="149"/>
      <c r="G211" s="159"/>
      <c r="H211" s="159"/>
      <c r="I211" s="149"/>
      <c r="J211" s="1"/>
      <c r="K211" s="1"/>
      <c r="L211" s="1"/>
      <c r="M211" s="1"/>
      <c r="N211" s="1"/>
    </row>
    <row r="212" spans="1:14" x14ac:dyDescent="0.3">
      <c r="A212" s="1"/>
      <c r="C212" s="149"/>
      <c r="D212" s="149"/>
      <c r="E212" s="149"/>
      <c r="F212" s="149"/>
      <c r="G212" s="149"/>
      <c r="H212" s="149"/>
      <c r="I212" s="149"/>
      <c r="J212" s="1"/>
      <c r="K212" s="1"/>
      <c r="L212" s="1"/>
      <c r="M212" s="1"/>
      <c r="N212" s="1"/>
    </row>
    <row r="213" spans="1:14" x14ac:dyDescent="0.3">
      <c r="A213" s="1"/>
      <c r="C213" s="128"/>
      <c r="D213" s="149"/>
      <c r="E213" s="149"/>
      <c r="F213" s="149"/>
      <c r="G213" s="149"/>
      <c r="H213" s="149"/>
      <c r="I213" s="149"/>
      <c r="J213" s="1"/>
      <c r="K213" s="1"/>
      <c r="L213" s="1"/>
      <c r="M213" s="1"/>
      <c r="N213" s="1"/>
    </row>
    <row r="214" spans="1:14" x14ac:dyDescent="0.3">
      <c r="A214" s="1"/>
      <c r="C214" s="5"/>
      <c r="D214" s="149"/>
      <c r="E214" s="149"/>
      <c r="F214" s="149"/>
      <c r="G214" s="149"/>
      <c r="H214" s="149"/>
      <c r="I214" s="149"/>
      <c r="J214" s="1"/>
      <c r="K214" s="1"/>
      <c r="L214" s="1"/>
      <c r="M214" s="1"/>
      <c r="N214" s="1"/>
    </row>
    <row r="215" spans="1:14" x14ac:dyDescent="0.3">
      <c r="A215" s="1"/>
      <c r="C215" s="149"/>
      <c r="D215" s="149"/>
      <c r="E215" s="149"/>
      <c r="F215" s="149"/>
      <c r="G215" s="149"/>
      <c r="H215" s="149"/>
      <c r="I215" s="149"/>
      <c r="J215" s="1"/>
      <c r="K215" s="1"/>
      <c r="L215" s="1"/>
      <c r="M215" s="1"/>
      <c r="N215" s="1"/>
    </row>
    <row r="216" spans="1:14" x14ac:dyDescent="0.3">
      <c r="A216" s="1"/>
      <c r="C216" s="149"/>
      <c r="D216" s="149"/>
      <c r="E216" s="149"/>
      <c r="F216" s="149"/>
      <c r="G216" s="149"/>
      <c r="H216" s="149"/>
      <c r="I216" s="149"/>
      <c r="J216" s="1"/>
      <c r="K216" s="1"/>
      <c r="L216" s="1"/>
      <c r="M216" s="1"/>
      <c r="N216" s="1"/>
    </row>
    <row r="217" spans="1:14" x14ac:dyDescent="0.3">
      <c r="A217" s="1"/>
      <c r="C217" s="149"/>
      <c r="D217" s="149"/>
      <c r="E217" s="149"/>
      <c r="F217" s="149"/>
      <c r="G217" s="149"/>
      <c r="H217" s="149"/>
      <c r="I217" s="29"/>
      <c r="J217" s="1"/>
      <c r="K217" s="1"/>
      <c r="L217" s="1"/>
      <c r="M217" s="1"/>
      <c r="N217" s="1"/>
    </row>
    <row r="218" spans="1:14" x14ac:dyDescent="0.3">
      <c r="A218" s="1"/>
      <c r="C218" s="149"/>
      <c r="D218" s="149"/>
      <c r="E218" s="31"/>
      <c r="F218" s="29"/>
      <c r="G218" s="29"/>
      <c r="H218" s="29"/>
      <c r="I218" s="149"/>
      <c r="J218" s="1"/>
      <c r="K218" s="1"/>
      <c r="L218" s="1"/>
      <c r="M218" s="1"/>
      <c r="N218" s="1"/>
    </row>
    <row r="219" spans="1:14" x14ac:dyDescent="0.3">
      <c r="A219" s="1"/>
      <c r="C219" s="5"/>
      <c r="D219" s="149"/>
      <c r="E219" s="149"/>
      <c r="F219" s="149"/>
      <c r="G219" s="149"/>
      <c r="H219" s="149"/>
      <c r="I219" s="158"/>
      <c r="J219" s="1"/>
      <c r="K219" s="1"/>
      <c r="L219" s="1"/>
      <c r="M219" s="1"/>
      <c r="N219" s="1"/>
    </row>
    <row r="220" spans="1:14" x14ac:dyDescent="0.3">
      <c r="A220" s="1"/>
      <c r="C220" s="5"/>
      <c r="D220" s="149"/>
      <c r="E220" s="158"/>
      <c r="F220" s="158"/>
      <c r="G220" s="158"/>
      <c r="H220" s="158"/>
      <c r="I220" s="149"/>
      <c r="J220" s="1"/>
      <c r="K220" s="1"/>
      <c r="L220" s="1"/>
      <c r="M220" s="1"/>
      <c r="N220" s="1"/>
    </row>
    <row r="221" spans="1:14" x14ac:dyDescent="0.3">
      <c r="A221" s="1"/>
      <c r="C221" s="149"/>
      <c r="D221" s="149"/>
      <c r="E221" s="149"/>
      <c r="F221" s="149"/>
      <c r="G221" s="149"/>
      <c r="H221" s="149"/>
      <c r="I221" s="149"/>
      <c r="J221" s="1"/>
      <c r="K221" s="1"/>
      <c r="L221" s="1"/>
      <c r="M221" s="1"/>
      <c r="N221" s="1"/>
    </row>
    <row r="222" spans="1:14" x14ac:dyDescent="0.3">
      <c r="A222" s="1"/>
      <c r="C222" s="5"/>
      <c r="D222" s="149"/>
      <c r="E222" s="149"/>
      <c r="F222" s="149"/>
      <c r="G222" s="149"/>
      <c r="H222" s="149"/>
      <c r="I222" s="149"/>
      <c r="J222" s="1"/>
      <c r="K222" s="1"/>
      <c r="L222" s="1"/>
      <c r="M222" s="1"/>
      <c r="N222" s="1"/>
    </row>
    <row r="223" spans="1:14" x14ac:dyDescent="0.3">
      <c r="A223" s="1"/>
      <c r="C223" s="149"/>
      <c r="D223" s="149"/>
      <c r="E223" s="149"/>
      <c r="F223" s="149"/>
      <c r="G223" s="149"/>
      <c r="H223" s="149"/>
      <c r="I223" s="149"/>
      <c r="J223" s="1"/>
      <c r="K223" s="1"/>
      <c r="L223" s="1"/>
      <c r="M223" s="1"/>
      <c r="N223" s="1"/>
    </row>
    <row r="224" spans="1:14" x14ac:dyDescent="0.3">
      <c r="A224" s="1"/>
      <c r="C224" s="149"/>
      <c r="D224" s="149"/>
      <c r="E224" s="149"/>
      <c r="F224" s="149"/>
      <c r="G224" s="149"/>
      <c r="H224" s="149"/>
      <c r="I224" s="149"/>
      <c r="J224" s="1"/>
      <c r="K224" s="1"/>
      <c r="L224" s="1"/>
      <c r="M224" s="1"/>
      <c r="N224" s="1"/>
    </row>
    <row r="225" spans="1:14" x14ac:dyDescent="0.3">
      <c r="A225" s="1"/>
      <c r="C225" s="1"/>
      <c r="D225" s="149"/>
      <c r="E225" s="149"/>
      <c r="F225" s="149"/>
      <c r="G225" s="149"/>
      <c r="H225" s="149"/>
      <c r="I225" s="149"/>
      <c r="J225" s="1"/>
      <c r="K225" s="1"/>
      <c r="L225" s="1"/>
      <c r="M225" s="1"/>
      <c r="N225" s="1"/>
    </row>
    <row r="226" spans="1:14" x14ac:dyDescent="0.3">
      <c r="A226" s="1"/>
      <c r="C226" s="149"/>
      <c r="D226" s="149"/>
      <c r="E226" s="149"/>
      <c r="F226" s="149"/>
      <c r="G226" s="149"/>
      <c r="H226" s="149"/>
      <c r="I226" s="149"/>
      <c r="J226" s="1"/>
      <c r="K226" s="1"/>
      <c r="L226" s="1"/>
      <c r="M226" s="1"/>
      <c r="N226" s="1"/>
    </row>
    <row r="227" spans="1:14" x14ac:dyDescent="0.3">
      <c r="A227" s="1"/>
      <c r="C227" s="149"/>
      <c r="D227" s="149"/>
      <c r="E227" s="149"/>
      <c r="F227" s="149"/>
      <c r="G227" s="149"/>
      <c r="H227" s="149"/>
      <c r="I227" s="149"/>
      <c r="J227" s="1"/>
      <c r="K227" s="1"/>
      <c r="L227" s="1"/>
      <c r="M227" s="1"/>
      <c r="N227" s="1"/>
    </row>
    <row r="228" spans="1:14" x14ac:dyDescent="0.3">
      <c r="A228" s="1"/>
      <c r="B228" s="1"/>
      <c r="C228" s="149"/>
      <c r="D228" s="149"/>
      <c r="E228" s="149"/>
      <c r="F228" s="149"/>
      <c r="G228" s="149"/>
      <c r="H228" s="149"/>
      <c r="I228" s="149"/>
      <c r="J228" s="1"/>
      <c r="K228" s="1"/>
      <c r="L228" s="1"/>
      <c r="M228" s="1"/>
      <c r="N228" s="1"/>
    </row>
    <row r="229" spans="1:14" x14ac:dyDescent="0.3">
      <c r="A229" s="1"/>
      <c r="B229" s="1"/>
      <c r="C229" s="149"/>
      <c r="D229" s="149"/>
      <c r="E229" s="149"/>
      <c r="F229" s="149"/>
      <c r="G229" s="149"/>
      <c r="H229" s="149"/>
      <c r="I229" s="149"/>
      <c r="J229" s="1"/>
      <c r="K229" s="1"/>
      <c r="L229" s="1"/>
      <c r="M229" s="1"/>
      <c r="N229" s="1"/>
    </row>
    <row r="230" spans="1:14" x14ac:dyDescent="0.3">
      <c r="A230" s="1"/>
      <c r="B230" s="1"/>
      <c r="C230" s="149"/>
      <c r="D230" s="149"/>
      <c r="E230" s="149"/>
      <c r="F230" s="149"/>
      <c r="G230" s="149"/>
      <c r="H230" s="149"/>
      <c r="I230" s="149"/>
      <c r="J230" s="1"/>
      <c r="K230" s="1"/>
      <c r="L230" s="1"/>
      <c r="M230" s="1"/>
      <c r="N230" s="1"/>
    </row>
    <row r="231" spans="1:14" x14ac:dyDescent="0.3">
      <c r="A231" s="1"/>
      <c r="B231" s="1"/>
      <c r="C231" s="149"/>
      <c r="D231" s="149"/>
      <c r="E231" s="149"/>
      <c r="F231" s="149"/>
      <c r="G231" s="149"/>
      <c r="H231" s="149"/>
      <c r="I231" s="149"/>
      <c r="J231" s="1"/>
      <c r="K231" s="1"/>
      <c r="L231" s="1"/>
      <c r="M231" s="1"/>
      <c r="N231" s="1"/>
    </row>
    <row r="232" spans="1:14" x14ac:dyDescent="0.3">
      <c r="A232" s="1"/>
      <c r="B232" s="1"/>
      <c r="C232" s="149"/>
      <c r="D232" s="149"/>
      <c r="E232" s="149"/>
      <c r="F232" s="149"/>
      <c r="G232" s="149"/>
      <c r="H232" s="149"/>
      <c r="I232" s="149"/>
      <c r="J232" s="1"/>
      <c r="K232" s="1"/>
      <c r="L232" s="1"/>
      <c r="M232" s="1"/>
      <c r="N232" s="1"/>
    </row>
    <row r="233" spans="1:14" x14ac:dyDescent="0.3">
      <c r="A233" s="1"/>
      <c r="B233" s="1"/>
      <c r="C233" s="156"/>
      <c r="D233" s="149"/>
      <c r="E233" s="149"/>
      <c r="F233" s="149"/>
      <c r="G233" s="149"/>
      <c r="H233" s="149"/>
      <c r="I233" s="149"/>
      <c r="J233" s="1"/>
      <c r="K233" s="1"/>
      <c r="L233" s="1"/>
      <c r="M233" s="1"/>
      <c r="N233" s="1"/>
    </row>
    <row r="234" spans="1:14" x14ac:dyDescent="0.3">
      <c r="A234" s="1"/>
      <c r="B234" s="1"/>
      <c r="C234" s="156"/>
      <c r="D234" s="149"/>
      <c r="E234" s="149"/>
      <c r="F234" s="149"/>
      <c r="G234" s="149"/>
      <c r="H234" s="149"/>
      <c r="I234" s="149"/>
      <c r="J234" s="1"/>
      <c r="K234" s="1"/>
      <c r="L234" s="1"/>
      <c r="M234" s="1"/>
      <c r="N234" s="1"/>
    </row>
    <row r="235" spans="1:14" x14ac:dyDescent="0.3">
      <c r="A235" s="1"/>
      <c r="B235" s="1"/>
      <c r="C235" s="149"/>
      <c r="D235" s="149"/>
      <c r="E235" s="149"/>
      <c r="F235" s="149"/>
      <c r="G235" s="149"/>
      <c r="H235" s="149"/>
      <c r="I235" s="149"/>
      <c r="J235" s="149"/>
      <c r="K235" s="1"/>
      <c r="L235" s="1"/>
      <c r="M235" s="1"/>
      <c r="N235" s="1"/>
    </row>
    <row r="236" spans="1:14" x14ac:dyDescent="0.3">
      <c r="A236" s="1"/>
      <c r="B236" s="1"/>
      <c r="C236" s="149"/>
      <c r="D236" s="149"/>
      <c r="E236" s="149"/>
      <c r="F236" s="149"/>
      <c r="G236" s="149"/>
      <c r="H236" s="149"/>
      <c r="I236" s="149"/>
      <c r="J236" s="1"/>
      <c r="K236" s="1"/>
      <c r="L236" s="1"/>
      <c r="M236" s="1"/>
      <c r="N236" s="1"/>
    </row>
    <row r="237" spans="1:14" x14ac:dyDescent="0.3">
      <c r="A237" s="1"/>
      <c r="B237" s="1"/>
      <c r="C237" s="149"/>
      <c r="D237" s="149"/>
      <c r="E237" s="149"/>
      <c r="F237" s="149"/>
      <c r="G237" s="149"/>
      <c r="H237" s="149"/>
      <c r="I237" s="149"/>
      <c r="J237" s="1"/>
      <c r="K237" s="1"/>
      <c r="L237" s="1"/>
      <c r="M237" s="1"/>
      <c r="N237" s="1"/>
    </row>
    <row r="238" spans="1:14" x14ac:dyDescent="0.3">
      <c r="A238" s="1"/>
      <c r="B238" s="1"/>
      <c r="C238" s="149"/>
      <c r="D238" s="149"/>
      <c r="E238" s="149"/>
      <c r="F238" s="149"/>
      <c r="G238" s="149"/>
      <c r="H238" s="149"/>
      <c r="I238" s="149"/>
      <c r="J238" s="1"/>
      <c r="K238" s="1"/>
      <c r="L238" s="1"/>
      <c r="M238" s="1"/>
      <c r="N238" s="1"/>
    </row>
    <row r="239" spans="1:14" x14ac:dyDescent="0.3">
      <c r="A239" s="1"/>
      <c r="B239" s="1"/>
      <c r="C239" s="149"/>
      <c r="D239" s="149"/>
      <c r="E239" s="149"/>
      <c r="F239" s="149"/>
      <c r="G239" s="149"/>
      <c r="H239" s="149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H240" s="1"/>
      <c r="I240" s="149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49"/>
      <c r="E241" s="149"/>
      <c r="F241" s="149"/>
      <c r="G241" s="149"/>
      <c r="H241" s="149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H242" s="1"/>
    </row>
    <row r="243" spans="1:14" x14ac:dyDescent="0.3">
      <c r="A243" s="1"/>
      <c r="B243" s="1"/>
      <c r="C243" s="1"/>
      <c r="D243" s="1"/>
      <c r="E243" s="1"/>
      <c r="F243" s="1"/>
      <c r="G243" s="1"/>
      <c r="H243" s="1"/>
    </row>
    <row r="244" spans="1:14" x14ac:dyDescent="0.3">
      <c r="A244" s="1"/>
      <c r="B244" s="1"/>
      <c r="C244" s="1"/>
      <c r="D244" s="1"/>
      <c r="E244" s="1"/>
      <c r="F244" s="1"/>
      <c r="G244" s="1"/>
      <c r="H244" s="1"/>
    </row>
    <row r="245" spans="1:14" x14ac:dyDescent="0.3">
      <c r="A245" s="1"/>
      <c r="B245" s="1"/>
      <c r="C245" s="1"/>
      <c r="D245" s="1"/>
      <c r="E245" s="1"/>
      <c r="F245" s="1"/>
      <c r="G245" s="1"/>
      <c r="H245" s="1"/>
    </row>
    <row r="246" spans="1:14" x14ac:dyDescent="0.3">
      <c r="A246" s="1"/>
      <c r="B246" s="1"/>
      <c r="C246" s="1"/>
      <c r="D246" s="1"/>
      <c r="E246" s="1"/>
      <c r="F246" s="1"/>
      <c r="G246" s="1"/>
      <c r="H246" s="1"/>
    </row>
    <row r="247" spans="1:14" x14ac:dyDescent="0.3">
      <c r="A247" s="1"/>
      <c r="B247" s="1"/>
      <c r="C247" s="1"/>
      <c r="D247" s="1"/>
      <c r="E247" s="1"/>
      <c r="F247" s="1"/>
      <c r="G247" s="1"/>
      <c r="H247" s="1"/>
    </row>
    <row r="248" spans="1:14" x14ac:dyDescent="0.3">
      <c r="A248" s="1"/>
      <c r="B248" s="1"/>
      <c r="C248" s="1"/>
      <c r="D248" s="1"/>
      <c r="E248" s="1"/>
      <c r="F248" s="1"/>
      <c r="G248" s="1"/>
      <c r="H248" s="1"/>
    </row>
    <row r="249" spans="1:14" x14ac:dyDescent="0.3">
      <c r="A249" s="1"/>
      <c r="B249" s="1"/>
      <c r="C249" s="1"/>
      <c r="D249" s="1"/>
      <c r="E249" s="1"/>
      <c r="F249" s="1"/>
      <c r="G249" s="1"/>
      <c r="H249" s="1"/>
    </row>
    <row r="250" spans="1:14" x14ac:dyDescent="0.3">
      <c r="A250" s="1"/>
      <c r="B250" s="1"/>
      <c r="C250" s="1"/>
      <c r="D250" s="1"/>
      <c r="E250" s="1"/>
      <c r="F250" s="1"/>
      <c r="G250" s="1"/>
      <c r="H250" s="1"/>
    </row>
    <row r="251" spans="1:14" x14ac:dyDescent="0.3">
      <c r="A251" s="1"/>
      <c r="B251" s="1"/>
      <c r="C251" s="1"/>
      <c r="D251" s="1"/>
      <c r="E251" s="1"/>
      <c r="F251" s="1"/>
      <c r="G251" s="1"/>
      <c r="H251" s="1"/>
    </row>
    <row r="252" spans="1:14" x14ac:dyDescent="0.3">
      <c r="A252" s="1"/>
      <c r="B252" s="1"/>
      <c r="C252" s="1"/>
      <c r="D252" s="1"/>
      <c r="E252" s="1"/>
      <c r="F252" s="1"/>
      <c r="G252" s="1"/>
      <c r="H252" s="1"/>
    </row>
    <row r="253" spans="1:14" x14ac:dyDescent="0.3">
      <c r="A253" s="1"/>
      <c r="B253" s="1"/>
      <c r="C253" s="1"/>
      <c r="D253" s="1"/>
      <c r="E253" s="1"/>
      <c r="F253" s="1"/>
      <c r="G253" s="1"/>
      <c r="H253" s="1"/>
    </row>
    <row r="254" spans="1:14" x14ac:dyDescent="0.3">
      <c r="A254" s="1"/>
      <c r="B254" s="1"/>
      <c r="C254" s="1"/>
      <c r="D254" s="1"/>
      <c r="E254" s="1"/>
      <c r="F254" s="1"/>
      <c r="G254" s="1"/>
      <c r="H254" s="1"/>
    </row>
    <row r="255" spans="1:14" x14ac:dyDescent="0.3">
      <c r="A255" s="1"/>
      <c r="B255" s="1"/>
      <c r="C255" s="1"/>
      <c r="D255" s="1"/>
      <c r="E255" s="1"/>
      <c r="F255" s="1"/>
      <c r="G255" s="1"/>
      <c r="H255" s="1"/>
    </row>
    <row r="256" spans="1:14" x14ac:dyDescent="0.3">
      <c r="A256" s="1"/>
      <c r="B256" s="1"/>
      <c r="C256" s="1"/>
      <c r="D256" s="1"/>
      <c r="E256" s="1"/>
      <c r="F256" s="1"/>
      <c r="G256" s="1"/>
      <c r="H256" s="1"/>
    </row>
    <row r="257" spans="1:8" x14ac:dyDescent="0.3">
      <c r="A257" s="1"/>
      <c r="B257" s="1"/>
      <c r="C257" s="1"/>
      <c r="D257" s="1"/>
      <c r="E257" s="1"/>
      <c r="F257" s="1"/>
      <c r="G257" s="1"/>
      <c r="H257" s="1"/>
    </row>
    <row r="258" spans="1:8" x14ac:dyDescent="0.3">
      <c r="A258" s="1"/>
      <c r="B258" s="1"/>
      <c r="C258" s="1"/>
      <c r="D258" s="1"/>
      <c r="E258" s="1"/>
      <c r="F258" s="1"/>
      <c r="G258" s="1"/>
      <c r="H258" s="1"/>
    </row>
    <row r="259" spans="1:8" x14ac:dyDescent="0.3">
      <c r="A259" s="1"/>
      <c r="B259" s="1"/>
      <c r="C259" s="1"/>
      <c r="D259" s="1"/>
      <c r="E259" s="1"/>
      <c r="F259" s="1"/>
      <c r="G259" s="1"/>
      <c r="H259" s="1"/>
    </row>
    <row r="260" spans="1:8" x14ac:dyDescent="0.3">
      <c r="A260" s="1"/>
      <c r="B260" s="1"/>
      <c r="C260" s="1"/>
      <c r="D260" s="1"/>
      <c r="E260" s="1"/>
      <c r="F260" s="1"/>
      <c r="G260" s="1"/>
      <c r="H260" s="1"/>
    </row>
    <row r="261" spans="1:8" x14ac:dyDescent="0.3">
      <c r="A261" s="1"/>
      <c r="B261" s="1"/>
      <c r="C261" s="1"/>
      <c r="D261" s="1"/>
      <c r="E261" s="1"/>
      <c r="F261" s="1"/>
      <c r="G261" s="1"/>
      <c r="H261" s="1"/>
    </row>
    <row r="262" spans="1:8" x14ac:dyDescent="0.3">
      <c r="A262" s="1"/>
      <c r="B262" s="1"/>
      <c r="C262" s="1"/>
      <c r="D262" s="1"/>
      <c r="E262" s="1"/>
      <c r="F262" s="1"/>
      <c r="G262" s="1"/>
      <c r="H262" s="1"/>
    </row>
    <row r="263" spans="1:8" x14ac:dyDescent="0.3">
      <c r="A263" s="1"/>
      <c r="B263" s="1"/>
      <c r="C263" s="1"/>
      <c r="D263" s="1"/>
      <c r="E263" s="1"/>
      <c r="F263" s="1"/>
      <c r="G263" s="1"/>
      <c r="H263" s="1"/>
    </row>
    <row r="264" spans="1:8" x14ac:dyDescent="0.3">
      <c r="A264" s="1"/>
      <c r="B264" s="1"/>
      <c r="C264" s="1"/>
      <c r="D264" s="1"/>
      <c r="E264" s="1"/>
      <c r="F264" s="1"/>
      <c r="G264" s="1"/>
      <c r="H264" s="1"/>
    </row>
    <row r="265" spans="1:8" x14ac:dyDescent="0.3">
      <c r="A265" s="1"/>
      <c r="B265" s="1"/>
      <c r="C265" s="1"/>
      <c r="D265" s="1"/>
      <c r="E265" s="1"/>
      <c r="F265" s="1"/>
      <c r="G265" s="1"/>
      <c r="H265" s="1"/>
    </row>
    <row r="266" spans="1:8" x14ac:dyDescent="0.3">
      <c r="A266" s="1"/>
      <c r="B266" s="1"/>
      <c r="C266" s="1"/>
      <c r="D266" s="1"/>
      <c r="E266" s="1"/>
      <c r="F266" s="1"/>
      <c r="G266" s="1"/>
      <c r="H266" s="1"/>
    </row>
    <row r="267" spans="1:8" x14ac:dyDescent="0.3">
      <c r="A267" s="1"/>
      <c r="B267" s="1"/>
      <c r="C267" s="1"/>
      <c r="D267" s="1"/>
      <c r="E267" s="1"/>
      <c r="F267" s="1"/>
      <c r="G267" s="1"/>
      <c r="H267" s="1"/>
    </row>
    <row r="268" spans="1:8" x14ac:dyDescent="0.3">
      <c r="A268" s="1"/>
      <c r="B268" s="1"/>
      <c r="C268" s="1"/>
      <c r="D268" s="1"/>
      <c r="E268" s="1"/>
      <c r="F268" s="1"/>
      <c r="G268" s="1"/>
      <c r="H268" s="1"/>
    </row>
    <row r="269" spans="1:8" x14ac:dyDescent="0.3">
      <c r="A269" s="1"/>
      <c r="B269" s="1"/>
      <c r="C269" s="1"/>
      <c r="D269" s="1"/>
      <c r="E269" s="1"/>
      <c r="F269" s="1"/>
      <c r="G269" s="1"/>
      <c r="H269" s="1"/>
    </row>
    <row r="270" spans="1:8" x14ac:dyDescent="0.3">
      <c r="A270" s="1"/>
      <c r="B270" s="1"/>
      <c r="C270" s="1"/>
      <c r="D270" s="1"/>
      <c r="E270" s="1"/>
      <c r="F270" s="1"/>
      <c r="G270" s="1"/>
      <c r="H270" s="1"/>
    </row>
    <row r="271" spans="1:8" x14ac:dyDescent="0.3">
      <c r="A271" s="1"/>
      <c r="B271" s="1"/>
      <c r="C271" s="1"/>
      <c r="D271" s="1"/>
      <c r="E271" s="1"/>
      <c r="F271" s="1"/>
      <c r="G271" s="1"/>
      <c r="H271" s="1"/>
    </row>
    <row r="272" spans="1:8" x14ac:dyDescent="0.3">
      <c r="A272" s="1"/>
      <c r="B272" s="1"/>
      <c r="C272" s="1"/>
      <c r="D272" s="1"/>
      <c r="E272" s="1"/>
      <c r="F272" s="1"/>
      <c r="G272" s="1"/>
      <c r="H272" s="1"/>
    </row>
    <row r="273" spans="1:8" x14ac:dyDescent="0.3">
      <c r="A273" s="1"/>
      <c r="B273" s="1"/>
      <c r="C273" s="1"/>
      <c r="D273" s="1"/>
      <c r="E273" s="1"/>
      <c r="F273" s="1"/>
      <c r="G273" s="1"/>
      <c r="H273" s="1"/>
    </row>
    <row r="274" spans="1:8" x14ac:dyDescent="0.3">
      <c r="A274" s="1"/>
      <c r="B274" s="1"/>
      <c r="C274" s="1"/>
      <c r="D274" s="1"/>
      <c r="E274" s="1"/>
      <c r="F274" s="1"/>
      <c r="G274" s="1"/>
      <c r="H274" s="1"/>
    </row>
    <row r="275" spans="1:8" x14ac:dyDescent="0.3">
      <c r="A275" s="1"/>
      <c r="B275" s="1"/>
      <c r="C275" s="1"/>
      <c r="D275" s="1"/>
      <c r="E275" s="1"/>
      <c r="F275" s="1"/>
      <c r="G275" s="1"/>
      <c r="H275" s="1"/>
    </row>
    <row r="276" spans="1:8" x14ac:dyDescent="0.3">
      <c r="A276" s="1"/>
      <c r="B276" s="1"/>
      <c r="C276" s="1"/>
      <c r="D276" s="1"/>
      <c r="E276" s="1"/>
      <c r="F276" s="1"/>
      <c r="G276" s="1"/>
      <c r="H276" s="1"/>
    </row>
    <row r="277" spans="1:8" x14ac:dyDescent="0.3">
      <c r="A277" s="1"/>
      <c r="B277" s="1"/>
      <c r="C277" s="1"/>
      <c r="D277" s="1"/>
      <c r="E277" s="1"/>
      <c r="F277" s="1"/>
      <c r="G277" s="1"/>
      <c r="H277" s="1"/>
    </row>
    <row r="278" spans="1:8" x14ac:dyDescent="0.3">
      <c r="A278" s="1"/>
      <c r="B278" s="1"/>
      <c r="C278" s="1"/>
      <c r="D278" s="1"/>
      <c r="E278" s="1"/>
      <c r="F278" s="1"/>
      <c r="G278" s="1"/>
      <c r="H278" s="1"/>
    </row>
    <row r="279" spans="1:8" x14ac:dyDescent="0.3">
      <c r="A279" s="1"/>
      <c r="B279" s="1"/>
      <c r="C279" s="1"/>
      <c r="D279" s="1"/>
      <c r="E279" s="1"/>
      <c r="F279" s="1"/>
      <c r="G279" s="1"/>
      <c r="H279" s="1"/>
    </row>
    <row r="280" spans="1:8" x14ac:dyDescent="0.3">
      <c r="A280" s="1"/>
      <c r="B280" s="1"/>
      <c r="C280" s="1"/>
      <c r="D280" s="1"/>
      <c r="E280" s="1"/>
      <c r="F280" s="1"/>
      <c r="G280" s="1"/>
      <c r="H280" s="1"/>
    </row>
    <row r="281" spans="1:8" x14ac:dyDescent="0.3">
      <c r="A281" s="1"/>
      <c r="B281" s="1"/>
      <c r="C281" s="1"/>
      <c r="D281" s="1"/>
      <c r="E281" s="1"/>
      <c r="F281" s="1"/>
      <c r="G281" s="1"/>
      <c r="H281" s="1"/>
    </row>
    <row r="282" spans="1:8" x14ac:dyDescent="0.3">
      <c r="A282" s="1"/>
      <c r="B282" s="1"/>
      <c r="C282" s="1"/>
      <c r="D282" s="1"/>
      <c r="E282" s="1"/>
      <c r="F282" s="1"/>
      <c r="G282" s="1"/>
      <c r="H282" s="1"/>
    </row>
    <row r="283" spans="1:8" x14ac:dyDescent="0.3">
      <c r="A283" s="1"/>
      <c r="B283" s="1"/>
      <c r="C283" s="1"/>
      <c r="D283" s="1"/>
      <c r="E283" s="1"/>
      <c r="F283" s="1"/>
      <c r="G283" s="1"/>
      <c r="H283" s="1"/>
    </row>
    <row r="284" spans="1:8" x14ac:dyDescent="0.3">
      <c r="A284" s="1"/>
      <c r="B284" s="1"/>
      <c r="C284" s="1"/>
      <c r="D284" s="1"/>
      <c r="E284" s="1"/>
      <c r="F284" s="1"/>
      <c r="G284" s="1"/>
      <c r="H284" s="1"/>
    </row>
    <row r="285" spans="1:8" x14ac:dyDescent="0.3">
      <c r="A285" s="1"/>
      <c r="B285" s="1"/>
      <c r="C285" s="1"/>
      <c r="D285" s="1"/>
      <c r="E285" s="1"/>
      <c r="F285" s="1"/>
      <c r="G285" s="1"/>
      <c r="H285" s="1"/>
    </row>
    <row r="286" spans="1:8" x14ac:dyDescent="0.3">
      <c r="A286" s="1"/>
      <c r="B286" s="1"/>
      <c r="C286" s="1"/>
      <c r="D286" s="1"/>
      <c r="E286" s="1"/>
      <c r="F286" s="1"/>
      <c r="G286" s="1"/>
      <c r="H286" s="1"/>
    </row>
    <row r="287" spans="1:8" x14ac:dyDescent="0.3">
      <c r="A287" s="1"/>
      <c r="B287" s="1"/>
      <c r="C287" s="1"/>
      <c r="D287" s="1"/>
      <c r="E287" s="1"/>
      <c r="F287" s="1"/>
      <c r="G287" s="1"/>
      <c r="H287" s="1"/>
    </row>
    <row r="288" spans="1:8" x14ac:dyDescent="0.3">
      <c r="A288" s="1"/>
      <c r="B288" s="1"/>
      <c r="C288" s="1"/>
      <c r="D288" s="1"/>
      <c r="E288" s="1"/>
      <c r="F288" s="1"/>
      <c r="G288" s="1"/>
      <c r="H288" s="1"/>
    </row>
    <row r="289" spans="1:8" x14ac:dyDescent="0.3">
      <c r="A289" s="1"/>
      <c r="B289" s="1"/>
      <c r="C289" s="1"/>
      <c r="D289" s="1"/>
      <c r="E289" s="1"/>
      <c r="F289" s="1"/>
      <c r="G289" s="1"/>
      <c r="H289" s="1"/>
    </row>
    <row r="290" spans="1:8" x14ac:dyDescent="0.3">
      <c r="A290" s="1"/>
      <c r="B290" s="1"/>
      <c r="C290" s="1"/>
      <c r="D290" s="1"/>
      <c r="E290" s="1"/>
      <c r="F290" s="1"/>
      <c r="G290" s="1"/>
      <c r="H290" s="1"/>
    </row>
    <row r="291" spans="1:8" x14ac:dyDescent="0.3">
      <c r="A291" s="1"/>
      <c r="B291" s="1"/>
      <c r="C291" s="1"/>
      <c r="D291" s="1"/>
      <c r="E291" s="1"/>
      <c r="F291" s="1"/>
      <c r="G291" s="1"/>
      <c r="H291" s="1"/>
    </row>
    <row r="292" spans="1:8" x14ac:dyDescent="0.3">
      <c r="A292" s="1"/>
      <c r="B292" s="1"/>
      <c r="C292" s="1"/>
      <c r="D292" s="1"/>
      <c r="E292" s="1"/>
      <c r="F292" s="1"/>
      <c r="G292" s="1"/>
      <c r="H292" s="1"/>
    </row>
    <row r="293" spans="1:8" x14ac:dyDescent="0.3">
      <c r="A293" s="1"/>
      <c r="B293" s="1"/>
      <c r="C293" s="1"/>
      <c r="D293" s="1"/>
      <c r="E293" s="1"/>
      <c r="F293" s="1"/>
      <c r="G293" s="1"/>
      <c r="H293" s="1"/>
    </row>
    <row r="294" spans="1:8" x14ac:dyDescent="0.3">
      <c r="A294" s="1"/>
      <c r="B294" s="1"/>
      <c r="C294" s="1"/>
      <c r="D294" s="1"/>
      <c r="E294" s="1"/>
      <c r="F294" s="1"/>
      <c r="G294" s="1"/>
      <c r="H294" s="1"/>
    </row>
    <row r="295" spans="1:8" x14ac:dyDescent="0.3">
      <c r="A295" s="1"/>
      <c r="B295" s="1"/>
      <c r="C295" s="1"/>
      <c r="D295" s="1"/>
      <c r="E295" s="1"/>
      <c r="F295" s="1"/>
      <c r="G295" s="1"/>
      <c r="H295" s="1"/>
    </row>
    <row r="296" spans="1:8" x14ac:dyDescent="0.3">
      <c r="A296" s="1"/>
      <c r="B296" s="1"/>
      <c r="C296" s="1"/>
      <c r="D296" s="1"/>
      <c r="E296" s="1"/>
      <c r="F296" s="1"/>
      <c r="G296" s="1"/>
      <c r="H296" s="1"/>
    </row>
    <row r="297" spans="1:8" x14ac:dyDescent="0.3">
      <c r="A297" s="1"/>
      <c r="B297" s="1"/>
      <c r="C297" s="1"/>
      <c r="D297" s="1"/>
      <c r="E297" s="1"/>
      <c r="F297" s="1"/>
      <c r="G297" s="1"/>
      <c r="H297" s="1"/>
    </row>
    <row r="298" spans="1:8" x14ac:dyDescent="0.3">
      <c r="A298" s="1"/>
      <c r="B298" s="1"/>
      <c r="C298" s="1"/>
      <c r="D298" s="1"/>
      <c r="E298" s="1"/>
      <c r="F298" s="1"/>
      <c r="G298" s="1"/>
      <c r="H298" s="1"/>
    </row>
    <row r="299" spans="1:8" x14ac:dyDescent="0.3">
      <c r="A299" s="1"/>
      <c r="B299" s="1"/>
      <c r="C299" s="1"/>
      <c r="D299" s="1"/>
      <c r="E299" s="1"/>
      <c r="F299" s="1"/>
      <c r="G299" s="1"/>
      <c r="H299" s="1"/>
    </row>
    <row r="300" spans="1:8" x14ac:dyDescent="0.3">
      <c r="A300" s="1"/>
      <c r="B300" s="1"/>
      <c r="C300" s="1"/>
      <c r="D300" s="1"/>
      <c r="E300" s="1"/>
      <c r="F300" s="1"/>
      <c r="G300" s="1"/>
      <c r="H300" s="1"/>
    </row>
    <row r="301" spans="1:8" x14ac:dyDescent="0.3">
      <c r="A301" s="1"/>
      <c r="B301" s="1"/>
      <c r="C301" s="1"/>
      <c r="D301" s="1"/>
      <c r="E301" s="1"/>
      <c r="F301" s="1"/>
      <c r="G301" s="1"/>
      <c r="H301" s="1"/>
    </row>
    <row r="302" spans="1:8" x14ac:dyDescent="0.3">
      <c r="A302" s="1"/>
      <c r="B302" s="1"/>
      <c r="C302" s="1"/>
      <c r="D302" s="1"/>
      <c r="E302" s="1"/>
      <c r="F302" s="1"/>
      <c r="G302" s="1"/>
      <c r="H302" s="1"/>
    </row>
    <row r="303" spans="1:8" x14ac:dyDescent="0.3">
      <c r="A303" s="1"/>
      <c r="B303" s="1"/>
      <c r="C303" s="1"/>
      <c r="D303" s="1"/>
      <c r="E303" s="1"/>
      <c r="F303" s="1"/>
      <c r="G303" s="1"/>
      <c r="H303" s="1"/>
    </row>
    <row r="304" spans="1:8" x14ac:dyDescent="0.3">
      <c r="A304" s="1"/>
      <c r="B304" s="1"/>
      <c r="C304" s="1"/>
      <c r="D304" s="1"/>
      <c r="E304" s="1"/>
      <c r="F304" s="1"/>
      <c r="G304" s="1"/>
      <c r="H304" s="1"/>
    </row>
    <row r="305" spans="1:8" x14ac:dyDescent="0.3">
      <c r="A305" s="1"/>
      <c r="B305" s="1"/>
      <c r="C305" s="1"/>
      <c r="D305" s="1"/>
      <c r="E305" s="1"/>
      <c r="F305" s="1"/>
      <c r="G305" s="1"/>
      <c r="H305" s="1"/>
    </row>
    <row r="306" spans="1:8" x14ac:dyDescent="0.3">
      <c r="A306" s="1"/>
      <c r="B306" s="1"/>
      <c r="C306" s="1"/>
      <c r="D306" s="1"/>
      <c r="E306" s="1"/>
      <c r="F306" s="1"/>
      <c r="G306" s="1"/>
      <c r="H306" s="1"/>
    </row>
    <row r="307" spans="1:8" x14ac:dyDescent="0.3">
      <c r="A307" s="1"/>
      <c r="B307" s="1"/>
      <c r="C307" s="1"/>
      <c r="D307" s="1"/>
      <c r="E307" s="1"/>
      <c r="F307" s="1"/>
      <c r="G307" s="1"/>
      <c r="H307" s="1"/>
    </row>
    <row r="308" spans="1:8" x14ac:dyDescent="0.3">
      <c r="A308" s="1"/>
      <c r="B308" s="1"/>
      <c r="C308" s="1"/>
      <c r="D308" s="1"/>
      <c r="E308" s="1"/>
      <c r="F308" s="1"/>
      <c r="G308" s="1"/>
      <c r="H308" s="1"/>
    </row>
    <row r="309" spans="1:8" x14ac:dyDescent="0.3">
      <c r="A309" s="1"/>
      <c r="B309" s="1"/>
      <c r="C309" s="1"/>
      <c r="D309" s="1"/>
      <c r="E309" s="1"/>
      <c r="F309" s="1"/>
      <c r="G309" s="1"/>
      <c r="H309" s="1"/>
    </row>
    <row r="310" spans="1:8" x14ac:dyDescent="0.3">
      <c r="A310" s="1"/>
      <c r="B310" s="1"/>
      <c r="C310" s="1"/>
      <c r="D310" s="1"/>
      <c r="E310" s="1"/>
      <c r="F310" s="1"/>
      <c r="G310" s="1"/>
      <c r="H310" s="1"/>
    </row>
    <row r="311" spans="1:8" x14ac:dyDescent="0.3">
      <c r="A311" s="1"/>
      <c r="B311" s="1"/>
      <c r="C311" s="1"/>
      <c r="D311" s="1"/>
      <c r="E311" s="1"/>
      <c r="F311" s="1"/>
      <c r="G311" s="1"/>
      <c r="H311" s="1"/>
    </row>
    <row r="312" spans="1:8" x14ac:dyDescent="0.3">
      <c r="A312" s="1"/>
      <c r="B312" s="1"/>
      <c r="C312" s="1"/>
      <c r="D312" s="1"/>
      <c r="E312" s="1"/>
      <c r="F312" s="1"/>
      <c r="G312" s="1"/>
      <c r="H312" s="1"/>
    </row>
    <row r="313" spans="1:8" x14ac:dyDescent="0.3">
      <c r="A313" s="1"/>
      <c r="B313" s="1"/>
      <c r="C313" s="1"/>
      <c r="D313" s="1"/>
      <c r="E313" s="1"/>
      <c r="F313" s="1"/>
      <c r="G313" s="1"/>
      <c r="H313" s="1"/>
    </row>
    <row r="314" spans="1:8" x14ac:dyDescent="0.3">
      <c r="A314" s="1"/>
      <c r="B314" s="1"/>
      <c r="C314" s="1"/>
      <c r="D314" s="1"/>
      <c r="E314" s="1"/>
      <c r="F314" s="1"/>
      <c r="G314" s="1"/>
      <c r="H314" s="1"/>
    </row>
    <row r="315" spans="1:8" x14ac:dyDescent="0.3">
      <c r="A315" s="1"/>
      <c r="B315" s="1"/>
      <c r="C315" s="1"/>
      <c r="D315" s="1"/>
      <c r="E315" s="1"/>
      <c r="F315" s="1"/>
      <c r="G315" s="1"/>
      <c r="H315" s="1"/>
    </row>
    <row r="316" spans="1:8" x14ac:dyDescent="0.3">
      <c r="A316" s="1"/>
      <c r="B316" s="1"/>
      <c r="C316" s="1"/>
      <c r="D316" s="1"/>
      <c r="E316" s="1"/>
      <c r="F316" s="1"/>
      <c r="G316" s="1"/>
      <c r="H316" s="1"/>
    </row>
    <row r="317" spans="1:8" x14ac:dyDescent="0.3">
      <c r="A317" s="1"/>
      <c r="B317" s="1"/>
      <c r="C317" s="1"/>
      <c r="D317" s="1"/>
      <c r="E317" s="1"/>
      <c r="F317" s="1"/>
      <c r="G317" s="1"/>
      <c r="H317" s="1"/>
    </row>
    <row r="318" spans="1:8" x14ac:dyDescent="0.3">
      <c r="A318" s="1"/>
      <c r="B318" s="1"/>
      <c r="C318" s="1"/>
      <c r="D318" s="1"/>
      <c r="E318" s="1"/>
      <c r="F318" s="1"/>
      <c r="G318" s="1"/>
      <c r="H318" s="1"/>
    </row>
    <row r="319" spans="1:8" x14ac:dyDescent="0.3">
      <c r="A319" s="1"/>
      <c r="B319" s="1"/>
      <c r="C319" s="1"/>
      <c r="D319" s="1"/>
      <c r="E319" s="1"/>
      <c r="F319" s="1"/>
      <c r="G319" s="1"/>
      <c r="H319" s="1"/>
    </row>
    <row r="320" spans="1:8" x14ac:dyDescent="0.3">
      <c r="A320" s="1"/>
      <c r="B320" s="1"/>
      <c r="C320" s="1"/>
      <c r="D320" s="1"/>
      <c r="E320" s="1"/>
      <c r="F320" s="1"/>
      <c r="G320" s="1"/>
      <c r="H320" s="1"/>
    </row>
    <row r="321" spans="1:8" x14ac:dyDescent="0.3">
      <c r="A321" s="1"/>
      <c r="B321" s="1"/>
      <c r="C321" s="1"/>
      <c r="D321" s="1"/>
      <c r="E321" s="1"/>
      <c r="F321" s="1"/>
      <c r="G321" s="1"/>
      <c r="H321" s="1"/>
    </row>
    <row r="322" spans="1:8" x14ac:dyDescent="0.3">
      <c r="A322" s="1"/>
      <c r="B322" s="1"/>
      <c r="C322" s="1"/>
      <c r="D322" s="1"/>
      <c r="E322" s="1"/>
      <c r="F322" s="1"/>
      <c r="G322" s="1"/>
      <c r="H322" s="1"/>
    </row>
    <row r="323" spans="1:8" x14ac:dyDescent="0.3">
      <c r="A323" s="1"/>
      <c r="B323" s="1"/>
      <c r="C323" s="1"/>
      <c r="D323" s="1"/>
      <c r="E323" s="1"/>
      <c r="F323" s="1"/>
      <c r="G323" s="1"/>
      <c r="H323" s="1"/>
    </row>
    <row r="324" spans="1:8" x14ac:dyDescent="0.3">
      <c r="A324" s="1"/>
      <c r="B324" s="1"/>
      <c r="C324" s="1"/>
      <c r="D324" s="1"/>
      <c r="E324" s="1"/>
      <c r="F324" s="1"/>
      <c r="G324" s="1"/>
      <c r="H324" s="1"/>
    </row>
    <row r="325" spans="1:8" x14ac:dyDescent="0.3">
      <c r="A325" s="1"/>
      <c r="B325" s="1"/>
      <c r="C325" s="1"/>
      <c r="D325" s="1"/>
      <c r="E325" s="1"/>
      <c r="F325" s="1"/>
      <c r="G325" s="1"/>
      <c r="H325" s="1"/>
    </row>
    <row r="326" spans="1:8" x14ac:dyDescent="0.3">
      <c r="A326" s="1"/>
      <c r="B326" s="1"/>
      <c r="C326" s="1"/>
      <c r="D326" s="1"/>
      <c r="E326" s="1"/>
      <c r="F326" s="1"/>
      <c r="G326" s="1"/>
      <c r="H326" s="1"/>
    </row>
    <row r="327" spans="1:8" x14ac:dyDescent="0.3">
      <c r="A327" s="1"/>
      <c r="B327" s="1"/>
      <c r="C327" s="1"/>
      <c r="D327" s="1"/>
      <c r="E327" s="1"/>
      <c r="F327" s="1"/>
      <c r="G327" s="1"/>
      <c r="H327" s="1"/>
    </row>
    <row r="328" spans="1:8" x14ac:dyDescent="0.3">
      <c r="A328" s="1"/>
      <c r="B328" s="1"/>
      <c r="C328" s="1"/>
      <c r="D328" s="1"/>
      <c r="E328" s="1"/>
      <c r="F328" s="1"/>
      <c r="G328" s="1"/>
      <c r="H328" s="1"/>
    </row>
    <row r="329" spans="1:8" x14ac:dyDescent="0.3">
      <c r="A329" s="1"/>
      <c r="B329" s="1"/>
      <c r="C329" s="1"/>
      <c r="D329" s="1"/>
      <c r="E329" s="1"/>
      <c r="F329" s="1"/>
      <c r="G329" s="1"/>
      <c r="H329" s="1"/>
    </row>
    <row r="330" spans="1:8" x14ac:dyDescent="0.3">
      <c r="A330" s="1"/>
      <c r="B330" s="1"/>
      <c r="C330" s="1"/>
      <c r="D330" s="1"/>
      <c r="E330" s="1"/>
      <c r="F330" s="1"/>
      <c r="G330" s="1"/>
      <c r="H330" s="1"/>
    </row>
    <row r="331" spans="1:8" x14ac:dyDescent="0.3">
      <c r="A331" s="1"/>
      <c r="B331" s="1"/>
      <c r="C331" s="1"/>
      <c r="D331" s="1"/>
      <c r="E331" s="1"/>
      <c r="F331" s="1"/>
      <c r="G331" s="1"/>
      <c r="H331" s="1"/>
    </row>
    <row r="332" spans="1:8" x14ac:dyDescent="0.3">
      <c r="A332" s="1"/>
      <c r="B332" s="1"/>
      <c r="C332" s="1"/>
      <c r="D332" s="1"/>
      <c r="E332" s="1"/>
      <c r="F332" s="1"/>
      <c r="G332" s="1"/>
      <c r="H332" s="1"/>
    </row>
    <row r="333" spans="1:8" x14ac:dyDescent="0.3">
      <c r="A333" s="1"/>
      <c r="B333" s="1"/>
      <c r="C333" s="1"/>
      <c r="D333" s="1"/>
      <c r="E333" s="1"/>
      <c r="F333" s="1"/>
      <c r="G333" s="1"/>
      <c r="H333" s="1"/>
    </row>
    <row r="334" spans="1:8" x14ac:dyDescent="0.3">
      <c r="A334" s="1"/>
      <c r="B334" s="1"/>
      <c r="C334" s="1"/>
      <c r="D334" s="1"/>
      <c r="E334" s="1"/>
      <c r="F334" s="1"/>
      <c r="G334" s="1"/>
      <c r="H334" s="1"/>
    </row>
    <row r="335" spans="1:8" x14ac:dyDescent="0.3">
      <c r="A335" s="1"/>
      <c r="B335" s="1"/>
      <c r="C335" s="1"/>
      <c r="D335" s="1"/>
      <c r="E335" s="1"/>
      <c r="F335" s="1"/>
      <c r="G335" s="1"/>
      <c r="H335" s="1"/>
    </row>
    <row r="336" spans="1:8" x14ac:dyDescent="0.3">
      <c r="A336" s="1"/>
      <c r="B336" s="1"/>
      <c r="C336" s="1"/>
      <c r="D336" s="1"/>
      <c r="E336" s="1"/>
      <c r="F336" s="1"/>
      <c r="G336" s="1"/>
      <c r="H336" s="1"/>
    </row>
    <row r="337" spans="1:8" x14ac:dyDescent="0.3">
      <c r="A337" s="1"/>
      <c r="B337" s="1"/>
      <c r="C337" s="1"/>
      <c r="D337" s="1"/>
      <c r="E337" s="1"/>
      <c r="F337" s="1"/>
      <c r="G337" s="1"/>
      <c r="H337" s="1"/>
    </row>
    <row r="338" spans="1:8" x14ac:dyDescent="0.3">
      <c r="A338" s="1"/>
      <c r="B338" s="1"/>
      <c r="C338" s="1"/>
      <c r="D338" s="1"/>
      <c r="E338" s="1"/>
      <c r="F338" s="1"/>
      <c r="G338" s="1"/>
      <c r="H338" s="1"/>
    </row>
    <row r="339" spans="1:8" x14ac:dyDescent="0.3">
      <c r="A339" s="1"/>
      <c r="B339" s="1"/>
      <c r="C339" s="1"/>
      <c r="D339" s="1"/>
      <c r="E339" s="1"/>
      <c r="F339" s="1"/>
      <c r="G339" s="1"/>
      <c r="H339" s="1"/>
    </row>
    <row r="340" spans="1:8" x14ac:dyDescent="0.3">
      <c r="A340" s="1"/>
      <c r="B340" s="1"/>
      <c r="C340" s="1"/>
      <c r="D340" s="1"/>
      <c r="E340" s="1"/>
      <c r="F340" s="1"/>
      <c r="G340" s="1"/>
      <c r="H340" s="1"/>
    </row>
    <row r="341" spans="1:8" x14ac:dyDescent="0.3">
      <c r="A341" s="1"/>
      <c r="B341" s="1"/>
      <c r="C341" s="1"/>
      <c r="D341" s="1"/>
      <c r="E341" s="1"/>
      <c r="F341" s="1"/>
      <c r="G341" s="1"/>
      <c r="H341" s="1"/>
    </row>
    <row r="342" spans="1:8" x14ac:dyDescent="0.3">
      <c r="A342" s="1"/>
      <c r="B342" s="1"/>
      <c r="C342" s="1"/>
      <c r="D342" s="1"/>
      <c r="E342" s="1"/>
      <c r="F342" s="1"/>
      <c r="G342" s="1"/>
      <c r="H342" s="1"/>
    </row>
    <row r="343" spans="1:8" x14ac:dyDescent="0.3">
      <c r="A343" s="1"/>
      <c r="B343" s="1"/>
      <c r="C343" s="1"/>
      <c r="D343" s="1"/>
      <c r="E343" s="1"/>
      <c r="F343" s="1"/>
      <c r="G343" s="1"/>
      <c r="H343" s="1"/>
    </row>
    <row r="344" spans="1:8" x14ac:dyDescent="0.3">
      <c r="A344" s="1"/>
      <c r="B344" s="1"/>
      <c r="C344" s="1"/>
      <c r="D344" s="1"/>
      <c r="E344" s="1"/>
      <c r="F344" s="1"/>
      <c r="G344" s="1"/>
      <c r="H344" s="1"/>
    </row>
    <row r="345" spans="1:8" x14ac:dyDescent="0.3">
      <c r="A345" s="1"/>
      <c r="B345" s="1"/>
      <c r="C345" s="1"/>
      <c r="D345" s="1"/>
      <c r="E345" s="1"/>
      <c r="F345" s="1"/>
      <c r="G345" s="1"/>
      <c r="H345" s="1"/>
    </row>
    <row r="346" spans="1:8" x14ac:dyDescent="0.3">
      <c r="A346" s="1"/>
      <c r="B346" s="1"/>
      <c r="C346" s="1"/>
      <c r="D346" s="1"/>
      <c r="E346" s="1"/>
      <c r="F346" s="1"/>
      <c r="G346" s="1"/>
      <c r="H346" s="1"/>
    </row>
    <row r="347" spans="1:8" x14ac:dyDescent="0.3">
      <c r="A347" s="1"/>
      <c r="B347" s="1"/>
      <c r="C347" s="1"/>
      <c r="D347" s="1"/>
      <c r="E347" s="1"/>
      <c r="F347" s="1"/>
      <c r="G347" s="1"/>
      <c r="H347" s="1"/>
    </row>
    <row r="348" spans="1:8" x14ac:dyDescent="0.3">
      <c r="A348" s="1"/>
      <c r="B348" s="1"/>
      <c r="C348" s="1"/>
      <c r="D348" s="1"/>
      <c r="E348" s="1"/>
      <c r="F348" s="1"/>
      <c r="G348" s="1"/>
      <c r="H348" s="1"/>
    </row>
    <row r="349" spans="1:8" x14ac:dyDescent="0.3">
      <c r="A349" s="1"/>
      <c r="B349" s="1"/>
      <c r="C349" s="1"/>
      <c r="D349" s="1"/>
      <c r="E349" s="1"/>
      <c r="F349" s="1"/>
      <c r="G349" s="1"/>
      <c r="H349" s="1"/>
    </row>
    <row r="350" spans="1:8" x14ac:dyDescent="0.3">
      <c r="A350" s="1"/>
      <c r="B350" s="1"/>
      <c r="C350" s="1"/>
      <c r="D350" s="1"/>
      <c r="E350" s="1"/>
      <c r="F350" s="1"/>
      <c r="G350" s="1"/>
      <c r="H350" s="1"/>
    </row>
    <row r="351" spans="1:8" x14ac:dyDescent="0.3">
      <c r="A351" s="1"/>
      <c r="B351" s="1"/>
      <c r="C351" s="1"/>
      <c r="D351" s="1"/>
      <c r="E351" s="1"/>
      <c r="F351" s="1"/>
      <c r="G351" s="1"/>
      <c r="H351" s="1"/>
    </row>
    <row r="352" spans="1:8" x14ac:dyDescent="0.3">
      <c r="A352" s="1"/>
      <c r="B352" s="1"/>
      <c r="C352" s="1"/>
      <c r="D352" s="1"/>
      <c r="E352" s="1"/>
      <c r="F352" s="1"/>
      <c r="G352" s="1"/>
      <c r="H352" s="1"/>
    </row>
    <row r="353" spans="1:8" x14ac:dyDescent="0.3">
      <c r="A353" s="1"/>
      <c r="B353" s="1"/>
      <c r="C353" s="1"/>
      <c r="D353" s="1"/>
      <c r="E353" s="1"/>
      <c r="F353" s="1"/>
      <c r="G353" s="1"/>
      <c r="H353" s="1"/>
    </row>
    <row r="354" spans="1:8" x14ac:dyDescent="0.3">
      <c r="A354" s="1"/>
      <c r="B354" s="1"/>
      <c r="C354" s="1"/>
      <c r="D354" s="1"/>
      <c r="E354" s="1"/>
      <c r="F354" s="1"/>
      <c r="G354" s="1"/>
      <c r="H354" s="1"/>
    </row>
    <row r="355" spans="1:8" x14ac:dyDescent="0.3">
      <c r="A355" s="1"/>
      <c r="B355" s="1"/>
      <c r="C355" s="1"/>
      <c r="D355" s="1"/>
      <c r="E355" s="1"/>
      <c r="F355" s="1"/>
      <c r="G355" s="1"/>
      <c r="H355" s="1"/>
    </row>
    <row r="356" spans="1:8" x14ac:dyDescent="0.3">
      <c r="A356" s="1"/>
      <c r="B356" s="1"/>
      <c r="C356" s="1"/>
      <c r="D356" s="1"/>
      <c r="E356" s="1"/>
      <c r="F356" s="1"/>
      <c r="G356" s="1"/>
      <c r="H356" s="1"/>
    </row>
    <row r="357" spans="1:8" x14ac:dyDescent="0.3">
      <c r="A357" s="1"/>
      <c r="B357" s="1"/>
      <c r="C357" s="1"/>
      <c r="D357" s="1"/>
      <c r="E357" s="1"/>
      <c r="F357" s="1"/>
      <c r="G357" s="1"/>
      <c r="H357" s="1"/>
    </row>
    <row r="358" spans="1:8" x14ac:dyDescent="0.3">
      <c r="A358" s="1"/>
      <c r="B358" s="1"/>
      <c r="C358" s="1"/>
      <c r="D358" s="1"/>
      <c r="E358" s="1"/>
      <c r="F358" s="1"/>
      <c r="G358" s="1"/>
      <c r="H358" s="1"/>
    </row>
    <row r="359" spans="1:8" x14ac:dyDescent="0.3">
      <c r="A359" s="1"/>
      <c r="B359" s="1"/>
      <c r="C359" s="1"/>
      <c r="D359" s="1"/>
      <c r="E359" s="1"/>
      <c r="F359" s="1"/>
      <c r="G359" s="1"/>
      <c r="H359" s="1"/>
    </row>
    <row r="360" spans="1:8" x14ac:dyDescent="0.3">
      <c r="A360" s="1"/>
      <c r="B360" s="1"/>
      <c r="C360" s="1"/>
      <c r="D360" s="1"/>
      <c r="E360" s="1"/>
      <c r="F360" s="1"/>
      <c r="G360" s="1"/>
      <c r="H360" s="1"/>
    </row>
    <row r="361" spans="1:8" x14ac:dyDescent="0.3">
      <c r="A361" s="1"/>
      <c r="B361" s="1"/>
      <c r="C361" s="1"/>
      <c r="D361" s="1"/>
      <c r="E361" s="1"/>
      <c r="F361" s="1"/>
      <c r="G361" s="1"/>
      <c r="H361" s="1"/>
    </row>
    <row r="362" spans="1:8" x14ac:dyDescent="0.3">
      <c r="A362" s="1"/>
      <c r="B362" s="1"/>
      <c r="C362" s="1"/>
      <c r="D362" s="1"/>
      <c r="E362" s="1"/>
      <c r="F362" s="1"/>
      <c r="G362" s="1"/>
      <c r="H362" s="1"/>
    </row>
    <row r="363" spans="1:8" x14ac:dyDescent="0.3">
      <c r="A363" s="1"/>
      <c r="B363" s="1"/>
      <c r="C363" s="1"/>
      <c r="D363" s="1"/>
      <c r="E363" s="1"/>
      <c r="F363" s="1"/>
      <c r="G363" s="1"/>
      <c r="H363" s="1"/>
    </row>
    <row r="364" spans="1:8" x14ac:dyDescent="0.3">
      <c r="A364" s="1"/>
      <c r="B364" s="1"/>
      <c r="C364" s="1"/>
      <c r="D364" s="1"/>
      <c r="E364" s="1"/>
      <c r="F364" s="1"/>
      <c r="G364" s="1"/>
      <c r="H364" s="1"/>
    </row>
    <row r="365" spans="1:8" x14ac:dyDescent="0.3">
      <c r="A365" s="1"/>
      <c r="B365" s="1"/>
      <c r="C365" s="1"/>
      <c r="D365" s="1"/>
      <c r="E365" s="1"/>
      <c r="F365" s="1"/>
      <c r="G365" s="1"/>
      <c r="H365" s="1"/>
    </row>
    <row r="366" spans="1:8" x14ac:dyDescent="0.3">
      <c r="A366" s="1"/>
      <c r="B366" s="1"/>
      <c r="C366" s="1"/>
      <c r="D366" s="1"/>
      <c r="E366" s="1"/>
      <c r="F366" s="1"/>
      <c r="G366" s="1"/>
      <c r="H366" s="1"/>
    </row>
    <row r="367" spans="1:8" x14ac:dyDescent="0.3">
      <c r="A367" s="1"/>
      <c r="B367" s="1"/>
      <c r="C367" s="1"/>
      <c r="D367" s="1"/>
      <c r="E367" s="1"/>
      <c r="F367" s="1"/>
      <c r="G367" s="1"/>
      <c r="H367" s="1"/>
    </row>
    <row r="368" spans="1:8" x14ac:dyDescent="0.3">
      <c r="A368" s="1"/>
      <c r="B368" s="1"/>
      <c r="C368" s="1"/>
      <c r="D368" s="1"/>
      <c r="E368" s="1"/>
      <c r="F368" s="1"/>
      <c r="G368" s="1"/>
      <c r="H368" s="1"/>
    </row>
    <row r="369" spans="1:8" x14ac:dyDescent="0.3">
      <c r="A369" s="1"/>
      <c r="B369" s="1"/>
      <c r="C369" s="1"/>
      <c r="D369" s="1"/>
      <c r="E369" s="1"/>
      <c r="F369" s="1"/>
      <c r="G369" s="1"/>
      <c r="H369" s="1"/>
    </row>
    <row r="370" spans="1:8" x14ac:dyDescent="0.3">
      <c r="A370" s="1"/>
      <c r="B370" s="1"/>
      <c r="C370" s="1"/>
      <c r="D370" s="1"/>
      <c r="E370" s="1"/>
      <c r="F370" s="1"/>
      <c r="G370" s="1"/>
      <c r="H370" s="1"/>
    </row>
    <row r="371" spans="1:8" x14ac:dyDescent="0.3">
      <c r="A371" s="1"/>
      <c r="B371" s="1"/>
      <c r="C371" s="1"/>
      <c r="D371" s="1"/>
      <c r="E371" s="1"/>
      <c r="F371" s="1"/>
      <c r="G371" s="1"/>
      <c r="H371" s="1"/>
    </row>
    <row r="372" spans="1:8" x14ac:dyDescent="0.3">
      <c r="A372" s="1"/>
      <c r="B372" s="1"/>
      <c r="C372" s="1"/>
      <c r="D372" s="1"/>
      <c r="E372" s="1"/>
      <c r="F372" s="1"/>
      <c r="G372" s="1"/>
      <c r="H372" s="1"/>
    </row>
    <row r="373" spans="1:8" x14ac:dyDescent="0.3">
      <c r="A373" s="1"/>
      <c r="B373" s="1"/>
      <c r="C373" s="1"/>
      <c r="D373" s="1"/>
      <c r="E373" s="1"/>
      <c r="F373" s="1"/>
      <c r="G373" s="1"/>
      <c r="H373" s="1"/>
    </row>
    <row r="374" spans="1:8" x14ac:dyDescent="0.3">
      <c r="A374" s="1"/>
      <c r="B374" s="1"/>
      <c r="C374" s="1"/>
      <c r="D374" s="1"/>
      <c r="E374" s="1"/>
      <c r="F374" s="1"/>
      <c r="G374" s="1"/>
      <c r="H374" s="1"/>
    </row>
    <row r="375" spans="1:8" x14ac:dyDescent="0.3">
      <c r="A375" s="1"/>
      <c r="B375" s="1"/>
      <c r="C375" s="1"/>
      <c r="D375" s="1"/>
      <c r="E375" s="1"/>
      <c r="F375" s="1"/>
      <c r="G375" s="1"/>
      <c r="H375" s="1"/>
    </row>
    <row r="376" spans="1:8" x14ac:dyDescent="0.3">
      <c r="A376" s="1"/>
      <c r="B376" s="1"/>
      <c r="C376" s="1"/>
      <c r="D376" s="1"/>
      <c r="E376" s="1"/>
      <c r="F376" s="1"/>
      <c r="G376" s="1"/>
      <c r="H376" s="1"/>
    </row>
    <row r="377" spans="1:8" x14ac:dyDescent="0.3">
      <c r="A377" s="1"/>
      <c r="B377" s="1"/>
      <c r="C377" s="1"/>
      <c r="D377" s="1"/>
      <c r="E377" s="1"/>
      <c r="F377" s="1"/>
      <c r="G377" s="1"/>
      <c r="H377" s="1"/>
    </row>
    <row r="378" spans="1:8" x14ac:dyDescent="0.3">
      <c r="A378" s="1"/>
      <c r="B378" s="1"/>
      <c r="C378" s="1"/>
      <c r="D378" s="1"/>
      <c r="E378" s="1"/>
      <c r="F378" s="1"/>
      <c r="G378" s="1"/>
      <c r="H378" s="1"/>
    </row>
    <row r="379" spans="1:8" x14ac:dyDescent="0.3">
      <c r="A379" s="1"/>
      <c r="B379" s="1"/>
      <c r="C379" s="1"/>
      <c r="D379" s="1"/>
      <c r="E379" s="1"/>
      <c r="F379" s="1"/>
      <c r="G379" s="1"/>
      <c r="H379" s="1"/>
    </row>
    <row r="380" spans="1:8" x14ac:dyDescent="0.3">
      <c r="A380" s="1"/>
      <c r="B380" s="1"/>
      <c r="C380" s="1"/>
      <c r="D380" s="1"/>
      <c r="E380" s="1"/>
      <c r="F380" s="1"/>
      <c r="G380" s="1"/>
      <c r="H380" s="1"/>
    </row>
    <row r="381" spans="1:8" x14ac:dyDescent="0.3">
      <c r="A381" s="1"/>
      <c r="B381" s="1"/>
      <c r="C381" s="1"/>
      <c r="D381" s="1"/>
      <c r="E381" s="1"/>
      <c r="F381" s="1"/>
      <c r="G381" s="1"/>
      <c r="H381" s="1"/>
    </row>
    <row r="382" spans="1:8" x14ac:dyDescent="0.3">
      <c r="A382" s="1"/>
      <c r="B382" s="1"/>
      <c r="C382" s="1"/>
      <c r="D382" s="1"/>
      <c r="E382" s="1"/>
      <c r="F382" s="1"/>
      <c r="G382" s="1"/>
      <c r="H382" s="1"/>
    </row>
    <row r="383" spans="1:8" x14ac:dyDescent="0.3">
      <c r="A383" s="1"/>
      <c r="B383" s="1"/>
      <c r="C383" s="1"/>
      <c r="D383" s="1"/>
      <c r="E383" s="1"/>
      <c r="F383" s="1"/>
      <c r="G383" s="1"/>
      <c r="H383" s="1"/>
    </row>
    <row r="384" spans="1:8" x14ac:dyDescent="0.3">
      <c r="A384" s="1"/>
      <c r="B384" s="1"/>
      <c r="C384" s="1"/>
      <c r="D384" s="1"/>
      <c r="E384" s="1"/>
      <c r="F384" s="1"/>
      <c r="G384" s="1"/>
      <c r="H384" s="1"/>
    </row>
    <row r="385" spans="1:8" x14ac:dyDescent="0.3">
      <c r="A385" s="1"/>
      <c r="B385" s="1"/>
      <c r="C385" s="1"/>
      <c r="D385" s="1"/>
      <c r="E385" s="1"/>
      <c r="F385" s="1"/>
      <c r="G385" s="1"/>
      <c r="H385" s="1"/>
    </row>
    <row r="386" spans="1:8" x14ac:dyDescent="0.3">
      <c r="A386" s="1"/>
      <c r="B386" s="1"/>
      <c r="C386" s="1"/>
      <c r="D386" s="1"/>
      <c r="E386" s="1"/>
      <c r="F386" s="1"/>
      <c r="G386" s="1"/>
      <c r="H386" s="1"/>
    </row>
    <row r="387" spans="1:8" x14ac:dyDescent="0.3">
      <c r="A387" s="1"/>
      <c r="B387" s="1"/>
      <c r="C387" s="1"/>
      <c r="D387" s="1"/>
      <c r="E387" s="1"/>
      <c r="F387" s="1"/>
      <c r="G387" s="1"/>
      <c r="H387" s="1"/>
    </row>
    <row r="388" spans="1:8" x14ac:dyDescent="0.3">
      <c r="A388" s="1"/>
      <c r="B388" s="1"/>
      <c r="C388" s="1"/>
      <c r="D388" s="1"/>
      <c r="E388" s="1"/>
      <c r="F388" s="1"/>
      <c r="G388" s="1"/>
      <c r="H388" s="1"/>
    </row>
    <row r="389" spans="1:8" x14ac:dyDescent="0.3">
      <c r="A389" s="1"/>
      <c r="B389" s="1"/>
      <c r="C389" s="1"/>
      <c r="D389" s="1"/>
      <c r="E389" s="1"/>
      <c r="F389" s="1"/>
      <c r="G389" s="1"/>
      <c r="H389" s="1"/>
    </row>
    <row r="390" spans="1:8" x14ac:dyDescent="0.3">
      <c r="A390" s="1"/>
      <c r="B390" s="1"/>
      <c r="C390" s="1"/>
      <c r="D390" s="1"/>
      <c r="E390" s="1"/>
      <c r="F390" s="1"/>
      <c r="G390" s="1"/>
      <c r="H390" s="1"/>
    </row>
    <row r="391" spans="1:8" x14ac:dyDescent="0.3">
      <c r="A391" s="1"/>
      <c r="B391" s="1"/>
      <c r="C391" s="1"/>
      <c r="D391" s="1"/>
      <c r="E391" s="1"/>
      <c r="F391" s="1"/>
      <c r="G391" s="1"/>
      <c r="H391" s="1"/>
    </row>
    <row r="392" spans="1:8" x14ac:dyDescent="0.3">
      <c r="A392" s="1"/>
      <c r="B392" s="1"/>
      <c r="C392" s="1"/>
      <c r="D392" s="1"/>
      <c r="E392" s="1"/>
      <c r="F392" s="1"/>
      <c r="G392" s="1"/>
      <c r="H392" s="1"/>
    </row>
    <row r="393" spans="1:8" x14ac:dyDescent="0.3">
      <c r="A393" s="1"/>
      <c r="B393" s="1"/>
      <c r="C393" s="1"/>
      <c r="D393" s="1"/>
      <c r="E393" s="1"/>
      <c r="F393" s="1"/>
      <c r="G393" s="1"/>
      <c r="H393" s="1"/>
    </row>
    <row r="394" spans="1:8" x14ac:dyDescent="0.3">
      <c r="A394" s="1"/>
      <c r="B394" s="1"/>
      <c r="C394" s="1"/>
      <c r="D394" s="1"/>
      <c r="E394" s="1"/>
      <c r="F394" s="1"/>
      <c r="G394" s="1"/>
      <c r="H394" s="1"/>
    </row>
    <row r="395" spans="1:8" x14ac:dyDescent="0.3">
      <c r="A395" s="1"/>
      <c r="B395" s="1"/>
      <c r="C395" s="1"/>
      <c r="D395" s="1"/>
      <c r="E395" s="1"/>
      <c r="F395" s="1"/>
      <c r="G395" s="1"/>
      <c r="H395" s="1"/>
    </row>
    <row r="396" spans="1:8" x14ac:dyDescent="0.3">
      <c r="B396" s="1"/>
      <c r="C396" s="1"/>
      <c r="D396" s="1"/>
      <c r="E396" s="1"/>
      <c r="F396" s="1"/>
      <c r="G396" s="1"/>
      <c r="H396" s="1"/>
    </row>
    <row r="397" spans="1:8" x14ac:dyDescent="0.3">
      <c r="B397" s="1"/>
      <c r="C397" s="1"/>
      <c r="D397" s="1"/>
      <c r="E397" s="1"/>
      <c r="F397" s="1"/>
      <c r="G397" s="1"/>
      <c r="H397" s="1"/>
    </row>
    <row r="398" spans="1:8" x14ac:dyDescent="0.3">
      <c r="B398" s="1"/>
      <c r="C398" s="1"/>
      <c r="D398" s="1"/>
      <c r="E398" s="1"/>
      <c r="F398" s="1"/>
      <c r="G398" s="1"/>
      <c r="H398" s="1"/>
    </row>
    <row r="399" spans="1:8" x14ac:dyDescent="0.3">
      <c r="B399" s="1"/>
      <c r="C399" s="1"/>
      <c r="D399" s="1"/>
      <c r="E399" s="1"/>
      <c r="F399" s="1"/>
      <c r="G399" s="1"/>
      <c r="H399" s="1"/>
    </row>
    <row r="400" spans="1:8" x14ac:dyDescent="0.3">
      <c r="B400" s="1"/>
      <c r="C400" s="1"/>
      <c r="D400" s="1"/>
      <c r="E400" s="1"/>
      <c r="F400" s="1"/>
      <c r="G400" s="1"/>
      <c r="H400" s="1"/>
    </row>
    <row r="401" spans="2:8" x14ac:dyDescent="0.3">
      <c r="B401" s="1"/>
      <c r="C401" s="1"/>
      <c r="D401" s="1"/>
      <c r="E401" s="1"/>
      <c r="F401" s="1"/>
      <c r="G401" s="1"/>
      <c r="H401" s="1"/>
    </row>
    <row r="402" spans="2:8" x14ac:dyDescent="0.3">
      <c r="B402" s="1"/>
      <c r="C402" s="1"/>
      <c r="D402" s="1"/>
      <c r="E402" s="1"/>
      <c r="F402" s="1"/>
      <c r="G402" s="1"/>
      <c r="H402" s="1"/>
    </row>
    <row r="403" spans="2:8" x14ac:dyDescent="0.3">
      <c r="B403" s="1"/>
      <c r="C403" s="1"/>
      <c r="D403" s="1"/>
      <c r="E403" s="1"/>
      <c r="F403" s="1"/>
      <c r="G403" s="1"/>
      <c r="H403" s="1"/>
    </row>
    <row r="404" spans="2:8" x14ac:dyDescent="0.3">
      <c r="B404" s="1"/>
      <c r="C404" s="1"/>
      <c r="D404" s="1"/>
      <c r="E404" s="1"/>
      <c r="F404" s="1"/>
      <c r="G404" s="1"/>
      <c r="H404" s="1"/>
    </row>
    <row r="405" spans="2:8" x14ac:dyDescent="0.3">
      <c r="B405" s="1"/>
      <c r="C405" s="1"/>
      <c r="D405" s="1"/>
      <c r="E405" s="1"/>
      <c r="F405" s="1"/>
      <c r="G405" s="1"/>
      <c r="H405" s="1"/>
    </row>
    <row r="406" spans="2:8" x14ac:dyDescent="0.3">
      <c r="B406" s="1"/>
      <c r="C406" s="1"/>
      <c r="D406" s="1"/>
      <c r="E406" s="1"/>
      <c r="F406" s="1"/>
      <c r="G406" s="1"/>
      <c r="H406" s="1"/>
    </row>
    <row r="407" spans="2:8" x14ac:dyDescent="0.3">
      <c r="B407" s="1"/>
      <c r="C407" s="1"/>
      <c r="D407" s="1"/>
      <c r="E407" s="1"/>
      <c r="F407" s="1"/>
      <c r="G407" s="1"/>
      <c r="H407" s="1"/>
    </row>
    <row r="408" spans="2:8" x14ac:dyDescent="0.3">
      <c r="B408" s="1"/>
      <c r="C408" s="1"/>
      <c r="D408" s="1"/>
      <c r="E408" s="1"/>
      <c r="F408" s="1"/>
      <c r="G408" s="1"/>
      <c r="H408" s="1"/>
    </row>
    <row r="409" spans="2:8" x14ac:dyDescent="0.3">
      <c r="B409" s="1"/>
      <c r="C409" s="1"/>
      <c r="D409" s="1"/>
      <c r="E409" s="1"/>
      <c r="F409" s="1"/>
      <c r="G409" s="1"/>
      <c r="H409" s="1"/>
    </row>
    <row r="410" spans="2:8" x14ac:dyDescent="0.3">
      <c r="B410" s="1"/>
      <c r="C410" s="1"/>
      <c r="D410" s="1"/>
      <c r="E410" s="1"/>
      <c r="F410" s="1"/>
      <c r="G410" s="1"/>
      <c r="H410" s="1"/>
    </row>
    <row r="411" spans="2:8" x14ac:dyDescent="0.3">
      <c r="B411" s="1"/>
      <c r="C411" s="1"/>
      <c r="D411" s="1"/>
      <c r="E411" s="1"/>
      <c r="F411" s="1"/>
      <c r="G411" s="1"/>
      <c r="H411" s="1"/>
    </row>
    <row r="412" spans="2:8" x14ac:dyDescent="0.3">
      <c r="B412" s="1"/>
      <c r="C412" s="1"/>
      <c r="D412" s="1"/>
      <c r="E412" s="1"/>
      <c r="F412" s="1"/>
      <c r="G412" s="1"/>
      <c r="H412" s="1"/>
    </row>
    <row r="413" spans="2:8" x14ac:dyDescent="0.3">
      <c r="B413" s="1"/>
      <c r="C413" s="1"/>
      <c r="D413" s="1"/>
      <c r="E413" s="1"/>
      <c r="F413" s="1"/>
      <c r="G413" s="1"/>
      <c r="H413" s="1"/>
    </row>
    <row r="414" spans="2:8" x14ac:dyDescent="0.3">
      <c r="B414" s="1"/>
      <c r="C414" s="1"/>
      <c r="D414" s="1"/>
      <c r="E414" s="1"/>
      <c r="F414" s="1"/>
      <c r="G414" s="1"/>
      <c r="H414" s="1"/>
    </row>
    <row r="415" spans="2:8" x14ac:dyDescent="0.3">
      <c r="B415" s="1"/>
      <c r="C415" s="1"/>
      <c r="D415" s="1"/>
      <c r="E415" s="1"/>
      <c r="F415" s="1"/>
      <c r="G415" s="1"/>
      <c r="H415" s="1"/>
    </row>
    <row r="416" spans="2:8" x14ac:dyDescent="0.3">
      <c r="B416" s="1"/>
      <c r="C416" s="1"/>
      <c r="D416" s="1"/>
      <c r="E416" s="1"/>
      <c r="F416" s="1"/>
      <c r="G416" s="1"/>
      <c r="H416" s="1"/>
    </row>
    <row r="417" spans="2:8" x14ac:dyDescent="0.3">
      <c r="B417" s="1"/>
      <c r="C417" s="1"/>
      <c r="D417" s="1"/>
      <c r="E417" s="1"/>
      <c r="F417" s="1"/>
      <c r="G417" s="1"/>
      <c r="H417" s="1"/>
    </row>
    <row r="418" spans="2:8" x14ac:dyDescent="0.3">
      <c r="B418" s="1"/>
      <c r="C418" s="1"/>
      <c r="D418" s="1"/>
      <c r="E418" s="1"/>
      <c r="F418" s="1"/>
      <c r="G418" s="1"/>
      <c r="H418" s="1"/>
    </row>
    <row r="419" spans="2:8" x14ac:dyDescent="0.3">
      <c r="B419" s="1"/>
      <c r="C419" s="1"/>
      <c r="D419" s="1"/>
      <c r="E419" s="1"/>
      <c r="F419" s="1"/>
      <c r="G419" s="1"/>
      <c r="H419" s="1"/>
    </row>
    <row r="420" spans="2:8" x14ac:dyDescent="0.3">
      <c r="B420" s="1"/>
      <c r="C420" s="1"/>
      <c r="D420" s="1"/>
      <c r="E420" s="1"/>
      <c r="F420" s="1"/>
      <c r="G420" s="1"/>
      <c r="H420" s="1"/>
    </row>
    <row r="421" spans="2:8" x14ac:dyDescent="0.3">
      <c r="B421" s="1"/>
      <c r="C421" s="1"/>
      <c r="D421" s="1"/>
      <c r="E421" s="1"/>
      <c r="F421" s="1"/>
      <c r="G421" s="1"/>
      <c r="H421" s="1"/>
    </row>
    <row r="422" spans="2:8" x14ac:dyDescent="0.3">
      <c r="B422" s="1"/>
      <c r="C422" s="1"/>
      <c r="D422" s="1"/>
      <c r="E422" s="1"/>
      <c r="F422" s="1"/>
      <c r="G422" s="1"/>
      <c r="H422" s="1"/>
    </row>
    <row r="423" spans="2:8" x14ac:dyDescent="0.3">
      <c r="B423" s="1"/>
      <c r="C423" s="1"/>
      <c r="D423" s="1"/>
      <c r="E423" s="1"/>
      <c r="F423" s="1"/>
      <c r="G423" s="1"/>
      <c r="H423" s="1"/>
    </row>
    <row r="424" spans="2:8" x14ac:dyDescent="0.3">
      <c r="B424" s="1"/>
      <c r="C424" s="1"/>
      <c r="D424" s="1"/>
      <c r="E424" s="1"/>
      <c r="F424" s="1"/>
      <c r="G424" s="1"/>
      <c r="H424" s="1"/>
    </row>
    <row r="425" spans="2:8" x14ac:dyDescent="0.3">
      <c r="B425" s="1"/>
      <c r="C425" s="1"/>
      <c r="D425" s="1"/>
      <c r="E425" s="1"/>
      <c r="F425" s="1"/>
      <c r="G425" s="1"/>
      <c r="H425" s="1"/>
    </row>
    <row r="426" spans="2:8" x14ac:dyDescent="0.3">
      <c r="B426" s="1"/>
      <c r="C426" s="1"/>
      <c r="D426" s="1"/>
      <c r="E426" s="1"/>
      <c r="F426" s="1"/>
      <c r="G426" s="1"/>
      <c r="H426" s="1"/>
    </row>
    <row r="427" spans="2:8" x14ac:dyDescent="0.3">
      <c r="B427" s="1"/>
      <c r="C427" s="1"/>
      <c r="D427" s="1"/>
      <c r="E427" s="1"/>
      <c r="F427" s="1"/>
      <c r="G427" s="1"/>
      <c r="H427" s="1"/>
    </row>
    <row r="428" spans="2:8" x14ac:dyDescent="0.3">
      <c r="B428" s="1"/>
      <c r="C428" s="1"/>
      <c r="D428" s="1"/>
      <c r="E428" s="1"/>
      <c r="F428" s="1"/>
      <c r="G428" s="1"/>
      <c r="H428" s="1"/>
    </row>
    <row r="429" spans="2:8" x14ac:dyDescent="0.3">
      <c r="B429" s="1"/>
      <c r="C429" s="1"/>
      <c r="D429" s="1"/>
      <c r="E429" s="1"/>
      <c r="F429" s="1"/>
      <c r="G429" s="1"/>
      <c r="H429" s="1"/>
    </row>
    <row r="430" spans="2:8" x14ac:dyDescent="0.3">
      <c r="B430" s="1"/>
      <c r="C430" s="1"/>
      <c r="D430" s="1"/>
      <c r="E430" s="1"/>
      <c r="F430" s="1"/>
      <c r="G430" s="1"/>
      <c r="H430" s="1"/>
    </row>
    <row r="431" spans="2:8" x14ac:dyDescent="0.3">
      <c r="B431" s="1"/>
      <c r="C431" s="1"/>
      <c r="D431" s="1"/>
      <c r="E431" s="1"/>
      <c r="F431" s="1"/>
      <c r="G431" s="1"/>
      <c r="H431" s="1"/>
    </row>
    <row r="432" spans="2:8" x14ac:dyDescent="0.3">
      <c r="B432" s="1"/>
      <c r="C432" s="1"/>
      <c r="D432" s="1"/>
      <c r="E432" s="1"/>
      <c r="F432" s="1"/>
      <c r="G432" s="1"/>
      <c r="H432" s="1"/>
    </row>
    <row r="433" spans="2:8" x14ac:dyDescent="0.3">
      <c r="B433" s="1"/>
      <c r="C433" s="1"/>
      <c r="D433" s="1"/>
      <c r="E433" s="1"/>
      <c r="F433" s="1"/>
      <c r="G433" s="1"/>
      <c r="H433" s="1"/>
    </row>
    <row r="434" spans="2:8" x14ac:dyDescent="0.3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L41"/>
  <sheetViews>
    <sheetView topLeftCell="A8" workbookViewId="0">
      <selection activeCell="G24" sqref="G24"/>
    </sheetView>
  </sheetViews>
  <sheetFormatPr defaultRowHeight="14.4" x14ac:dyDescent="0.3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 x14ac:dyDescent="0.5">
      <c r="A1" s="287"/>
      <c r="B1" s="288" t="s">
        <v>401</v>
      </c>
      <c r="C1" s="289"/>
      <c r="D1" s="290"/>
      <c r="E1" s="290"/>
      <c r="F1" s="290"/>
      <c r="G1" s="291"/>
    </row>
    <row r="2" spans="1:12" x14ac:dyDescent="0.3">
      <c r="A2" s="292"/>
      <c r="B2" s="285"/>
      <c r="C2" s="64"/>
      <c r="D2" s="462" t="s">
        <v>163</v>
      </c>
      <c r="E2" s="462"/>
      <c r="F2" s="462"/>
      <c r="G2" s="463"/>
    </row>
    <row r="3" spans="1:12" ht="18" customHeight="1" x14ac:dyDescent="0.3">
      <c r="A3" s="293"/>
      <c r="B3" s="286"/>
      <c r="C3" s="143" t="s">
        <v>1</v>
      </c>
      <c r="D3" s="130">
        <v>42735</v>
      </c>
      <c r="E3" s="130">
        <v>43100</v>
      </c>
      <c r="F3" s="130">
        <v>43465</v>
      </c>
      <c r="G3" s="294">
        <v>43830</v>
      </c>
    </row>
    <row r="4" spans="1:12" x14ac:dyDescent="0.3">
      <c r="A4" s="295"/>
      <c r="B4" s="5"/>
      <c r="C4" s="5"/>
      <c r="D4" s="31"/>
      <c r="E4" s="29"/>
      <c r="F4" s="29"/>
      <c r="G4" s="296"/>
    </row>
    <row r="5" spans="1:12" x14ac:dyDescent="0.3">
      <c r="A5" s="295"/>
      <c r="B5" s="8" t="s">
        <v>303</v>
      </c>
      <c r="C5" s="5"/>
      <c r="D5" s="215">
        <v>443</v>
      </c>
      <c r="E5" s="216">
        <v>710</v>
      </c>
      <c r="F5" s="216">
        <v>588</v>
      </c>
      <c r="G5" s="297">
        <v>687</v>
      </c>
    </row>
    <row r="6" spans="1:12" x14ac:dyDescent="0.3">
      <c r="A6" s="295"/>
      <c r="B6" s="5" t="s">
        <v>402</v>
      </c>
      <c r="C6" s="5"/>
      <c r="D6" s="217">
        <v>-122</v>
      </c>
      <c r="E6" s="218">
        <v>-192</v>
      </c>
      <c r="F6" s="218">
        <v>-157</v>
      </c>
      <c r="G6" s="298">
        <v>-189</v>
      </c>
    </row>
    <row r="7" spans="1:12" x14ac:dyDescent="0.3">
      <c r="A7" s="295"/>
      <c r="B7" s="5" t="s">
        <v>431</v>
      </c>
      <c r="C7" s="5"/>
      <c r="D7" s="283">
        <f>-'Reorganised Statements'!E99*('Reorganised Statements'!E109/'Reorganised Statements'!E101)</f>
        <v>-39.814371257485028</v>
      </c>
      <c r="E7" s="284">
        <f>-'Reorganised Statements'!F99*('Reorganised Statements'!F109/'Reorganised Statements'!F101)</f>
        <v>-44.666666666666664</v>
      </c>
      <c r="F7" s="284">
        <f>-'Reorganised Statements'!G99*('Reorganised Statements'!G109/'Reorganised Statements'!G101)</f>
        <v>-31.400000000000002</v>
      </c>
      <c r="G7" s="299">
        <f>-'Reorganised Statements'!H99*('Reorganised Statements'!H109/'Reorganised Statements'!H101)</f>
        <v>-34.481927710843372</v>
      </c>
    </row>
    <row r="8" spans="1:12" x14ac:dyDescent="0.3">
      <c r="A8" s="295"/>
      <c r="B8" s="24" t="s">
        <v>403</v>
      </c>
      <c r="C8" s="25"/>
      <c r="D8" s="219">
        <f>SUM(D5:D7)</f>
        <v>281.18562874251495</v>
      </c>
      <c r="E8" s="220">
        <f t="shared" ref="E8:G8" si="0">SUM(E5:E7)</f>
        <v>473.33333333333331</v>
      </c>
      <c r="F8" s="220">
        <f t="shared" si="0"/>
        <v>399.6</v>
      </c>
      <c r="G8" s="300">
        <f t="shared" si="0"/>
        <v>463.51807228915663</v>
      </c>
    </row>
    <row r="9" spans="1:12" x14ac:dyDescent="0.3">
      <c r="A9" s="295"/>
      <c r="B9" s="5"/>
      <c r="C9" s="5"/>
      <c r="D9" s="217"/>
      <c r="E9" s="218"/>
      <c r="F9" s="218"/>
      <c r="G9" s="298"/>
    </row>
    <row r="10" spans="1:12" x14ac:dyDescent="0.3">
      <c r="A10" s="295"/>
      <c r="B10" s="5" t="s">
        <v>425</v>
      </c>
      <c r="C10" s="5"/>
      <c r="D10" s="217">
        <f>'Reorganised Statements'!D10-'Reorganised Statements'!E10</f>
        <v>25</v>
      </c>
      <c r="E10" s="218">
        <f>'Reorganised Statements'!E10-'Reorganised Statements'!F10</f>
        <v>12</v>
      </c>
      <c r="F10" s="218">
        <f>'Reorganised Statements'!F10-'Reorganised Statements'!G10</f>
        <v>-40</v>
      </c>
      <c r="G10" s="298">
        <f>'Reorganised Statements'!G10-'Reorganised Statements'!H10</f>
        <v>3</v>
      </c>
    </row>
    <row r="11" spans="1:12" x14ac:dyDescent="0.3">
      <c r="A11" s="295"/>
      <c r="B11" s="5" t="s">
        <v>404</v>
      </c>
      <c r="C11" s="5"/>
      <c r="D11" s="217">
        <f>'Reorganised Statements'!D11-'Reorganised Statements'!E11</f>
        <v>-336</v>
      </c>
      <c r="E11" s="218">
        <f>'Reorganised Statements'!E11-'Reorganised Statements'!F11</f>
        <v>150</v>
      </c>
      <c r="F11" s="218">
        <f>'Reorganised Statements'!F11-'Reorganised Statements'!G11</f>
        <v>-110</v>
      </c>
      <c r="G11" s="298">
        <f>'Reorganised Statements'!G11-'Reorganised Statements'!H11</f>
        <v>-71</v>
      </c>
    </row>
    <row r="12" spans="1:12" x14ac:dyDescent="0.3">
      <c r="A12" s="295"/>
      <c r="B12" s="5" t="s">
        <v>424</v>
      </c>
      <c r="C12" s="5"/>
      <c r="D12" s="217">
        <f>'Reorganised Statements'!D12-'Reorganised Statements'!E12</f>
        <v>214</v>
      </c>
      <c r="E12" s="218">
        <f>'Reorganised Statements'!E12-'Reorganised Statements'!F12</f>
        <v>-3</v>
      </c>
      <c r="F12" s="218">
        <f>'Reorganised Statements'!F12-'Reorganised Statements'!G12</f>
        <v>32</v>
      </c>
      <c r="G12" s="298">
        <f>'Reorganised Statements'!G12-'Reorganised Statements'!H12</f>
        <v>68</v>
      </c>
    </row>
    <row r="13" spans="1:12" x14ac:dyDescent="0.3">
      <c r="A13" s="295"/>
      <c r="B13" s="24" t="s">
        <v>426</v>
      </c>
      <c r="C13" s="25"/>
      <c r="D13" s="219">
        <f>SUM(D10:D12)</f>
        <v>-97</v>
      </c>
      <c r="E13" s="220">
        <f t="shared" ref="E13:F13" si="1">SUM(E10:E12)</f>
        <v>159</v>
      </c>
      <c r="F13" s="220">
        <f t="shared" si="1"/>
        <v>-118</v>
      </c>
      <c r="G13" s="300">
        <f>SUM(G10:G12)</f>
        <v>0</v>
      </c>
      <c r="H13" s="282"/>
      <c r="I13" s="282"/>
      <c r="J13" s="282"/>
      <c r="K13" s="282"/>
      <c r="L13" s="282"/>
    </row>
    <row r="14" spans="1:12" x14ac:dyDescent="0.3">
      <c r="A14" s="295"/>
      <c r="B14" s="5"/>
      <c r="C14" s="5"/>
      <c r="D14" s="217"/>
      <c r="E14" s="218"/>
      <c r="F14" s="218"/>
      <c r="G14" s="298"/>
    </row>
    <row r="15" spans="1:12" x14ac:dyDescent="0.3">
      <c r="A15" s="295"/>
      <c r="B15" s="5" t="s">
        <v>405</v>
      </c>
      <c r="C15" s="5"/>
      <c r="D15" s="217">
        <f>'Reorganised Statements'!D15-'Reorganised Statements'!E15</f>
        <v>-59</v>
      </c>
      <c r="E15" s="218">
        <f>'Reorganised Statements'!E15-'Reorganised Statements'!F15</f>
        <v>132</v>
      </c>
      <c r="F15" s="218">
        <f>'Reorganised Statements'!F15-'Reorganised Statements'!G15</f>
        <v>53</v>
      </c>
      <c r="G15" s="298">
        <f>'Reorganised Statements'!G15-'Reorganised Statements'!H15</f>
        <v>-155</v>
      </c>
    </row>
    <row r="16" spans="1:12" x14ac:dyDescent="0.3">
      <c r="A16" s="295"/>
      <c r="B16" s="5" t="s">
        <v>406</v>
      </c>
      <c r="C16" s="5"/>
      <c r="D16" s="217">
        <f>'Reorganised Statements'!D21-'Reorganised Statements'!E21</f>
        <v>210</v>
      </c>
      <c r="E16" s="218">
        <f>'Reorganised Statements'!E21-'Reorganised Statements'!F21</f>
        <v>-220</v>
      </c>
      <c r="F16" s="218">
        <f>'Reorganised Statements'!F21-'Reorganised Statements'!G21</f>
        <v>90</v>
      </c>
      <c r="G16" s="298">
        <f>'Reorganised Statements'!G21-'Reorganised Statements'!H21</f>
        <v>236</v>
      </c>
    </row>
    <row r="17" spans="1:8" x14ac:dyDescent="0.3">
      <c r="A17" s="295"/>
      <c r="B17" s="24" t="s">
        <v>427</v>
      </c>
      <c r="C17" s="25"/>
      <c r="D17" s="219">
        <f>SUM(D13,D15:D16)</f>
        <v>54</v>
      </c>
      <c r="E17" s="220">
        <f t="shared" ref="E17:G17" si="2">SUM(E13,E15:E16)</f>
        <v>71</v>
      </c>
      <c r="F17" s="220">
        <f t="shared" si="2"/>
        <v>25</v>
      </c>
      <c r="G17" s="300">
        <f t="shared" si="2"/>
        <v>81</v>
      </c>
    </row>
    <row r="18" spans="1:8" x14ac:dyDescent="0.3">
      <c r="A18" s="295"/>
      <c r="B18" s="5"/>
      <c r="C18" s="5"/>
      <c r="D18" s="217"/>
      <c r="E18" s="218"/>
      <c r="F18" s="218"/>
      <c r="G18" s="298"/>
    </row>
    <row r="19" spans="1:8" x14ac:dyDescent="0.3">
      <c r="A19" s="295"/>
      <c r="B19" s="5" t="s">
        <v>407</v>
      </c>
      <c r="C19" s="5"/>
      <c r="D19" s="217">
        <f>('Reorganised Statements'!D5+'Reorganised Statements'!D6)-('Reorganised Statements'!E5+'Reorganised Statements'!E6)+'Reorganised Statements'!E72</f>
        <v>-1066</v>
      </c>
      <c r="E19" s="218">
        <f>('Reorganised Statements'!E5+'Reorganised Statements'!E6)-('Reorganised Statements'!F5+'Reorganised Statements'!F6)+'Reorganised Statements'!F72</f>
        <v>-80</v>
      </c>
      <c r="F19" s="218">
        <f>('Reorganised Statements'!F5+'Reorganised Statements'!F6)-('Reorganised Statements'!G5+'Reorganised Statements'!G6)+'Reorganised Statements'!G72</f>
        <v>-1076</v>
      </c>
      <c r="G19" s="298">
        <f>('Reorganised Statements'!G5+'Reorganised Statements'!G6)-('Reorganised Statements'!H5+'Reorganised Statements'!H6)+'Reorganised Statements'!H72</f>
        <v>-837</v>
      </c>
    </row>
    <row r="20" spans="1:8" x14ac:dyDescent="0.3">
      <c r="A20" s="295"/>
      <c r="B20" s="5" t="s">
        <v>408</v>
      </c>
      <c r="C20" s="5"/>
      <c r="D20" s="217">
        <v>648</v>
      </c>
      <c r="E20" s="218">
        <v>444</v>
      </c>
      <c r="F20" s="218">
        <v>623</v>
      </c>
      <c r="G20" s="298">
        <v>511</v>
      </c>
    </row>
    <row r="21" spans="1:8" x14ac:dyDescent="0.3">
      <c r="A21" s="295"/>
      <c r="B21" s="5" t="s">
        <v>409</v>
      </c>
      <c r="C21" s="5"/>
      <c r="D21" s="217">
        <f>'Reorganised Statements'!D30-'Reorganised Statements'!E30</f>
        <v>95</v>
      </c>
      <c r="E21" s="217">
        <f>'Reorganised Statements'!E30-'Reorganised Statements'!F30</f>
        <v>-46</v>
      </c>
      <c r="F21" s="217">
        <f>'Reorganised Statements'!F30-'Reorganised Statements'!G30</f>
        <v>17</v>
      </c>
      <c r="G21" s="301">
        <f>'Reorganised Statements'!G30-'Reorganised Statements'!H30</f>
        <v>34</v>
      </c>
      <c r="H21" s="282"/>
    </row>
    <row r="22" spans="1:8" x14ac:dyDescent="0.3">
      <c r="A22" s="295"/>
      <c r="B22" s="5" t="s">
        <v>410</v>
      </c>
      <c r="C22" s="5"/>
      <c r="D22" s="217">
        <f>'Reorganised Statements'!D29-'Reorganised Statements'!E29</f>
        <v>33</v>
      </c>
      <c r="E22" s="217">
        <f>'Reorganised Statements'!E29-'Reorganised Statements'!F29</f>
        <v>-46</v>
      </c>
      <c r="F22" s="217">
        <f>'Reorganised Statements'!F29-'Reorganised Statements'!G29</f>
        <v>-5</v>
      </c>
      <c r="G22" s="301">
        <f>'Reorganised Statements'!G29-'Reorganised Statements'!H29</f>
        <v>-7</v>
      </c>
      <c r="H22" s="282"/>
    </row>
    <row r="23" spans="1:8" x14ac:dyDescent="0.3">
      <c r="A23" s="295"/>
      <c r="B23" s="5" t="s">
        <v>423</v>
      </c>
      <c r="C23" s="5"/>
      <c r="D23" s="217">
        <f>'Reorganised Statements'!D28-'Reorganised Statements'!E28</f>
        <v>-33</v>
      </c>
      <c r="E23" s="217">
        <f>'Reorganised Statements'!E28-'Reorganised Statements'!F28</f>
        <v>40</v>
      </c>
      <c r="F23" s="217">
        <f>'Reorganised Statements'!F28-'Reorganised Statements'!G28</f>
        <v>37</v>
      </c>
      <c r="G23" s="301">
        <f>'Reorganised Statements'!G28-'Reorganised Statements'!H28</f>
        <v>-13</v>
      </c>
    </row>
    <row r="24" spans="1:8" x14ac:dyDescent="0.3">
      <c r="A24" s="295"/>
      <c r="B24" s="5" t="s">
        <v>411</v>
      </c>
      <c r="C24" s="5"/>
      <c r="D24" s="217">
        <v>20</v>
      </c>
      <c r="E24" s="218">
        <v>-91</v>
      </c>
      <c r="F24" s="218">
        <v>11</v>
      </c>
      <c r="G24" s="298">
        <v>-3</v>
      </c>
    </row>
    <row r="25" spans="1:8" x14ac:dyDescent="0.3">
      <c r="A25" s="295"/>
      <c r="B25" s="18" t="s">
        <v>412</v>
      </c>
      <c r="C25" s="20"/>
      <c r="D25" s="221">
        <f>D8+D17+SUM(D19:D24)</f>
        <v>32.18562874251495</v>
      </c>
      <c r="E25" s="221">
        <f t="shared" ref="E25:G25" si="3">E8+E17+SUM(E19:E24)</f>
        <v>765.33333333333326</v>
      </c>
      <c r="F25" s="221">
        <f t="shared" si="3"/>
        <v>31.600000000000023</v>
      </c>
      <c r="G25" s="302">
        <f t="shared" si="3"/>
        <v>229.51807228915663</v>
      </c>
    </row>
    <row r="26" spans="1:8" x14ac:dyDescent="0.3">
      <c r="A26" s="295"/>
      <c r="B26" s="5" t="s">
        <v>413</v>
      </c>
      <c r="C26" s="5"/>
      <c r="D26" s="225">
        <f>-D25/D5</f>
        <v>-7.2653789486489734E-2</v>
      </c>
      <c r="E26" s="225">
        <f t="shared" ref="E26:G26" si="4">E25/E5</f>
        <v>1.0779342723004695</v>
      </c>
      <c r="F26" s="225">
        <f t="shared" si="4"/>
        <v>5.3741496598639492E-2</v>
      </c>
      <c r="G26" s="303">
        <f t="shared" si="4"/>
        <v>0.33408744146893249</v>
      </c>
    </row>
    <row r="27" spans="1:8" x14ac:dyDescent="0.3">
      <c r="A27" s="295"/>
      <c r="B27" s="5"/>
      <c r="C27" s="5"/>
      <c r="D27" s="217"/>
      <c r="E27" s="218"/>
      <c r="F27" s="218"/>
      <c r="G27" s="298"/>
    </row>
    <row r="28" spans="1:8" x14ac:dyDescent="0.3">
      <c r="A28" s="295"/>
      <c r="B28" s="5" t="s">
        <v>414</v>
      </c>
      <c r="C28" s="5"/>
      <c r="D28" s="217">
        <f>('Reorganised Statements'!D7-'Reorganised Statements'!E7)+'Reorganised Statements'!E99</f>
        <v>-108</v>
      </c>
      <c r="E28" s="217">
        <f>('Reorganised Statements'!E7-'Reorganised Statements'!F7)+'Reorganised Statements'!F99</f>
        <v>-105</v>
      </c>
      <c r="F28" s="217">
        <f>('Reorganised Statements'!F7-'Reorganised Statements'!G7)+'Reorganised Statements'!G99</f>
        <v>-36</v>
      </c>
      <c r="G28" s="217">
        <f>('Reorganised Statements'!G7-'Reorganised Statements'!H7)+'Reorganised Statements'!H99</f>
        <v>-126</v>
      </c>
    </row>
    <row r="29" spans="1:8" x14ac:dyDescent="0.3">
      <c r="A29" s="295"/>
      <c r="B29" s="5" t="s">
        <v>415</v>
      </c>
      <c r="C29" s="5"/>
      <c r="D29" s="217">
        <f>'Reorganised Statements'!D39-'Reorganised Statements'!E39</f>
        <v>14</v>
      </c>
      <c r="E29" s="217">
        <f>'Reorganised Statements'!E39-'Reorganised Statements'!F39</f>
        <v>143</v>
      </c>
      <c r="F29" s="217">
        <f>'Reorganised Statements'!F39-'Reorganised Statements'!G39</f>
        <v>-260</v>
      </c>
      <c r="G29" s="301">
        <f>'Reorganised Statements'!G39-'Reorganised Statements'!H39</f>
        <v>-67</v>
      </c>
    </row>
    <row r="30" spans="1:8" x14ac:dyDescent="0.3">
      <c r="A30" s="295"/>
      <c r="B30" s="5" t="s">
        <v>432</v>
      </c>
      <c r="C30" s="5"/>
      <c r="D30" s="217">
        <f>-D7</f>
        <v>39.814371257485028</v>
      </c>
      <c r="E30" s="217">
        <f t="shared" ref="E30:G30" si="5">-E7</f>
        <v>44.666666666666664</v>
      </c>
      <c r="F30" s="217">
        <f t="shared" si="5"/>
        <v>31.400000000000002</v>
      </c>
      <c r="G30" s="301">
        <f t="shared" si="5"/>
        <v>34.481927710843372</v>
      </c>
    </row>
    <row r="31" spans="1:8" x14ac:dyDescent="0.3">
      <c r="A31" s="295"/>
      <c r="B31" s="18" t="s">
        <v>416</v>
      </c>
      <c r="C31" s="20"/>
      <c r="D31" s="221">
        <f>D25+D28+D29+D30</f>
        <v>-22.000000000000021</v>
      </c>
      <c r="E31" s="222">
        <f t="shared" ref="E31:G31" si="6">E25+E28+E29+E30</f>
        <v>847.99999999999989</v>
      </c>
      <c r="F31" s="222">
        <f t="shared" si="6"/>
        <v>-232.99999999999997</v>
      </c>
      <c r="G31" s="304">
        <f t="shared" si="6"/>
        <v>71</v>
      </c>
    </row>
    <row r="32" spans="1:8" x14ac:dyDescent="0.3">
      <c r="A32" s="295"/>
      <c r="B32" s="5" t="s">
        <v>417</v>
      </c>
      <c r="C32" s="5"/>
      <c r="D32" s="217"/>
      <c r="E32" s="218"/>
      <c r="F32" s="218"/>
      <c r="G32" s="298"/>
    </row>
    <row r="33" spans="1:8" x14ac:dyDescent="0.3">
      <c r="A33" s="295"/>
      <c r="B33" s="5"/>
      <c r="C33" s="5"/>
      <c r="D33" s="223"/>
      <c r="E33" s="224"/>
      <c r="F33" s="224"/>
      <c r="G33" s="305"/>
    </row>
    <row r="34" spans="1:8" x14ac:dyDescent="0.3">
      <c r="A34" s="295"/>
      <c r="B34" s="5" t="s">
        <v>418</v>
      </c>
      <c r="C34" s="5"/>
      <c r="D34" s="224">
        <f>('Reorganised Statements'!D35-'Reorganised Statements'!E35)-'Reorganised Statements'!E114</f>
        <v>-212</v>
      </c>
      <c r="E34" s="224">
        <f>('Reorganised Statements'!E35-'Reorganised Statements'!F35)-'Reorganised Statements'!F114</f>
        <v>-559</v>
      </c>
      <c r="F34" s="224">
        <f>('Reorganised Statements'!F35-'Reorganised Statements'!G35)-'Reorganised Statements'!G114</f>
        <v>166</v>
      </c>
      <c r="G34" s="305">
        <f>('Reorganised Statements'!G35-'Reorganised Statements'!H35)-'Reorganised Statements'!H114</f>
        <v>-261</v>
      </c>
    </row>
    <row r="35" spans="1:8" x14ac:dyDescent="0.3">
      <c r="A35" s="295"/>
      <c r="B35" s="8" t="s">
        <v>419</v>
      </c>
      <c r="C35" s="5"/>
      <c r="D35" s="223">
        <f>D31+D34</f>
        <v>-234.00000000000003</v>
      </c>
      <c r="E35" s="223">
        <f t="shared" ref="E35:G35" si="7">E31+E34</f>
        <v>288.99999999999989</v>
      </c>
      <c r="F35" s="223">
        <f t="shared" si="7"/>
        <v>-66.999999999999972</v>
      </c>
      <c r="G35" s="306">
        <f t="shared" si="7"/>
        <v>-190</v>
      </c>
    </row>
    <row r="36" spans="1:8" x14ac:dyDescent="0.3">
      <c r="A36" s="295"/>
      <c r="B36" s="5"/>
      <c r="C36" s="5"/>
      <c r="D36" s="223"/>
      <c r="E36" s="224"/>
      <c r="F36" s="224"/>
      <c r="G36" s="305"/>
    </row>
    <row r="37" spans="1:8" x14ac:dyDescent="0.3">
      <c r="A37" s="295"/>
      <c r="B37" s="212" t="s">
        <v>420</v>
      </c>
      <c r="C37" s="5"/>
      <c r="D37" s="223">
        <v>636</v>
      </c>
      <c r="E37" s="224">
        <v>402</v>
      </c>
      <c r="F37" s="224">
        <v>691</v>
      </c>
      <c r="G37" s="305">
        <v>624</v>
      </c>
      <c r="H37" s="282"/>
    </row>
    <row r="38" spans="1:8" x14ac:dyDescent="0.3">
      <c r="A38" s="295"/>
      <c r="B38" s="212" t="s">
        <v>421</v>
      </c>
      <c r="C38" s="5"/>
      <c r="D38" s="223">
        <v>402</v>
      </c>
      <c r="E38" s="224">
        <v>691</v>
      </c>
      <c r="F38" s="224">
        <v>624</v>
      </c>
      <c r="G38" s="305">
        <v>434</v>
      </c>
      <c r="H38" s="282"/>
    </row>
    <row r="39" spans="1:8" ht="15" thickBot="1" x14ac:dyDescent="0.35">
      <c r="A39" s="307"/>
      <c r="B39" s="308" t="s">
        <v>422</v>
      </c>
      <c r="C39" s="308"/>
      <c r="D39" s="309">
        <f>D38-D37</f>
        <v>-234</v>
      </c>
      <c r="E39" s="309">
        <f t="shared" ref="E39:G39" si="8">E38-E37</f>
        <v>289</v>
      </c>
      <c r="F39" s="309">
        <f t="shared" si="8"/>
        <v>-67</v>
      </c>
      <c r="G39" s="310">
        <f t="shared" si="8"/>
        <v>-190</v>
      </c>
      <c r="H39" s="282"/>
    </row>
    <row r="40" spans="1:8" ht="15" thickBot="1" x14ac:dyDescent="0.35">
      <c r="A40" s="1"/>
      <c r="B40" s="1"/>
      <c r="C40" s="1"/>
      <c r="D40" s="1"/>
      <c r="E40" s="1"/>
      <c r="F40" s="1"/>
      <c r="G40" s="1"/>
    </row>
    <row r="41" spans="1:8" ht="15" thickBot="1" x14ac:dyDescent="0.35">
      <c r="A41" s="1"/>
      <c r="B41" s="312" t="s">
        <v>433</v>
      </c>
      <c r="C41" s="313"/>
      <c r="D41" s="313" t="str">
        <f>IF(D35=D39,"Correct","Incorrect")</f>
        <v>Correct</v>
      </c>
      <c r="E41" s="313" t="str">
        <f t="shared" ref="E41:G41" si="9">IF(E35=E39,"Correct","Incorrect")</f>
        <v>Correct</v>
      </c>
      <c r="F41" s="313" t="str">
        <f t="shared" si="9"/>
        <v>Correct</v>
      </c>
      <c r="G41" s="314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V153"/>
  <sheetViews>
    <sheetView topLeftCell="A87" zoomScale="80" zoomScaleNormal="80" workbookViewId="0">
      <selection activeCell="C129" sqref="C129"/>
    </sheetView>
  </sheetViews>
  <sheetFormatPr defaultRowHeight="14.4" x14ac:dyDescent="0.3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 x14ac:dyDescent="0.5">
      <c r="A1" s="464" t="s">
        <v>514</v>
      </c>
      <c r="B1" s="465"/>
      <c r="C1" s="148"/>
      <c r="D1" s="148"/>
      <c r="E1" s="148"/>
      <c r="F1" s="148"/>
      <c r="G1" s="385"/>
    </row>
    <row r="2" spans="1:20" x14ac:dyDescent="0.3">
      <c r="A2" s="386"/>
      <c r="B2" s="459" t="s">
        <v>158</v>
      </c>
      <c r="C2" s="459"/>
      <c r="D2" s="459"/>
      <c r="E2" s="459"/>
      <c r="F2" s="459"/>
      <c r="G2" s="466"/>
    </row>
    <row r="3" spans="1:20" x14ac:dyDescent="0.3">
      <c r="A3" s="293"/>
      <c r="B3" s="144" t="s">
        <v>1</v>
      </c>
      <c r="C3" s="147">
        <v>42461</v>
      </c>
      <c r="D3" s="147">
        <v>42826</v>
      </c>
      <c r="E3" s="147">
        <v>43191</v>
      </c>
      <c r="F3" s="147">
        <v>43556</v>
      </c>
      <c r="G3" s="387">
        <v>43922</v>
      </c>
    </row>
    <row r="4" spans="1:20" x14ac:dyDescent="0.3">
      <c r="A4" s="388"/>
      <c r="B4" s="5"/>
      <c r="C4" s="31"/>
      <c r="D4" s="29"/>
      <c r="E4" s="29"/>
      <c r="F4" s="29"/>
      <c r="G4" s="296"/>
    </row>
    <row r="5" spans="1:20" x14ac:dyDescent="0.3">
      <c r="A5" s="389" t="s">
        <v>381</v>
      </c>
      <c r="B5" s="161"/>
      <c r="C5" s="171">
        <v>5022</v>
      </c>
      <c r="D5" s="171">
        <v>5026</v>
      </c>
      <c r="E5" s="171">
        <f>+(4592)</f>
        <v>4592</v>
      </c>
      <c r="F5" s="171">
        <v>4703</v>
      </c>
      <c r="G5" s="390">
        <v>4917</v>
      </c>
    </row>
    <row r="6" spans="1:20" x14ac:dyDescent="0.3">
      <c r="A6" s="389" t="s">
        <v>382</v>
      </c>
      <c r="B6" s="161"/>
      <c r="C6" s="171">
        <v>1360</v>
      </c>
      <c r="D6" s="171">
        <v>1756</v>
      </c>
      <c r="E6" s="171">
        <v>1902</v>
      </c>
      <c r="F6" s="171">
        <v>2344</v>
      </c>
      <c r="G6" s="390">
        <v>2429</v>
      </c>
    </row>
    <row r="7" spans="1:20" x14ac:dyDescent="0.3">
      <c r="A7" s="389" t="s">
        <v>377</v>
      </c>
      <c r="B7" s="161"/>
      <c r="C7" s="171">
        <f>70+76</f>
        <v>146</v>
      </c>
      <c r="D7" s="171">
        <f>62+78</f>
        <v>140</v>
      </c>
      <c r="E7" s="171">
        <f>+(63+42)</f>
        <v>105</v>
      </c>
      <c r="F7" s="171">
        <f>18+26</f>
        <v>44</v>
      </c>
      <c r="G7" s="390">
        <f>+(24+71)</f>
        <v>95</v>
      </c>
    </row>
    <row r="8" spans="1:20" x14ac:dyDescent="0.3">
      <c r="A8" s="391" t="s">
        <v>383</v>
      </c>
      <c r="B8" s="392"/>
      <c r="C8" s="181">
        <f>SUM(C5:C7)</f>
        <v>6528</v>
      </c>
      <c r="D8" s="181">
        <f>SUM(D5:D7)</f>
        <v>6922</v>
      </c>
      <c r="E8" s="181">
        <f>E5+E6+E7</f>
        <v>6599</v>
      </c>
      <c r="F8" s="181">
        <f>F5+F6+F7</f>
        <v>7091</v>
      </c>
      <c r="G8" s="393">
        <f>SUM(G5:G7)</f>
        <v>7441</v>
      </c>
    </row>
    <row r="9" spans="1:20" x14ac:dyDescent="0.3">
      <c r="A9" s="389"/>
      <c r="B9" s="161"/>
      <c r="C9" s="171"/>
      <c r="D9" s="171"/>
      <c r="E9" s="171"/>
      <c r="F9" s="171"/>
      <c r="G9" s="390"/>
    </row>
    <row r="10" spans="1:20" x14ac:dyDescent="0.3">
      <c r="A10" s="389" t="s">
        <v>372</v>
      </c>
      <c r="B10" s="161"/>
      <c r="C10" s="171">
        <v>98</v>
      </c>
      <c r="D10" s="171">
        <v>118</v>
      </c>
      <c r="E10" s="171">
        <v>80</v>
      </c>
      <c r="F10" s="171">
        <v>119</v>
      </c>
      <c r="G10" s="390">
        <v>104</v>
      </c>
    </row>
    <row r="11" spans="1:20" x14ac:dyDescent="0.3">
      <c r="A11" s="389" t="s">
        <v>373</v>
      </c>
      <c r="B11" s="161"/>
      <c r="C11" s="171">
        <v>1547</v>
      </c>
      <c r="D11" s="171">
        <v>1878</v>
      </c>
      <c r="E11" s="171">
        <f>+(1826)</f>
        <v>1826</v>
      </c>
      <c r="F11" s="171">
        <v>2077</v>
      </c>
      <c r="G11" s="390">
        <v>2056</v>
      </c>
    </row>
    <row r="12" spans="1:20" x14ac:dyDescent="0.3">
      <c r="A12" s="389" t="s">
        <v>378</v>
      </c>
      <c r="B12" s="161"/>
      <c r="C12" s="171">
        <v>-1012</v>
      </c>
      <c r="D12" s="171">
        <f>-(1151)</f>
        <v>-1151</v>
      </c>
      <c r="E12" s="171">
        <f>-(1150)</f>
        <v>-1150</v>
      </c>
      <c r="F12" s="171">
        <f>-(1321)</f>
        <v>-1321</v>
      </c>
      <c r="G12" s="390">
        <f>-(1323)</f>
        <v>-1323</v>
      </c>
    </row>
    <row r="13" spans="1:20" x14ac:dyDescent="0.3">
      <c r="A13" s="394" t="s">
        <v>384</v>
      </c>
      <c r="B13" s="395"/>
      <c r="C13" s="186">
        <f>SUM(C10:C12)</f>
        <v>633</v>
      </c>
      <c r="D13" s="186">
        <f>SUM(D10:D12)</f>
        <v>845</v>
      </c>
      <c r="E13" s="186">
        <f>E10+E11+E12</f>
        <v>756</v>
      </c>
      <c r="F13" s="186">
        <f>F10+F11+F12</f>
        <v>875</v>
      </c>
      <c r="G13" s="396">
        <f>G10+G11+G12</f>
        <v>837</v>
      </c>
    </row>
    <row r="14" spans="1:20" x14ac:dyDescent="0.3">
      <c r="A14" s="397"/>
      <c r="B14" s="160"/>
      <c r="C14" s="171"/>
      <c r="D14" s="171"/>
      <c r="E14" s="171"/>
      <c r="F14" s="171"/>
      <c r="G14" s="398"/>
    </row>
    <row r="15" spans="1:20" x14ac:dyDescent="0.3">
      <c r="A15" s="399" t="s">
        <v>515</v>
      </c>
      <c r="B15" s="161"/>
      <c r="C15" s="171"/>
      <c r="D15" s="171"/>
      <c r="E15" s="171"/>
      <c r="F15" s="171"/>
      <c r="G15" s="390"/>
      <c r="H15" s="379"/>
      <c r="I15" s="379"/>
      <c r="J15" s="55"/>
      <c r="K15" s="379"/>
      <c r="L15" s="379"/>
      <c r="M15" s="55"/>
    </row>
    <row r="16" spans="1:20" x14ac:dyDescent="0.3">
      <c r="A16" s="389" t="s">
        <v>374</v>
      </c>
      <c r="B16" s="161"/>
      <c r="C16" s="171">
        <v>335</v>
      </c>
      <c r="D16" s="171">
        <v>248</v>
      </c>
      <c r="E16" s="171">
        <v>201</v>
      </c>
      <c r="F16" s="171">
        <v>391</v>
      </c>
      <c r="G16" s="390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3">
      <c r="A17" s="389" t="s">
        <v>375</v>
      </c>
      <c r="B17" s="161"/>
      <c r="C17" s="171">
        <v>233</v>
      </c>
      <c r="D17" s="171">
        <v>200</v>
      </c>
      <c r="E17" s="171">
        <f>+(7)</f>
        <v>7</v>
      </c>
      <c r="F17" s="171">
        <v>11</v>
      </c>
      <c r="G17" s="390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 x14ac:dyDescent="0.3">
      <c r="A18" s="400" t="s">
        <v>31</v>
      </c>
      <c r="B18" s="174"/>
      <c r="C18" s="171">
        <v>6</v>
      </c>
      <c r="D18" s="171">
        <v>22</v>
      </c>
      <c r="E18" s="171">
        <v>8</v>
      </c>
      <c r="F18" s="171">
        <v>22</v>
      </c>
      <c r="G18" s="390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3">
      <c r="A19" s="389" t="s">
        <v>75</v>
      </c>
      <c r="B19" s="161"/>
      <c r="C19" s="171">
        <v>69</v>
      </c>
      <c r="D19" s="171">
        <v>70</v>
      </c>
      <c r="E19" s="171">
        <v>67</v>
      </c>
      <c r="F19" s="171">
        <v>49</v>
      </c>
      <c r="G19" s="398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 x14ac:dyDescent="0.3">
      <c r="A20" s="400" t="s">
        <v>376</v>
      </c>
      <c r="B20" s="161"/>
      <c r="C20" s="171">
        <v>2</v>
      </c>
      <c r="D20" s="171">
        <f>+(2)</f>
        <v>2</v>
      </c>
      <c r="E20" s="171">
        <v>226</v>
      </c>
      <c r="F20" s="171">
        <v>110</v>
      </c>
      <c r="G20" s="390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3">
      <c r="A21" s="399" t="s">
        <v>396</v>
      </c>
      <c r="B21" s="161"/>
      <c r="C21" s="171"/>
      <c r="D21" s="171"/>
      <c r="E21" s="171"/>
      <c r="F21" s="171"/>
      <c r="G21" s="401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x14ac:dyDescent="0.3">
      <c r="A22" s="389" t="s">
        <v>120</v>
      </c>
      <c r="B22" s="161"/>
      <c r="C22" s="171">
        <v>-95</v>
      </c>
      <c r="D22" s="171">
        <v>-109</v>
      </c>
      <c r="E22" s="171">
        <f>-(154)</f>
        <v>-154</v>
      </c>
      <c r="F22" s="171">
        <v>-151</v>
      </c>
      <c r="G22" s="390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3">
      <c r="A23" s="389" t="s">
        <v>153</v>
      </c>
      <c r="B23" s="161"/>
      <c r="C23" s="171">
        <v>-85</v>
      </c>
      <c r="D23" s="171">
        <f>-(103)</f>
        <v>-103</v>
      </c>
      <c r="E23" s="171">
        <f>-(41)</f>
        <v>-41</v>
      </c>
      <c r="F23" s="171">
        <v>-91</v>
      </c>
      <c r="G23" s="390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x14ac:dyDescent="0.3">
      <c r="A24" s="389" t="s">
        <v>379</v>
      </c>
      <c r="B24" s="161"/>
      <c r="C24" s="171">
        <v>-707</v>
      </c>
      <c r="D24" s="171">
        <f>-(681)</f>
        <v>-681</v>
      </c>
      <c r="E24" s="171">
        <f>-(632)</f>
        <v>-632</v>
      </c>
      <c r="F24" s="171">
        <v>-882</v>
      </c>
      <c r="G24" s="390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3">
      <c r="A25" s="389" t="s">
        <v>430</v>
      </c>
      <c r="B25" s="161"/>
      <c r="C25" s="171">
        <v>0</v>
      </c>
      <c r="D25" s="171">
        <f>-(2)</f>
        <v>-2</v>
      </c>
      <c r="E25" s="171">
        <v>0</v>
      </c>
      <c r="F25" s="171">
        <v>0</v>
      </c>
      <c r="G25" s="390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x14ac:dyDescent="0.3">
      <c r="A26" s="391" t="s">
        <v>385</v>
      </c>
      <c r="B26" s="392"/>
      <c r="C26" s="181">
        <f>C13+SUM(C16:C25)</f>
        <v>391</v>
      </c>
      <c r="D26" s="181">
        <f>D13+SUM(D16:D25)</f>
        <v>492</v>
      </c>
      <c r="E26" s="181">
        <f>E13+E16+E17+E18+E19+E20+E22+E23+E24+E25</f>
        <v>438</v>
      </c>
      <c r="F26" s="181">
        <f>F13+F16+F17+F18+F19+F20+F22+F23+F24</f>
        <v>334</v>
      </c>
      <c r="G26" s="402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x14ac:dyDescent="0.3">
      <c r="A27" s="389"/>
      <c r="B27" s="161"/>
      <c r="C27" s="171"/>
      <c r="D27" s="171"/>
      <c r="E27" s="171"/>
      <c r="F27" s="171"/>
      <c r="G27" s="390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x14ac:dyDescent="0.3">
      <c r="A28" s="389" t="s">
        <v>429</v>
      </c>
      <c r="B28" s="161"/>
      <c r="C28" s="171">
        <v>305</v>
      </c>
      <c r="D28" s="171">
        <f>+(357)</f>
        <v>357</v>
      </c>
      <c r="E28" s="171">
        <f>+(295)</f>
        <v>295</v>
      </c>
      <c r="F28" s="171">
        <v>274</v>
      </c>
      <c r="G28" s="390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x14ac:dyDescent="0.3">
      <c r="A29" s="389" t="s">
        <v>113</v>
      </c>
      <c r="B29" s="161"/>
      <c r="C29" s="171">
        <v>-327</v>
      </c>
      <c r="D29" s="171">
        <f>-(359)</f>
        <v>-359</v>
      </c>
      <c r="E29" s="171">
        <f>-(315)</f>
        <v>-315</v>
      </c>
      <c r="F29" s="171">
        <v>-311</v>
      </c>
      <c r="G29" s="390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x14ac:dyDescent="0.3">
      <c r="A30" s="389" t="s">
        <v>380</v>
      </c>
      <c r="B30" s="161"/>
      <c r="C30" s="171">
        <f>-(604)</f>
        <v>-604</v>
      </c>
      <c r="D30" s="171">
        <f>-(666)</f>
        <v>-666</v>
      </c>
      <c r="E30" s="171">
        <f>-(626)</f>
        <v>-626</v>
      </c>
      <c r="F30" s="171">
        <f>-(637)</f>
        <v>-637</v>
      </c>
      <c r="G30" s="390">
        <f>-(668)</f>
        <v>-668</v>
      </c>
    </row>
    <row r="31" spans="1:20" x14ac:dyDescent="0.3">
      <c r="A31" s="403" t="s">
        <v>386</v>
      </c>
      <c r="B31" s="404"/>
      <c r="C31" s="179">
        <f>C8+C26+SUM(C28:C30)</f>
        <v>6293</v>
      </c>
      <c r="D31" s="179">
        <f>D8+D26+D28+D29+D30</f>
        <v>6746</v>
      </c>
      <c r="E31" s="179">
        <f>E8+E26+E28+E29+E30</f>
        <v>6391</v>
      </c>
      <c r="F31" s="179">
        <f>F8+F26+F28+F29+F30</f>
        <v>6751</v>
      </c>
      <c r="G31" s="405">
        <f>G8+G26+G28+G29+G30</f>
        <v>7075</v>
      </c>
    </row>
    <row r="32" spans="1:20" x14ac:dyDescent="0.3">
      <c r="A32" s="389"/>
      <c r="B32" s="161"/>
      <c r="C32" s="171"/>
      <c r="D32" s="163"/>
      <c r="E32" s="163"/>
      <c r="F32" s="163"/>
      <c r="G32" s="390"/>
    </row>
    <row r="33" spans="1:22" x14ac:dyDescent="0.3">
      <c r="A33" s="389"/>
      <c r="B33" s="161"/>
      <c r="C33" s="171"/>
      <c r="D33" s="163"/>
      <c r="E33" s="163"/>
      <c r="F33" s="163"/>
      <c r="G33" s="390"/>
    </row>
    <row r="34" spans="1:22" x14ac:dyDescent="0.3">
      <c r="A34" s="389"/>
      <c r="B34" s="161"/>
      <c r="C34" s="171"/>
      <c r="D34" s="163"/>
      <c r="E34" s="163"/>
      <c r="F34" s="163"/>
      <c r="G34" s="390"/>
    </row>
    <row r="35" spans="1:22" x14ac:dyDescent="0.3">
      <c r="A35" s="406" t="s">
        <v>393</v>
      </c>
      <c r="B35" s="407"/>
      <c r="C35" s="181">
        <v>-3132</v>
      </c>
      <c r="D35" s="181">
        <f>-(3462)</f>
        <v>-3462</v>
      </c>
      <c r="E35" s="181">
        <f>-(3191)</f>
        <v>-3191</v>
      </c>
      <c r="F35" s="181">
        <f>-(3614)</f>
        <v>-3614</v>
      </c>
      <c r="G35" s="393">
        <f>-(3746)</f>
        <v>-3746</v>
      </c>
    </row>
    <row r="36" spans="1:22" x14ac:dyDescent="0.3">
      <c r="A36" s="389"/>
      <c r="B36" s="161"/>
      <c r="C36" s="171"/>
      <c r="D36" s="171"/>
      <c r="E36" s="171"/>
      <c r="F36" s="171"/>
      <c r="G36" s="390"/>
    </row>
    <row r="37" spans="1:22" x14ac:dyDescent="0.3">
      <c r="A37" s="389" t="s">
        <v>105</v>
      </c>
      <c r="B37" s="161"/>
      <c r="C37" s="171">
        <v>-3090</v>
      </c>
      <c r="D37" s="171">
        <f>-(3730)</f>
        <v>-3730</v>
      </c>
      <c r="E37" s="171">
        <f>-(3515)</f>
        <v>-3515</v>
      </c>
      <c r="F37" s="171">
        <f>-(3074)</f>
        <v>-3074</v>
      </c>
      <c r="G37" s="390">
        <f>-(3052)</f>
        <v>-3052</v>
      </c>
    </row>
    <row r="38" spans="1:22" x14ac:dyDescent="0.3">
      <c r="A38" s="389" t="s">
        <v>150</v>
      </c>
      <c r="B38" s="161"/>
      <c r="C38" s="171">
        <v>-630</v>
      </c>
      <c r="D38" s="171">
        <f>-(243)</f>
        <v>-243</v>
      </c>
      <c r="E38" s="171">
        <f>-(411)</f>
        <v>-411</v>
      </c>
      <c r="F38" s="171">
        <f>-(667)</f>
        <v>-667</v>
      </c>
      <c r="G38" s="390">
        <f>-(584)</f>
        <v>-584</v>
      </c>
    </row>
    <row r="39" spans="1:22" x14ac:dyDescent="0.3">
      <c r="A39" s="408" t="s">
        <v>392</v>
      </c>
      <c r="B39" s="409"/>
      <c r="C39" s="186">
        <f>C37+C38</f>
        <v>-3720</v>
      </c>
      <c r="D39" s="186">
        <f>D37+D38</f>
        <v>-3973</v>
      </c>
      <c r="E39" s="186">
        <f>E37+E38</f>
        <v>-3926</v>
      </c>
      <c r="F39" s="186">
        <f>F37+F38</f>
        <v>-3741</v>
      </c>
      <c r="G39" s="410">
        <f>G37+G38</f>
        <v>-3636</v>
      </c>
    </row>
    <row r="40" spans="1:22" x14ac:dyDescent="0.3">
      <c r="A40" s="399"/>
      <c r="B40" s="162"/>
      <c r="C40" s="171"/>
      <c r="D40" s="171"/>
      <c r="E40" s="171"/>
      <c r="F40" s="171"/>
      <c r="G40" s="411"/>
    </row>
    <row r="41" spans="1:22" x14ac:dyDescent="0.3">
      <c r="A41" s="389" t="s">
        <v>77</v>
      </c>
      <c r="B41" s="161"/>
      <c r="C41" s="171">
        <v>559</v>
      </c>
      <c r="D41" s="171">
        <f>+(689)</f>
        <v>689</v>
      </c>
      <c r="E41" s="171">
        <v>726</v>
      </c>
      <c r="F41" s="171">
        <v>604</v>
      </c>
      <c r="G41" s="390">
        <f>+(307)</f>
        <v>307</v>
      </c>
    </row>
    <row r="42" spans="1:22" x14ac:dyDescent="0.3">
      <c r="A42" s="391" t="s">
        <v>387</v>
      </c>
      <c r="B42" s="392"/>
      <c r="C42" s="181">
        <f>C39+C41</f>
        <v>-3161</v>
      </c>
      <c r="D42" s="181">
        <f>D39+D41</f>
        <v>-3284</v>
      </c>
      <c r="E42" s="181">
        <f>E39+E41</f>
        <v>-3200</v>
      </c>
      <c r="F42" s="181">
        <f>F39+F41</f>
        <v>-3137</v>
      </c>
      <c r="G42" s="393">
        <f>G39+G41</f>
        <v>-3329</v>
      </c>
    </row>
    <row r="43" spans="1:22" x14ac:dyDescent="0.3">
      <c r="A43" s="389"/>
      <c r="B43" s="161"/>
      <c r="C43" s="171"/>
      <c r="D43" s="171"/>
      <c r="E43" s="171"/>
      <c r="F43" s="171"/>
      <c r="G43" s="390"/>
      <c r="O43" s="282"/>
      <c r="P43" s="282"/>
      <c r="Q43" s="282"/>
    </row>
    <row r="44" spans="1:22" ht="15" thickBot="1" x14ac:dyDescent="0.35">
      <c r="A44" s="412" t="s">
        <v>386</v>
      </c>
      <c r="B44" s="413"/>
      <c r="C44" s="414">
        <f>C35+C42</f>
        <v>-6293</v>
      </c>
      <c r="D44" s="414">
        <f>D35+D42</f>
        <v>-6746</v>
      </c>
      <c r="E44" s="414">
        <f>E35+E42</f>
        <v>-6391</v>
      </c>
      <c r="F44" s="414">
        <f>F35+F42</f>
        <v>-6751</v>
      </c>
      <c r="G44" s="415">
        <f>G35+G42</f>
        <v>-7075</v>
      </c>
      <c r="L44" s="282"/>
      <c r="M44" s="282"/>
      <c r="O44" s="282"/>
      <c r="P44" s="282"/>
      <c r="Q44" s="282"/>
    </row>
    <row r="45" spans="1:22" x14ac:dyDescent="0.3">
      <c r="L45" s="282"/>
      <c r="M45" s="282"/>
      <c r="O45" s="282"/>
      <c r="P45" s="282"/>
      <c r="Q45" s="282"/>
    </row>
    <row r="46" spans="1:22" x14ac:dyDescent="0.3">
      <c r="A46" s="384" t="s">
        <v>516</v>
      </c>
      <c r="B46" s="384"/>
      <c r="C46" s="384" t="str">
        <f t="shared" ref="C46:F46" si="0">IF(C31+C44=0,"Correct","Incorrect")</f>
        <v>Correct</v>
      </c>
      <c r="D46" s="384" t="str">
        <f t="shared" si="0"/>
        <v>Correct</v>
      </c>
      <c r="E46" s="384" t="str">
        <f t="shared" si="0"/>
        <v>Correct</v>
      </c>
      <c r="F46" s="384" t="str">
        <f t="shared" si="0"/>
        <v>Correct</v>
      </c>
      <c r="G46" s="384" t="str">
        <f>IF(G31+G44=0,"Correct","Incorrect")</f>
        <v>Correct</v>
      </c>
      <c r="L46" s="282"/>
      <c r="M46" s="282"/>
      <c r="O46" s="282"/>
      <c r="P46" s="282"/>
      <c r="Q46" s="282"/>
    </row>
    <row r="47" spans="1:22" ht="15" thickBot="1" x14ac:dyDescent="0.35">
      <c r="L47" s="282"/>
      <c r="M47" s="282"/>
      <c r="O47" s="282"/>
      <c r="P47" s="282"/>
      <c r="Q47" s="282"/>
    </row>
    <row r="48" spans="1:22" ht="24.6" x14ac:dyDescent="0.5">
      <c r="A48" s="416" t="s">
        <v>501</v>
      </c>
      <c r="B48" s="417"/>
      <c r="C48" s="417"/>
      <c r="D48" s="417"/>
      <c r="E48" s="417"/>
      <c r="F48" s="417"/>
      <c r="G48" s="418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</row>
    <row r="49" spans="1:22" x14ac:dyDescent="0.3">
      <c r="A49" s="419"/>
      <c r="B49" s="129"/>
      <c r="C49" s="461" t="s">
        <v>163</v>
      </c>
      <c r="D49" s="461"/>
      <c r="E49" s="461"/>
      <c r="F49" s="461"/>
      <c r="G49" s="467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</row>
    <row r="50" spans="1:22" x14ac:dyDescent="0.3">
      <c r="A50" s="420"/>
      <c r="B50" s="143" t="s">
        <v>1</v>
      </c>
      <c r="C50" s="130" t="s">
        <v>504</v>
      </c>
      <c r="D50" s="380" t="s">
        <v>505</v>
      </c>
      <c r="E50" s="380" t="s">
        <v>506</v>
      </c>
      <c r="F50" s="380" t="s">
        <v>507</v>
      </c>
      <c r="G50" s="421" t="s">
        <v>508</v>
      </c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</row>
    <row r="51" spans="1:22" x14ac:dyDescent="0.3">
      <c r="A51" s="422"/>
      <c r="B51" s="201"/>
      <c r="C51" s="209"/>
      <c r="D51" s="210"/>
      <c r="E51" s="210"/>
      <c r="F51" s="210"/>
      <c r="G51" s="423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</row>
    <row r="52" spans="1:22" x14ac:dyDescent="0.3">
      <c r="A52" s="388" t="s">
        <v>398</v>
      </c>
      <c r="B52" s="201"/>
      <c r="C52" s="170">
        <f>(1287-1379) + 'Reorganised Statements'!D52</f>
        <v>4829</v>
      </c>
      <c r="D52" s="165">
        <f>(1812-1622) + 'Reorganised Statements'!E52</f>
        <v>5050</v>
      </c>
      <c r="E52" s="165">
        <f>(1812-1622) + 'Reorganised Statements'!F52</f>
        <v>5986</v>
      </c>
      <c r="F52" s="165">
        <f>(2119-1812) + 'Reorganised Statements'!G52</f>
        <v>6801</v>
      </c>
      <c r="G52" s="398">
        <f>1707-2110 +'Reorganised Statements'!H52</f>
        <v>6921</v>
      </c>
      <c r="H52" s="383"/>
      <c r="I52" s="324"/>
      <c r="J52" s="383"/>
      <c r="K52" s="383"/>
      <c r="L52" s="324"/>
      <c r="M52" s="383"/>
      <c r="N52" s="383"/>
      <c r="O52" s="324"/>
      <c r="P52" s="383"/>
      <c r="Q52" s="383"/>
      <c r="R52" s="324"/>
      <c r="S52" s="383"/>
      <c r="T52" s="383"/>
      <c r="U52" s="324"/>
      <c r="V52" s="324"/>
    </row>
    <row r="53" spans="1:22" x14ac:dyDescent="0.3">
      <c r="A53" s="212" t="s">
        <v>502</v>
      </c>
      <c r="B53" s="201"/>
      <c r="C53" s="171">
        <f>-(817-885) +SUM('Reorganised Statements'!D58:D60)</f>
        <v>-1176</v>
      </c>
      <c r="D53" s="163">
        <f>-(1239 - 1069)+SUM('Reorganised Statements'!E58:E60)</f>
        <v>-3272</v>
      </c>
      <c r="E53" s="163">
        <f>-(1239 - 1069)+SUM('Reorganised Statements'!F58:F60)</f>
        <v>-4132</v>
      </c>
      <c r="F53" s="163">
        <f>-(1605-1239)+SUM('Reorganised Statements'!G58:G60)</f>
        <v>-4964</v>
      </c>
      <c r="G53" s="390">
        <f>-(1196-1605) + SUM('Reorganised Statements'!H58:H60)</f>
        <v>-4981</v>
      </c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</row>
    <row r="54" spans="1:22" x14ac:dyDescent="0.3">
      <c r="A54" s="212" t="s">
        <v>503</v>
      </c>
      <c r="B54" s="201"/>
      <c r="C54" s="163">
        <f>-(165-160) + 'Reorganised Statements'!D61</f>
        <v>-634</v>
      </c>
      <c r="D54" s="163">
        <f>-(165-160) + 'Reorganised Statements'!E61</f>
        <v>-601</v>
      </c>
      <c r="E54" s="163">
        <f>-(165-160) + 'Reorganised Statements'!F61</f>
        <v>-640</v>
      </c>
      <c r="F54" s="163">
        <f>-(177-165)+'Reorganised Statements'!G61</f>
        <v>-677</v>
      </c>
      <c r="G54" s="390">
        <f xml:space="preserve"> -(180-177)+'Reorganised Statements'!H61</f>
        <v>-703</v>
      </c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</row>
    <row r="55" spans="1:22" x14ac:dyDescent="0.3">
      <c r="A55" s="388"/>
      <c r="B55" s="201"/>
      <c r="C55" s="171"/>
      <c r="D55" s="171"/>
      <c r="E55" s="163"/>
      <c r="F55" s="163"/>
      <c r="G55" s="390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</row>
    <row r="56" spans="1:22" x14ac:dyDescent="0.3">
      <c r="A56" s="424" t="s">
        <v>324</v>
      </c>
      <c r="B56" s="206"/>
      <c r="C56" s="166">
        <f>SUM(C52:C54)</f>
        <v>3019</v>
      </c>
      <c r="D56" s="166">
        <f>SUM(D52:D54)</f>
        <v>1177</v>
      </c>
      <c r="E56" s="166">
        <f>SUM(E52:E54)</f>
        <v>1214</v>
      </c>
      <c r="F56" s="393">
        <f>SUM(F52:F54)</f>
        <v>1160</v>
      </c>
      <c r="G56" s="393">
        <f>SUM(G52:G54)</f>
        <v>1237</v>
      </c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</row>
    <row r="57" spans="1:22" x14ac:dyDescent="0.3">
      <c r="A57" s="212" t="s">
        <v>509</v>
      </c>
      <c r="B57" s="201"/>
      <c r="C57" s="165">
        <f>-(121-110) + 'Reorganised Statements'!D72+'Reorganised Statements'!D76</f>
        <v>-844</v>
      </c>
      <c r="D57" s="165">
        <f>-(121-110) + 'Reorganised Statements'!E72+'Reorganised Statements'!E76</f>
        <v>-730</v>
      </c>
      <c r="E57" s="165">
        <f>-(121-110) + 'Reorganised Statements'!F72+'Reorganised Statements'!F76</f>
        <v>-500</v>
      </c>
      <c r="F57" s="165">
        <f>-(131-121) + 'Reorganised Statements'!G72+'Reorganised Statements'!G76</f>
        <v>-653</v>
      </c>
      <c r="G57" s="398">
        <f>-(135-131) + 'Reorganised Statements'!H72+'Reorganised Statements'!H76</f>
        <v>-551</v>
      </c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24"/>
      <c r="S57" s="324"/>
      <c r="T57" s="324"/>
      <c r="U57" s="324"/>
      <c r="V57" s="324"/>
    </row>
    <row r="58" spans="1:22" x14ac:dyDescent="0.3">
      <c r="A58" s="388"/>
      <c r="B58" s="201"/>
      <c r="C58" s="171"/>
      <c r="D58" s="171"/>
      <c r="E58" s="165"/>
      <c r="F58" s="165"/>
      <c r="G58" s="398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</row>
    <row r="59" spans="1:22" x14ac:dyDescent="0.3">
      <c r="A59" s="424" t="s">
        <v>303</v>
      </c>
      <c r="B59" s="206"/>
      <c r="C59" s="393">
        <f>C56+C57</f>
        <v>2175</v>
      </c>
      <c r="D59" s="393">
        <f>D56+D57</f>
        <v>447</v>
      </c>
      <c r="E59" s="393">
        <f>E56+E57</f>
        <v>714</v>
      </c>
      <c r="F59" s="393">
        <f>F56+F57</f>
        <v>507</v>
      </c>
      <c r="G59" s="393">
        <f>G56+G57</f>
        <v>686</v>
      </c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</row>
    <row r="60" spans="1:22" x14ac:dyDescent="0.3">
      <c r="A60" s="212" t="s">
        <v>510</v>
      </c>
      <c r="B60" s="201"/>
      <c r="C60" s="163">
        <f>(0-0) + 'Reorganised Statements'!D82</f>
        <v>1</v>
      </c>
      <c r="D60" s="163">
        <f>(0-0) + 'Reorganised Statements'!E82</f>
        <v>52</v>
      </c>
      <c r="E60" s="163">
        <f>(0-0) + 'Reorganised Statements'!F82</f>
        <v>0</v>
      </c>
      <c r="F60" s="163">
        <f xml:space="preserve"> (0-0) + 'Reorganised Statements'!G82</f>
        <v>14</v>
      </c>
      <c r="G60" s="390">
        <f>'Reorganised Statements'!H82+0</f>
        <v>4</v>
      </c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</row>
    <row r="61" spans="1:22" x14ac:dyDescent="0.3">
      <c r="A61" s="212" t="s">
        <v>498</v>
      </c>
      <c r="B61" s="379"/>
      <c r="C61" s="382">
        <f>-(29-25) + 'Reorganised Statements'!D83</f>
        <v>-142</v>
      </c>
      <c r="D61" s="382">
        <f>-(29-25) + 'Reorganised Statements'!E83</f>
        <v>-165</v>
      </c>
      <c r="E61" s="382">
        <f>-(29-25) + 'Reorganised Statements'!F83</f>
        <v>-138</v>
      </c>
      <c r="F61" s="382">
        <f>-(24-29) + 'Reorganised Statements'!G83</f>
        <v>-107</v>
      </c>
      <c r="G61" s="301">
        <f>-(18-24) + 'Reorganised Statements'!H83</f>
        <v>-104</v>
      </c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</row>
    <row r="62" spans="1:22" x14ac:dyDescent="0.3">
      <c r="A62" s="425" t="s">
        <v>414</v>
      </c>
      <c r="B62" s="201"/>
      <c r="C62" s="276">
        <f>C60+C61</f>
        <v>-141</v>
      </c>
      <c r="D62" s="276">
        <f>D60+D61</f>
        <v>-113</v>
      </c>
      <c r="E62" s="276">
        <f>E60+E61</f>
        <v>-138</v>
      </c>
      <c r="F62" s="276">
        <f>F60+F61</f>
        <v>-93</v>
      </c>
      <c r="G62" s="276">
        <f>G60+G61</f>
        <v>-100</v>
      </c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</row>
    <row r="63" spans="1:22" x14ac:dyDescent="0.3">
      <c r="A63" s="424" t="s">
        <v>304</v>
      </c>
      <c r="B63" s="206"/>
      <c r="C63" s="166">
        <f>C59+C62</f>
        <v>2034</v>
      </c>
      <c r="D63" s="166">
        <f>D59+D62</f>
        <v>334</v>
      </c>
      <c r="E63" s="166">
        <f>E59+E62</f>
        <v>576</v>
      </c>
      <c r="F63" s="166">
        <f>F59+F62</f>
        <v>414</v>
      </c>
      <c r="G63" s="166">
        <f>G59+G62</f>
        <v>586</v>
      </c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</row>
    <row r="64" spans="1:22" x14ac:dyDescent="0.3">
      <c r="A64" s="426" t="s">
        <v>511</v>
      </c>
      <c r="B64" s="201"/>
      <c r="C64" s="207">
        <f>-(83-78) + 'Reorganised Statements'!D109</f>
        <v>-138</v>
      </c>
      <c r="D64" s="207">
        <f>-(83-78) + 'Reorganised Statements'!E109</f>
        <v>-127</v>
      </c>
      <c r="E64" s="207">
        <f>-(83-78) + 'Reorganised Statements'!F109</f>
        <v>-197</v>
      </c>
      <c r="F64" s="207">
        <f>-(59-83) + 'Reorganised Statements'!G109</f>
        <v>-133</v>
      </c>
      <c r="G64" s="427">
        <f>-(58-59)+'Reorganised Statements'!H109</f>
        <v>-188</v>
      </c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</row>
    <row r="65" spans="1:22" x14ac:dyDescent="0.3">
      <c r="A65" s="428" t="s">
        <v>499</v>
      </c>
      <c r="B65" s="381"/>
      <c r="C65" s="429">
        <f>C63+C64</f>
        <v>1896</v>
      </c>
      <c r="D65" s="429">
        <f>D63+D64</f>
        <v>207</v>
      </c>
      <c r="E65" s="429">
        <f>E63+E64</f>
        <v>379</v>
      </c>
      <c r="F65" s="429">
        <f>F63+F64</f>
        <v>281</v>
      </c>
      <c r="G65" s="429">
        <f>G63+G64</f>
        <v>398</v>
      </c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</row>
    <row r="66" spans="1:22" x14ac:dyDescent="0.3">
      <c r="A66" s="212" t="s">
        <v>500</v>
      </c>
      <c r="B66" s="201"/>
      <c r="C66" s="163">
        <f>(2-4) + 'Reorganised Statements'!D111</f>
        <v>-2</v>
      </c>
      <c r="D66" s="163">
        <f>(2-4) + 'Reorganised Statements'!E111</f>
        <v>17</v>
      </c>
      <c r="E66" s="163">
        <f>(2-4) + 'Reorganised Statements'!F111</f>
        <v>-87</v>
      </c>
      <c r="F66" s="163">
        <f>(0-2) + 'Reorganised Statements'!G111</f>
        <v>19</v>
      </c>
      <c r="G66" s="390">
        <f xml:space="preserve">  0 + 'Reorganised Statements'!H111</f>
        <v>1</v>
      </c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</row>
    <row r="67" spans="1:22" x14ac:dyDescent="0.3">
      <c r="A67" s="212"/>
      <c r="B67" s="201"/>
      <c r="C67" s="163"/>
      <c r="D67" s="163"/>
      <c r="E67" s="163"/>
      <c r="F67" s="163"/>
      <c r="G67" s="390"/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</row>
    <row r="68" spans="1:22" x14ac:dyDescent="0.3">
      <c r="A68" s="424" t="s">
        <v>512</v>
      </c>
      <c r="B68" s="206"/>
      <c r="C68" s="430">
        <f>C65+C66</f>
        <v>1894</v>
      </c>
      <c r="D68" s="430">
        <f>D65+D66</f>
        <v>224</v>
      </c>
      <c r="E68" s="430">
        <f>E65+E66</f>
        <v>292</v>
      </c>
      <c r="F68" s="430">
        <f>F65+F66</f>
        <v>300</v>
      </c>
      <c r="G68" s="430">
        <f>G65+G66</f>
        <v>399</v>
      </c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</row>
    <row r="69" spans="1:22" x14ac:dyDescent="0.3">
      <c r="A69" s="212" t="s">
        <v>513</v>
      </c>
      <c r="B69" s="201"/>
      <c r="C69" s="163">
        <f>-(4-4) + 'Reorganised Statements'!D112</f>
        <v>130</v>
      </c>
      <c r="D69" s="163">
        <f>-(4-4) + 'Reorganised Statements'!E112</f>
        <v>1</v>
      </c>
      <c r="E69" s="163">
        <f>-(4-4) + 'Reorganised Statements'!F112</f>
        <v>-6</v>
      </c>
      <c r="F69" s="163">
        <f>-(10-4) + 'Reorganised Statements'!G112</f>
        <v>-16</v>
      </c>
      <c r="G69" s="390">
        <f>-(8-10) + 'Reorganised Statements'!H112</f>
        <v>-2</v>
      </c>
      <c r="H69" s="324"/>
      <c r="I69" s="324"/>
      <c r="J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</row>
    <row r="70" spans="1:22" x14ac:dyDescent="0.3">
      <c r="A70" s="212"/>
      <c r="B70" s="201"/>
      <c r="C70" s="163"/>
      <c r="D70" s="163"/>
      <c r="E70" s="163"/>
      <c r="F70" s="163"/>
      <c r="G70" s="390"/>
    </row>
    <row r="71" spans="1:22" ht="15" thickBot="1" x14ac:dyDescent="0.35">
      <c r="A71" s="431" t="s">
        <v>391</v>
      </c>
      <c r="B71" s="432"/>
      <c r="C71" s="415">
        <f>C68+C69</f>
        <v>2024</v>
      </c>
      <c r="D71" s="415">
        <f>D68+D69</f>
        <v>225</v>
      </c>
      <c r="E71" s="415">
        <f>E68+E69</f>
        <v>286</v>
      </c>
      <c r="F71" s="415">
        <f>F68+F69</f>
        <v>284</v>
      </c>
      <c r="G71" s="415">
        <f>G68+G69</f>
        <v>397</v>
      </c>
    </row>
    <row r="72" spans="1:22" x14ac:dyDescent="0.3">
      <c r="A72" s="55"/>
      <c r="B72" s="55"/>
      <c r="C72" s="55"/>
      <c r="D72" s="55"/>
      <c r="E72" s="55"/>
      <c r="F72" s="55"/>
      <c r="G72" s="55"/>
    </row>
    <row r="73" spans="1:22" x14ac:dyDescent="0.3">
      <c r="A73" s="55"/>
      <c r="B73" s="55"/>
      <c r="C73" s="55"/>
      <c r="D73" s="55"/>
      <c r="E73" s="55"/>
      <c r="F73" s="55"/>
      <c r="G73" s="55"/>
    </row>
    <row r="74" spans="1:22" x14ac:dyDescent="0.3">
      <c r="A74" s="55"/>
      <c r="B74" s="55"/>
      <c r="C74" s="55"/>
      <c r="D74" s="55"/>
      <c r="E74" s="55"/>
      <c r="F74" s="55"/>
      <c r="G74" s="55"/>
    </row>
    <row r="75" spans="1:22" x14ac:dyDescent="0.3">
      <c r="A75" s="55"/>
      <c r="B75" s="55"/>
      <c r="C75" s="55"/>
      <c r="D75" s="55"/>
      <c r="E75" s="55"/>
      <c r="F75" s="55"/>
      <c r="G75" s="55"/>
    </row>
    <row r="82" spans="1:22" ht="15" thickBot="1" x14ac:dyDescent="0.35"/>
    <row r="83" spans="1:22" ht="24.6" x14ac:dyDescent="0.5">
      <c r="A83" s="434" t="s">
        <v>401</v>
      </c>
      <c r="B83" s="289"/>
      <c r="C83" s="290"/>
      <c r="D83" s="290"/>
      <c r="E83" s="290"/>
      <c r="F83" s="291"/>
    </row>
    <row r="84" spans="1:22" x14ac:dyDescent="0.3">
      <c r="A84" s="292"/>
      <c r="B84" s="64"/>
      <c r="C84" s="462" t="s">
        <v>163</v>
      </c>
      <c r="D84" s="462"/>
      <c r="E84" s="462"/>
      <c r="F84" s="463"/>
    </row>
    <row r="85" spans="1:22" x14ac:dyDescent="0.3">
      <c r="A85" s="293"/>
      <c r="B85" s="143" t="s">
        <v>1</v>
      </c>
      <c r="C85" s="380" t="s">
        <v>505</v>
      </c>
      <c r="D85" s="380" t="s">
        <v>506</v>
      </c>
      <c r="E85" s="380" t="s">
        <v>507</v>
      </c>
      <c r="F85" s="421" t="s">
        <v>508</v>
      </c>
    </row>
    <row r="86" spans="1:22" x14ac:dyDescent="0.3">
      <c r="A86" s="212"/>
      <c r="B86" s="5"/>
      <c r="C86" s="31"/>
      <c r="D86" s="29"/>
      <c r="E86" s="29"/>
      <c r="F86" s="296"/>
    </row>
    <row r="87" spans="1:22" x14ac:dyDescent="0.3">
      <c r="A87" s="388" t="s">
        <v>303</v>
      </c>
      <c r="B87" s="5"/>
      <c r="C87" s="215">
        <f>D59</f>
        <v>447</v>
      </c>
      <c r="D87" s="215">
        <f t="shared" ref="D87:F87" si="1">E59</f>
        <v>714</v>
      </c>
      <c r="E87" s="215">
        <f t="shared" si="1"/>
        <v>507</v>
      </c>
      <c r="F87" s="215">
        <f t="shared" si="1"/>
        <v>686</v>
      </c>
    </row>
    <row r="88" spans="1:22" x14ac:dyDescent="0.3">
      <c r="A88" s="212" t="s">
        <v>402</v>
      </c>
      <c r="B88" s="5"/>
      <c r="C88" s="217">
        <f>D64</f>
        <v>-127</v>
      </c>
      <c r="D88" s="217">
        <f t="shared" ref="D88:F88" si="2">E64</f>
        <v>-197</v>
      </c>
      <c r="E88" s="217">
        <f t="shared" si="2"/>
        <v>-133</v>
      </c>
      <c r="F88" s="217">
        <f t="shared" si="2"/>
        <v>-188</v>
      </c>
    </row>
    <row r="89" spans="1:22" x14ac:dyDescent="0.3">
      <c r="A89" s="212" t="s">
        <v>431</v>
      </c>
      <c r="B89" s="5"/>
      <c r="C89" s="299">
        <f>-(D64/D63)*(D62)</f>
        <v>-42.967065868263475</v>
      </c>
      <c r="D89" s="299">
        <f t="shared" ref="D89:F89" si="3">-(E64/E63)*(E62)</f>
        <v>-47.197916666666664</v>
      </c>
      <c r="E89" s="299">
        <f t="shared" si="3"/>
        <v>-29.876811594202898</v>
      </c>
      <c r="F89" s="299">
        <f t="shared" si="3"/>
        <v>-32.081911262798634</v>
      </c>
    </row>
    <row r="90" spans="1:22" x14ac:dyDescent="0.3">
      <c r="A90" s="424" t="s">
        <v>403</v>
      </c>
      <c r="B90" s="25"/>
      <c r="C90" s="300">
        <f t="shared" ref="C90:E90" si="4">C87+C88+C89</f>
        <v>277.03293413173651</v>
      </c>
      <c r="D90" s="300">
        <f t="shared" si="4"/>
        <v>469.80208333333331</v>
      </c>
      <c r="E90" s="300">
        <f t="shared" si="4"/>
        <v>344.12318840579712</v>
      </c>
      <c r="F90" s="300">
        <f>F87+F88+F89</f>
        <v>465.91808873720134</v>
      </c>
    </row>
    <row r="91" spans="1:22" x14ac:dyDescent="0.3">
      <c r="A91" s="212"/>
      <c r="B91" s="5"/>
      <c r="C91" s="217"/>
      <c r="D91" s="218"/>
      <c r="E91" s="218"/>
      <c r="F91" s="298"/>
    </row>
    <row r="92" spans="1:22" x14ac:dyDescent="0.3">
      <c r="A92" s="212" t="s">
        <v>425</v>
      </c>
      <c r="B92" s="5"/>
      <c r="C92" s="217">
        <f>C10-D10</f>
        <v>-20</v>
      </c>
      <c r="D92" s="217">
        <f t="shared" ref="D92:F92" si="5">D10-E10</f>
        <v>38</v>
      </c>
      <c r="E92" s="217">
        <f t="shared" si="5"/>
        <v>-39</v>
      </c>
      <c r="F92" s="217">
        <f t="shared" si="5"/>
        <v>15</v>
      </c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:22" x14ac:dyDescent="0.3">
      <c r="A93" s="212" t="s">
        <v>404</v>
      </c>
      <c r="B93" s="5"/>
      <c r="C93" s="217">
        <f>C11-D11</f>
        <v>-331</v>
      </c>
      <c r="D93" s="217">
        <f t="shared" ref="D93:F93" si="6">D11-E11</f>
        <v>52</v>
      </c>
      <c r="E93" s="217">
        <f t="shared" si="6"/>
        <v>-251</v>
      </c>
      <c r="F93" s="217">
        <f t="shared" si="6"/>
        <v>21</v>
      </c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282"/>
    </row>
    <row r="94" spans="1:22" x14ac:dyDescent="0.3">
      <c r="A94" s="212" t="s">
        <v>424</v>
      </c>
      <c r="B94" s="5"/>
      <c r="C94" s="217">
        <f>C12-D12</f>
        <v>139</v>
      </c>
      <c r="D94" s="217">
        <f t="shared" ref="D94:F94" si="7">D12-E12</f>
        <v>-1</v>
      </c>
      <c r="E94" s="217">
        <f t="shared" si="7"/>
        <v>171</v>
      </c>
      <c r="F94" s="217">
        <f t="shared" si="7"/>
        <v>2</v>
      </c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282"/>
    </row>
    <row r="95" spans="1:22" x14ac:dyDescent="0.3">
      <c r="A95" s="424" t="s">
        <v>426</v>
      </c>
      <c r="B95" s="25"/>
      <c r="C95" s="219">
        <f>C92+C93+C94</f>
        <v>-212</v>
      </c>
      <c r="D95" s="219">
        <f t="shared" ref="D95:F95" si="8">D92+D93+D94</f>
        <v>89</v>
      </c>
      <c r="E95" s="219">
        <f t="shared" si="8"/>
        <v>-119</v>
      </c>
      <c r="F95" s="219">
        <f t="shared" si="8"/>
        <v>38</v>
      </c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282"/>
    </row>
    <row r="96" spans="1:22" x14ac:dyDescent="0.3">
      <c r="A96" s="212"/>
      <c r="B96" s="5"/>
      <c r="C96" s="217"/>
      <c r="D96" s="218"/>
      <c r="E96" s="218"/>
      <c r="F96" s="298"/>
      <c r="G96" s="433"/>
      <c r="H96" s="383"/>
      <c r="I96" s="324"/>
      <c r="J96" s="383"/>
      <c r="K96" s="383"/>
      <c r="L96" s="324"/>
      <c r="M96" s="383"/>
      <c r="N96" s="383"/>
      <c r="O96" s="324"/>
      <c r="P96" s="383"/>
      <c r="Q96" s="383"/>
      <c r="R96" s="324"/>
      <c r="S96" s="383"/>
      <c r="T96" s="383"/>
      <c r="U96" s="324"/>
      <c r="V96" s="282"/>
    </row>
    <row r="97" spans="1:22" x14ac:dyDescent="0.3">
      <c r="A97" s="212" t="s">
        <v>405</v>
      </c>
      <c r="B97" s="5"/>
      <c r="C97" s="217">
        <f>SUM(C16:C20)-SUM(D16:D20)</f>
        <v>103</v>
      </c>
      <c r="D97" s="217">
        <f t="shared" ref="D97:F97" si="9">SUM(D16:D20)-SUM(E16:E20)</f>
        <v>33</v>
      </c>
      <c r="E97" s="217">
        <f t="shared" si="9"/>
        <v>-74</v>
      </c>
      <c r="F97" s="217">
        <f t="shared" si="9"/>
        <v>-455</v>
      </c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282"/>
    </row>
    <row r="98" spans="1:22" x14ac:dyDescent="0.3">
      <c r="A98" s="212" t="s">
        <v>406</v>
      </c>
      <c r="B98" s="5"/>
      <c r="C98" s="217">
        <f>SUM(C22:C25)-SUM(D22:D25)</f>
        <v>8</v>
      </c>
      <c r="D98" s="217">
        <f t="shared" ref="D98:F98" si="10">SUM(D22:D25)-SUM(E22:E25)</f>
        <v>-68</v>
      </c>
      <c r="E98" s="217">
        <f t="shared" si="10"/>
        <v>297</v>
      </c>
      <c r="F98" s="217">
        <f t="shared" si="10"/>
        <v>435</v>
      </c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282"/>
    </row>
    <row r="99" spans="1:22" x14ac:dyDescent="0.3">
      <c r="A99" s="424" t="s">
        <v>427</v>
      </c>
      <c r="B99" s="25"/>
      <c r="C99" s="219">
        <f>C95+C97+C98</f>
        <v>-101</v>
      </c>
      <c r="D99" s="219">
        <f t="shared" ref="D99:F99" si="11">D95+D97+D98</f>
        <v>54</v>
      </c>
      <c r="E99" s="219">
        <f t="shared" si="11"/>
        <v>104</v>
      </c>
      <c r="F99" s="219">
        <f t="shared" si="11"/>
        <v>18</v>
      </c>
      <c r="G99" s="324"/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24"/>
      <c r="S99" s="324"/>
      <c r="T99" s="324"/>
      <c r="U99" s="324"/>
      <c r="V99" s="282"/>
    </row>
    <row r="100" spans="1:22" x14ac:dyDescent="0.3">
      <c r="A100" s="212"/>
      <c r="B100" s="5"/>
      <c r="C100" s="217"/>
      <c r="D100" s="218"/>
      <c r="E100" s="218"/>
      <c r="F100" s="298"/>
      <c r="G100" s="324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24"/>
      <c r="S100" s="324"/>
      <c r="T100" s="324"/>
      <c r="U100" s="324"/>
      <c r="V100" s="282"/>
    </row>
    <row r="101" spans="1:22" x14ac:dyDescent="0.3">
      <c r="A101" s="212" t="s">
        <v>407</v>
      </c>
      <c r="B101" s="5"/>
      <c r="C101" s="217">
        <f>C5-D5+C6-D6+D57</f>
        <v>-1130</v>
      </c>
      <c r="D101" s="217">
        <f t="shared" ref="D101" si="12">D5+D6-E5-E6+E57</f>
        <v>-212</v>
      </c>
      <c r="E101" s="217">
        <f>E5+E6-F5-F6-E102</f>
        <v>-1186</v>
      </c>
      <c r="F101" s="217">
        <f>F5+F6-G5-G6 - F102</f>
        <v>-814</v>
      </c>
      <c r="G101" s="324"/>
      <c r="H101" s="324"/>
      <c r="I101" s="324"/>
      <c r="J101" s="324"/>
      <c r="K101" s="324"/>
      <c r="L101" s="324"/>
      <c r="M101" s="324"/>
      <c r="N101" s="324"/>
      <c r="O101" s="324"/>
      <c r="P101" s="324"/>
      <c r="Q101" s="324"/>
      <c r="R101" s="324"/>
      <c r="S101" s="324"/>
      <c r="T101" s="324"/>
      <c r="U101" s="324"/>
      <c r="V101" s="282"/>
    </row>
    <row r="102" spans="1:22" x14ac:dyDescent="0.3">
      <c r="A102" s="212" t="s">
        <v>408</v>
      </c>
      <c r="B102" s="5"/>
      <c r="C102" s="217">
        <f>-D57</f>
        <v>730</v>
      </c>
      <c r="D102" s="217">
        <f t="shared" ref="D102" si="13">-E57</f>
        <v>500</v>
      </c>
      <c r="E102" s="217">
        <f>-'Reorganised Statements'!G72 + (131-121)</f>
        <v>633</v>
      </c>
      <c r="F102" s="217">
        <f>-'Reorganised Statements'!H72+(135-131)</f>
        <v>515</v>
      </c>
      <c r="G102" s="324"/>
      <c r="H102" s="324"/>
      <c r="I102" s="324"/>
      <c r="J102" s="324"/>
      <c r="K102" s="324"/>
      <c r="L102" s="324"/>
      <c r="M102" s="324"/>
      <c r="N102" s="324"/>
      <c r="O102" s="324"/>
      <c r="P102" s="324"/>
      <c r="Q102" s="324"/>
      <c r="R102" s="324"/>
      <c r="S102" s="324"/>
      <c r="T102" s="324"/>
      <c r="U102" s="324"/>
      <c r="V102" s="282"/>
    </row>
    <row r="103" spans="1:22" x14ac:dyDescent="0.3">
      <c r="A103" s="212" t="s">
        <v>409</v>
      </c>
      <c r="B103" s="5"/>
      <c r="C103" s="217">
        <f>C30-D30</f>
        <v>62</v>
      </c>
      <c r="D103" s="217">
        <f t="shared" ref="D103:F103" si="14">D30-E30</f>
        <v>-40</v>
      </c>
      <c r="E103" s="217">
        <f t="shared" si="14"/>
        <v>11</v>
      </c>
      <c r="F103" s="217">
        <f t="shared" si="14"/>
        <v>31</v>
      </c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282"/>
    </row>
    <row r="104" spans="1:22" x14ac:dyDescent="0.3">
      <c r="A104" s="212" t="s">
        <v>410</v>
      </c>
      <c r="B104" s="5"/>
      <c r="C104" s="217">
        <f>C29-D29</f>
        <v>32</v>
      </c>
      <c r="D104" s="217">
        <f t="shared" ref="D104:F104" si="15">D29-E29</f>
        <v>-44</v>
      </c>
      <c r="E104" s="217">
        <f t="shared" si="15"/>
        <v>-4</v>
      </c>
      <c r="F104" s="217">
        <f t="shared" si="15"/>
        <v>-11</v>
      </c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282"/>
    </row>
    <row r="105" spans="1:22" x14ac:dyDescent="0.3">
      <c r="A105" s="212" t="s">
        <v>423</v>
      </c>
      <c r="B105" s="5"/>
      <c r="C105" s="217">
        <f>C28-D28</f>
        <v>-52</v>
      </c>
      <c r="D105" s="217">
        <f t="shared" ref="D105:F105" si="16">D28-E28</f>
        <v>62</v>
      </c>
      <c r="E105" s="217">
        <f t="shared" si="16"/>
        <v>21</v>
      </c>
      <c r="F105" s="217">
        <f t="shared" si="16"/>
        <v>-12</v>
      </c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282"/>
    </row>
    <row r="106" spans="1:22" x14ac:dyDescent="0.3">
      <c r="A106" s="212" t="s">
        <v>411</v>
      </c>
      <c r="B106" s="5"/>
      <c r="C106" s="217">
        <f>D69+D66</f>
        <v>18</v>
      </c>
      <c r="D106" s="217">
        <f>E69+E66</f>
        <v>-93</v>
      </c>
      <c r="E106" s="217">
        <f>F69 + F66</f>
        <v>3</v>
      </c>
      <c r="F106" s="217">
        <f>G69 + G66</f>
        <v>-1</v>
      </c>
      <c r="G106" s="324" t="s">
        <v>518</v>
      </c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282"/>
    </row>
    <row r="107" spans="1:22" x14ac:dyDescent="0.3">
      <c r="A107" s="435" t="s">
        <v>412</v>
      </c>
      <c r="B107" s="20"/>
      <c r="C107" s="221">
        <f>C90+C99+SUM(C101:C106)</f>
        <v>-163.96706586826349</v>
      </c>
      <c r="D107" s="221">
        <f t="shared" ref="D107:F107" si="17">D90+D99+SUM(D101:D106)</f>
        <v>696.80208333333326</v>
      </c>
      <c r="E107" s="221">
        <f>E90+E99+SUM(E101:E106)</f>
        <v>-73.876811594202877</v>
      </c>
      <c r="F107" s="221">
        <f t="shared" si="17"/>
        <v>191.91808873720134</v>
      </c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282"/>
    </row>
    <row r="108" spans="1:22" x14ac:dyDescent="0.3">
      <c r="A108" s="212" t="s">
        <v>413</v>
      </c>
      <c r="B108" s="5"/>
      <c r="C108" s="225"/>
      <c r="D108" s="225"/>
      <c r="E108" s="225"/>
      <c r="F108" s="303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282"/>
    </row>
    <row r="109" spans="1:22" x14ac:dyDescent="0.3">
      <c r="A109" s="212"/>
      <c r="B109" s="5"/>
      <c r="C109" s="217"/>
      <c r="D109" s="218"/>
      <c r="E109" s="218"/>
      <c r="F109" s="298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282"/>
    </row>
    <row r="110" spans="1:22" x14ac:dyDescent="0.3">
      <c r="A110" s="212" t="s">
        <v>414</v>
      </c>
      <c r="B110" s="5"/>
      <c r="C110" s="217">
        <f>C7-D7+D62</f>
        <v>-107</v>
      </c>
      <c r="D110" s="217">
        <f t="shared" ref="D110:F110" si="18">D7-E7+E62</f>
        <v>-103</v>
      </c>
      <c r="E110" s="217">
        <f t="shared" si="18"/>
        <v>-32</v>
      </c>
      <c r="F110" s="217">
        <f t="shared" si="18"/>
        <v>-151</v>
      </c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282"/>
    </row>
    <row r="111" spans="1:22" x14ac:dyDescent="0.3">
      <c r="A111" s="212" t="s">
        <v>415</v>
      </c>
      <c r="B111" s="5"/>
      <c r="C111" s="217">
        <f>C39-D39</f>
        <v>253</v>
      </c>
      <c r="D111" s="217">
        <f t="shared" ref="D111:F111" si="19">D39-E39</f>
        <v>-47</v>
      </c>
      <c r="E111" s="217">
        <f t="shared" si="19"/>
        <v>-185</v>
      </c>
      <c r="F111" s="217">
        <f t="shared" si="19"/>
        <v>-105</v>
      </c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282"/>
    </row>
    <row r="112" spans="1:22" x14ac:dyDescent="0.3">
      <c r="A112" s="212" t="s">
        <v>432</v>
      </c>
      <c r="B112" s="5"/>
      <c r="C112" s="283">
        <f>-C89</f>
        <v>42.967065868263475</v>
      </c>
      <c r="D112" s="283">
        <f t="shared" ref="D112:F112" si="20">-D89</f>
        <v>47.197916666666664</v>
      </c>
      <c r="E112" s="283">
        <f t="shared" si="20"/>
        <v>29.876811594202898</v>
      </c>
      <c r="F112" s="283">
        <f t="shared" si="20"/>
        <v>32.081911262798634</v>
      </c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282"/>
    </row>
    <row r="113" spans="1:22" x14ac:dyDescent="0.3">
      <c r="A113" s="435" t="s">
        <v>416</v>
      </c>
      <c r="B113" s="20"/>
      <c r="C113" s="221">
        <f>C107+C110+C111+C112</f>
        <v>24.999999999999986</v>
      </c>
      <c r="D113" s="221">
        <f t="shared" ref="D113:F113" si="21">D107+D110+D111+D112</f>
        <v>593.99999999999989</v>
      </c>
      <c r="E113" s="221">
        <f t="shared" si="21"/>
        <v>-261</v>
      </c>
      <c r="F113" s="221">
        <f t="shared" si="21"/>
        <v>-32.000000000000021</v>
      </c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282"/>
    </row>
    <row r="114" spans="1:22" x14ac:dyDescent="0.3">
      <c r="A114" s="212" t="s">
        <v>417</v>
      </c>
      <c r="B114" s="5"/>
      <c r="C114" s="217"/>
      <c r="D114" s="218"/>
      <c r="E114" s="218"/>
      <c r="F114" s="298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282"/>
    </row>
    <row r="115" spans="1:22" x14ac:dyDescent="0.3">
      <c r="A115" s="212"/>
      <c r="B115" s="5"/>
      <c r="C115" s="223"/>
      <c r="D115" s="224"/>
      <c r="E115" s="224"/>
      <c r="F115" s="305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282"/>
    </row>
    <row r="116" spans="1:22" x14ac:dyDescent="0.3">
      <c r="A116" s="212" t="s">
        <v>418</v>
      </c>
      <c r="B116" s="5"/>
      <c r="C116" s="224">
        <f>C35-D35-D71</f>
        <v>105</v>
      </c>
      <c r="D116" s="224">
        <f t="shared" ref="D116:E116" si="22">D35-E35-E71</f>
        <v>-557</v>
      </c>
      <c r="E116" s="224">
        <f t="shared" si="22"/>
        <v>139</v>
      </c>
      <c r="F116" s="224">
        <f>F35-G35-G71</f>
        <v>-265</v>
      </c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282"/>
    </row>
    <row r="117" spans="1:22" x14ac:dyDescent="0.3">
      <c r="A117" s="388" t="s">
        <v>419</v>
      </c>
      <c r="B117" s="5"/>
      <c r="C117" s="306">
        <f t="shared" ref="C117" si="23">C113+C116</f>
        <v>130</v>
      </c>
      <c r="D117" s="306">
        <f t="shared" ref="D117" si="24">D113+D116</f>
        <v>36.999999999999886</v>
      </c>
      <c r="E117" s="306">
        <f t="shared" ref="E117" si="25">E113+E116</f>
        <v>-122</v>
      </c>
      <c r="F117" s="306">
        <f t="shared" ref="F117" si="26">F113+F116</f>
        <v>-297</v>
      </c>
      <c r="G117" s="324"/>
      <c r="H117" s="324"/>
      <c r="I117" s="324"/>
      <c r="J117" s="324"/>
      <c r="K117" s="324"/>
      <c r="L117" s="324"/>
      <c r="M117" s="324"/>
      <c r="N117" s="324"/>
      <c r="O117" s="324"/>
      <c r="P117" s="324"/>
      <c r="Q117" s="324"/>
      <c r="R117" s="324"/>
      <c r="S117" s="324"/>
      <c r="T117" s="324"/>
      <c r="U117" s="324"/>
      <c r="V117" s="282"/>
    </row>
    <row r="118" spans="1:22" x14ac:dyDescent="0.3">
      <c r="A118" s="212"/>
      <c r="B118" s="5"/>
      <c r="C118" s="223"/>
      <c r="D118" s="224"/>
      <c r="E118" s="224"/>
      <c r="F118" s="305"/>
      <c r="G118" s="282"/>
      <c r="H118" s="282"/>
      <c r="I118" s="282"/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282"/>
    </row>
    <row r="119" spans="1:22" x14ac:dyDescent="0.3">
      <c r="A119" s="212" t="s">
        <v>420</v>
      </c>
      <c r="B119" s="5"/>
      <c r="C119" s="223">
        <f>C41</f>
        <v>559</v>
      </c>
      <c r="D119" s="223">
        <f t="shared" ref="D119:F119" si="27">D41</f>
        <v>689</v>
      </c>
      <c r="E119" s="223">
        <f t="shared" si="27"/>
        <v>726</v>
      </c>
      <c r="F119" s="223">
        <f t="shared" si="27"/>
        <v>604</v>
      </c>
      <c r="G119" s="282"/>
      <c r="H119" s="282"/>
      <c r="I119" s="282"/>
      <c r="J119" s="282"/>
      <c r="K119" s="282"/>
      <c r="L119" s="282"/>
      <c r="M119" s="282"/>
      <c r="N119" s="282"/>
      <c r="O119" s="282"/>
      <c r="P119" s="282"/>
      <c r="Q119" s="282"/>
      <c r="R119" s="282"/>
      <c r="S119" s="282"/>
      <c r="T119" s="282"/>
      <c r="U119" s="282"/>
      <c r="V119" s="282"/>
    </row>
    <row r="120" spans="1:22" x14ac:dyDescent="0.3">
      <c r="A120" s="212" t="s">
        <v>421</v>
      </c>
      <c r="B120" s="5"/>
      <c r="C120" s="223">
        <f>D41</f>
        <v>689</v>
      </c>
      <c r="D120" s="223">
        <f t="shared" ref="D120:F120" si="28">E41</f>
        <v>726</v>
      </c>
      <c r="E120" s="223">
        <f t="shared" si="28"/>
        <v>604</v>
      </c>
      <c r="F120" s="223">
        <f t="shared" si="28"/>
        <v>307</v>
      </c>
      <c r="G120" s="282"/>
      <c r="H120" s="282"/>
      <c r="I120" s="282"/>
      <c r="J120" s="282"/>
      <c r="K120" s="282"/>
      <c r="L120" s="282"/>
      <c r="M120" s="282"/>
      <c r="N120" s="282"/>
      <c r="O120" s="282"/>
      <c r="P120" s="282"/>
      <c r="Q120" s="282"/>
      <c r="R120" s="282"/>
      <c r="S120" s="282"/>
      <c r="T120" s="282"/>
      <c r="U120" s="282"/>
      <c r="V120" s="282"/>
    </row>
    <row r="121" spans="1:22" ht="15" thickBot="1" x14ac:dyDescent="0.35">
      <c r="A121" s="436" t="s">
        <v>422</v>
      </c>
      <c r="B121" s="308"/>
      <c r="C121" s="309">
        <f>C120-C119</f>
        <v>130</v>
      </c>
      <c r="D121" s="309">
        <f t="shared" ref="D121:F121" si="29">D120-D119</f>
        <v>37</v>
      </c>
      <c r="E121" s="309">
        <f t="shared" si="29"/>
        <v>-122</v>
      </c>
      <c r="F121" s="309">
        <f t="shared" si="29"/>
        <v>-297</v>
      </c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</row>
    <row r="122" spans="1:22" ht="15" thickBot="1" x14ac:dyDescent="0.35">
      <c r="A122" s="295"/>
      <c r="B122" s="55"/>
      <c r="C122" s="55"/>
      <c r="D122" s="55"/>
      <c r="E122" s="55"/>
      <c r="F122" s="341"/>
    </row>
    <row r="123" spans="1:22" ht="15" thickBot="1" x14ac:dyDescent="0.35">
      <c r="A123" s="312" t="s">
        <v>433</v>
      </c>
      <c r="B123" s="313"/>
      <c r="C123" s="440">
        <f t="shared" ref="C123:E123" si="30">C117-C121</f>
        <v>0</v>
      </c>
      <c r="D123" s="443">
        <f>D117-D121</f>
        <v>-1.1368683772161603E-13</v>
      </c>
      <c r="E123" s="440">
        <f t="shared" si="30"/>
        <v>0</v>
      </c>
      <c r="F123" s="440">
        <f>F117-F121</f>
        <v>0</v>
      </c>
    </row>
    <row r="125" spans="1:22" x14ac:dyDescent="0.3">
      <c r="C125" s="441"/>
    </row>
    <row r="126" spans="1:22" x14ac:dyDescent="0.3">
      <c r="C126" s="441"/>
    </row>
    <row r="127" spans="1:22" x14ac:dyDescent="0.3">
      <c r="C127" s="441"/>
    </row>
    <row r="128" spans="1:22" x14ac:dyDescent="0.3">
      <c r="C128" s="441"/>
    </row>
    <row r="129" spans="2:22" x14ac:dyDescent="0.3">
      <c r="C129" s="441"/>
    </row>
    <row r="130" spans="2:22" x14ac:dyDescent="0.3">
      <c r="C130" s="441"/>
    </row>
    <row r="131" spans="2:22" x14ac:dyDescent="0.3">
      <c r="C131" s="442"/>
    </row>
    <row r="132" spans="2:22" x14ac:dyDescent="0.3">
      <c r="C132" s="442"/>
    </row>
    <row r="133" spans="2:22" x14ac:dyDescent="0.3">
      <c r="C133" s="282"/>
    </row>
    <row r="134" spans="2:22" x14ac:dyDescent="0.3"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</row>
    <row r="135" spans="2:22" ht="15.6" x14ac:dyDescent="0.3">
      <c r="B135" s="438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</row>
    <row r="136" spans="2:22" x14ac:dyDescent="0.3"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</row>
    <row r="137" spans="2:22" x14ac:dyDescent="0.3">
      <c r="B137" s="324"/>
      <c r="C137" s="324"/>
      <c r="D137" s="439"/>
      <c r="E137" s="439"/>
      <c r="F137" s="433"/>
      <c r="G137" s="433"/>
      <c r="H137" s="383"/>
      <c r="I137" s="324"/>
      <c r="J137" s="383"/>
      <c r="K137" s="383"/>
      <c r="L137" s="324"/>
      <c r="M137" s="383"/>
      <c r="N137" s="383"/>
      <c r="O137" s="324"/>
      <c r="P137" s="383"/>
      <c r="Q137" s="383"/>
      <c r="R137" s="324"/>
      <c r="S137" s="383"/>
      <c r="T137" s="383"/>
      <c r="U137" s="324"/>
      <c r="V137" s="324"/>
    </row>
    <row r="138" spans="2:22" x14ac:dyDescent="0.3">
      <c r="B138" s="324"/>
      <c r="C138" s="324"/>
      <c r="D138" s="324"/>
      <c r="E138" s="437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</row>
    <row r="139" spans="2:22" x14ac:dyDescent="0.3">
      <c r="B139" s="324"/>
      <c r="C139" s="324"/>
      <c r="D139" s="324"/>
      <c r="E139" s="437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</row>
    <row r="140" spans="2:22" x14ac:dyDescent="0.3">
      <c r="B140" s="324"/>
      <c r="C140" s="324"/>
      <c r="D140" s="324"/>
      <c r="E140" s="437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/>
      <c r="U140" s="324"/>
      <c r="V140" s="324"/>
    </row>
    <row r="141" spans="2:22" x14ac:dyDescent="0.3">
      <c r="B141" s="324"/>
      <c r="C141" s="324"/>
      <c r="D141" s="324"/>
      <c r="E141" s="437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</row>
    <row r="142" spans="2:22" x14ac:dyDescent="0.3">
      <c r="B142" s="324"/>
      <c r="C142" s="324"/>
      <c r="D142" s="324"/>
      <c r="E142" s="437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</row>
    <row r="143" spans="2:22" x14ac:dyDescent="0.3">
      <c r="B143" s="324"/>
      <c r="C143" s="324"/>
      <c r="D143" s="324"/>
      <c r="E143" s="437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</row>
    <row r="144" spans="2:22" x14ac:dyDescent="0.3">
      <c r="B144" s="324"/>
      <c r="C144" s="324"/>
      <c r="D144" s="324"/>
      <c r="E144" s="437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</row>
    <row r="145" spans="2:22" x14ac:dyDescent="0.3">
      <c r="B145" s="324"/>
      <c r="C145" s="324"/>
      <c r="D145" s="324"/>
      <c r="E145" s="437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</row>
    <row r="146" spans="2:22" x14ac:dyDescent="0.3">
      <c r="B146" s="324"/>
      <c r="C146" s="324"/>
      <c r="D146" s="324"/>
      <c r="E146" s="437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</row>
    <row r="147" spans="2:22" x14ac:dyDescent="0.3">
      <c r="B147" s="324"/>
      <c r="C147" s="324"/>
      <c r="D147" s="324"/>
      <c r="E147" s="437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</row>
    <row r="148" spans="2:22" x14ac:dyDescent="0.3">
      <c r="B148" s="324"/>
      <c r="C148" s="324"/>
      <c r="D148" s="324"/>
      <c r="E148" s="437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</row>
    <row r="149" spans="2:22" x14ac:dyDescent="0.3">
      <c r="B149" s="324"/>
      <c r="C149" s="324"/>
      <c r="D149" s="324"/>
      <c r="E149" s="437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</row>
    <row r="150" spans="2:22" x14ac:dyDescent="0.3">
      <c r="B150" s="324"/>
      <c r="C150" s="324"/>
      <c r="D150" s="324"/>
      <c r="E150" s="437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</row>
    <row r="151" spans="2:22" x14ac:dyDescent="0.3">
      <c r="B151" s="324"/>
      <c r="C151" s="324"/>
      <c r="D151" s="324"/>
      <c r="E151" s="437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</row>
    <row r="152" spans="2:22" x14ac:dyDescent="0.3">
      <c r="B152" s="324"/>
      <c r="C152" s="324"/>
      <c r="D152" s="324"/>
      <c r="E152" s="437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</row>
    <row r="153" spans="2:22" x14ac:dyDescent="0.3"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dimension ref="B1:V75"/>
  <sheetViews>
    <sheetView tabSelected="1" workbookViewId="0">
      <selection activeCell="V41" sqref="V41"/>
    </sheetView>
  </sheetViews>
  <sheetFormatPr defaultRowHeight="14.4" x14ac:dyDescent="0.3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 x14ac:dyDescent="0.35"/>
    <row r="2" spans="2:20" ht="15" thickBot="1" x14ac:dyDescent="0.35">
      <c r="B2" s="445" t="s">
        <v>519</v>
      </c>
      <c r="C2" s="505">
        <v>42369</v>
      </c>
      <c r="D2" s="505">
        <v>42735</v>
      </c>
      <c r="E2" s="505">
        <v>43100</v>
      </c>
      <c r="F2" s="506">
        <v>43465</v>
      </c>
      <c r="G2" s="506">
        <v>43830</v>
      </c>
      <c r="I2" s="445" t="s">
        <v>520</v>
      </c>
      <c r="J2" s="505">
        <v>42369</v>
      </c>
      <c r="K2" s="505">
        <v>42735</v>
      </c>
      <c r="L2" s="505">
        <v>43100</v>
      </c>
      <c r="M2" s="506">
        <v>43465</v>
      </c>
      <c r="N2" s="506">
        <v>43830</v>
      </c>
      <c r="P2" s="445" t="s">
        <v>521</v>
      </c>
      <c r="Q2" s="505">
        <v>42735</v>
      </c>
      <c r="R2" s="505">
        <v>43100</v>
      </c>
      <c r="S2" s="506">
        <v>43465</v>
      </c>
      <c r="T2" s="506">
        <v>43830</v>
      </c>
    </row>
    <row r="3" spans="2:20" x14ac:dyDescent="0.3">
      <c r="B3" s="446" t="s">
        <v>522</v>
      </c>
      <c r="C3" s="449">
        <v>5067</v>
      </c>
      <c r="D3" s="449">
        <v>5129</v>
      </c>
      <c r="E3" s="449">
        <v>4606</v>
      </c>
      <c r="F3" s="449">
        <v>4620</v>
      </c>
      <c r="G3" s="454">
        <v>4869</v>
      </c>
      <c r="I3" s="487" t="s">
        <v>540</v>
      </c>
      <c r="J3" s="488">
        <v>4921</v>
      </c>
      <c r="K3" s="488">
        <v>4860</v>
      </c>
      <c r="L3" s="488">
        <v>5796</v>
      </c>
      <c r="M3" s="488">
        <v>6494</v>
      </c>
      <c r="N3" s="489">
        <v>7324</v>
      </c>
      <c r="P3" s="448" t="s">
        <v>303</v>
      </c>
      <c r="Q3" s="450">
        <v>443</v>
      </c>
      <c r="R3" s="450">
        <v>710</v>
      </c>
      <c r="S3" s="450">
        <v>588</v>
      </c>
      <c r="T3" s="477">
        <v>687</v>
      </c>
    </row>
    <row r="4" spans="2:20" x14ac:dyDescent="0.3">
      <c r="B4" s="446" t="s">
        <v>523</v>
      </c>
      <c r="C4" s="449">
        <v>1348</v>
      </c>
      <c r="D4" s="449">
        <v>1704</v>
      </c>
      <c r="E4" s="449">
        <v>1863</v>
      </c>
      <c r="F4" s="449">
        <v>2302</v>
      </c>
      <c r="G4" s="454">
        <v>2379</v>
      </c>
      <c r="I4" s="446"/>
      <c r="J4" s="449"/>
      <c r="K4" s="449"/>
      <c r="L4" s="449"/>
      <c r="M4" s="449"/>
      <c r="N4" s="454"/>
      <c r="P4" s="446" t="s">
        <v>548</v>
      </c>
      <c r="Q4" s="449">
        <f>K16</f>
        <v>-122</v>
      </c>
      <c r="R4" s="449">
        <f t="shared" ref="R4:T4" si="0">L16</f>
        <v>-192</v>
      </c>
      <c r="S4" s="449">
        <f t="shared" si="0"/>
        <v>-157</v>
      </c>
      <c r="T4" s="454">
        <f t="shared" si="0"/>
        <v>-189</v>
      </c>
    </row>
    <row r="5" spans="2:20" x14ac:dyDescent="0.3">
      <c r="B5" s="447" t="s">
        <v>524</v>
      </c>
      <c r="C5" s="455">
        <v>137</v>
      </c>
      <c r="D5" s="451">
        <v>136</v>
      </c>
      <c r="E5" s="451">
        <v>107</v>
      </c>
      <c r="F5" s="451">
        <v>45</v>
      </c>
      <c r="G5" s="456">
        <v>65</v>
      </c>
      <c r="I5" s="446" t="s">
        <v>541</v>
      </c>
      <c r="J5" s="449">
        <v>-1244</v>
      </c>
      <c r="K5" s="449">
        <v>-3102</v>
      </c>
      <c r="L5" s="449">
        <v>-3962</v>
      </c>
      <c r="M5" s="449">
        <v>-4598</v>
      </c>
      <c r="N5" s="454">
        <v>-5390</v>
      </c>
      <c r="P5" s="447" t="s">
        <v>549</v>
      </c>
      <c r="Q5" s="457">
        <f>-K13*(K16/K14)</f>
        <v>-39.814371257485028</v>
      </c>
      <c r="R5" s="457">
        <f t="shared" ref="R5:T5" si="1">-L13*(L16/L14)</f>
        <v>-44.666666666666664</v>
      </c>
      <c r="S5" s="457">
        <f t="shared" si="1"/>
        <v>-31.400000000000002</v>
      </c>
      <c r="T5" s="493">
        <f t="shared" si="1"/>
        <v>-34.481927710843372</v>
      </c>
    </row>
    <row r="6" spans="2:20" x14ac:dyDescent="0.3">
      <c r="B6" s="448" t="s">
        <v>525</v>
      </c>
      <c r="C6" s="450">
        <f>SUM(C3:C5)</f>
        <v>6552</v>
      </c>
      <c r="D6" s="450">
        <f>SUM(D3:D5)</f>
        <v>6969</v>
      </c>
      <c r="E6" s="450">
        <f t="shared" ref="E6:G6" si="2">SUM(E3:E5)</f>
        <v>6576</v>
      </c>
      <c r="F6" s="450">
        <f t="shared" si="2"/>
        <v>6967</v>
      </c>
      <c r="G6" s="477">
        <f t="shared" si="2"/>
        <v>7313</v>
      </c>
      <c r="I6" s="447" t="s">
        <v>542</v>
      </c>
      <c r="J6" s="451">
        <v>-629</v>
      </c>
      <c r="K6" s="451">
        <v>-596</v>
      </c>
      <c r="L6" s="451">
        <v>-635</v>
      </c>
      <c r="M6" s="451">
        <v>-665</v>
      </c>
      <c r="N6" s="456">
        <v>-700</v>
      </c>
      <c r="P6" s="448" t="s">
        <v>403</v>
      </c>
      <c r="Q6" s="494">
        <f>Q3+Q4+Q5</f>
        <v>281.18562874251495</v>
      </c>
      <c r="R6" s="494">
        <f t="shared" ref="R6:T6" si="3">R3+R4+R5</f>
        <v>473.33333333333331</v>
      </c>
      <c r="S6" s="494">
        <f t="shared" si="3"/>
        <v>399.6</v>
      </c>
      <c r="T6" s="495">
        <f t="shared" si="3"/>
        <v>463.51807228915663</v>
      </c>
    </row>
    <row r="7" spans="2:20" x14ac:dyDescent="0.3">
      <c r="B7" s="446"/>
      <c r="C7" s="449"/>
      <c r="D7" s="449"/>
      <c r="E7" s="449"/>
      <c r="F7" s="449"/>
      <c r="G7" s="454"/>
      <c r="I7" s="448" t="s">
        <v>543</v>
      </c>
      <c r="J7" s="450">
        <f>J3+J5+J6</f>
        <v>3048</v>
      </c>
      <c r="K7" s="450">
        <f t="shared" ref="K7:N7" si="4">K3+K5+K6</f>
        <v>1162</v>
      </c>
      <c r="L7" s="450">
        <f t="shared" si="4"/>
        <v>1199</v>
      </c>
      <c r="M7" s="450">
        <f t="shared" si="4"/>
        <v>1231</v>
      </c>
      <c r="N7" s="477">
        <f t="shared" si="4"/>
        <v>1234</v>
      </c>
      <c r="P7" s="446"/>
      <c r="Q7" s="449"/>
      <c r="R7" s="449"/>
      <c r="S7" s="449"/>
      <c r="T7" s="454"/>
    </row>
    <row r="8" spans="2:20" x14ac:dyDescent="0.3">
      <c r="B8" s="446" t="s">
        <v>526</v>
      </c>
      <c r="C8" s="449">
        <v>184</v>
      </c>
      <c r="D8" s="449">
        <v>159</v>
      </c>
      <c r="E8" s="449">
        <v>147</v>
      </c>
      <c r="F8" s="449">
        <v>187</v>
      </c>
      <c r="G8" s="454">
        <v>184</v>
      </c>
      <c r="I8" s="446"/>
      <c r="J8" s="449"/>
      <c r="K8" s="449"/>
      <c r="L8" s="449"/>
      <c r="M8" s="449"/>
      <c r="N8" s="454"/>
      <c r="P8" s="446" t="s">
        <v>425</v>
      </c>
      <c r="Q8" s="449">
        <f>C8-D8</f>
        <v>25</v>
      </c>
      <c r="R8" s="449">
        <f t="shared" ref="R8:T10" si="5">D8-E8</f>
        <v>12</v>
      </c>
      <c r="S8" s="449">
        <f t="shared" si="5"/>
        <v>-40</v>
      </c>
      <c r="T8" s="454">
        <f t="shared" si="5"/>
        <v>3</v>
      </c>
    </row>
    <row r="9" spans="2:20" x14ac:dyDescent="0.3">
      <c r="B9" s="446" t="s">
        <v>373</v>
      </c>
      <c r="C9" s="449">
        <v>1485</v>
      </c>
      <c r="D9" s="449">
        <v>1821</v>
      </c>
      <c r="E9" s="449">
        <v>1671</v>
      </c>
      <c r="F9" s="449">
        <v>1781</v>
      </c>
      <c r="G9" s="454">
        <v>1852</v>
      </c>
      <c r="I9" s="446" t="s">
        <v>544</v>
      </c>
      <c r="J9" s="449">
        <v>-754</v>
      </c>
      <c r="K9" s="449">
        <v>-648</v>
      </c>
      <c r="L9" s="449">
        <v>-444</v>
      </c>
      <c r="M9" s="449">
        <v>-623</v>
      </c>
      <c r="N9" s="454">
        <v>-511</v>
      </c>
      <c r="P9" s="446" t="s">
        <v>550</v>
      </c>
      <c r="Q9" s="449">
        <f>C9-D9</f>
        <v>-336</v>
      </c>
      <c r="R9" s="449">
        <f t="shared" si="5"/>
        <v>150</v>
      </c>
      <c r="S9" s="449">
        <f t="shared" si="5"/>
        <v>-110</v>
      </c>
      <c r="T9" s="454">
        <f t="shared" si="5"/>
        <v>-71</v>
      </c>
    </row>
    <row r="10" spans="2:20" x14ac:dyDescent="0.3">
      <c r="B10" s="447" t="s">
        <v>527</v>
      </c>
      <c r="C10" s="468">
        <v>-1170</v>
      </c>
      <c r="D10" s="469">
        <v>-1384</v>
      </c>
      <c r="E10" s="451">
        <v>-1381</v>
      </c>
      <c r="F10" s="451">
        <v>-1413</v>
      </c>
      <c r="G10" s="456">
        <v>-1481</v>
      </c>
      <c r="I10" s="447" t="s">
        <v>545</v>
      </c>
      <c r="J10" s="451">
        <v>-79</v>
      </c>
      <c r="K10" s="451">
        <v>-71</v>
      </c>
      <c r="L10" s="451">
        <v>-45</v>
      </c>
      <c r="M10" s="451">
        <v>-20</v>
      </c>
      <c r="N10" s="456">
        <v>-36</v>
      </c>
      <c r="P10" s="447" t="s">
        <v>551</v>
      </c>
      <c r="Q10" s="469">
        <f>C10-D10</f>
        <v>214</v>
      </c>
      <c r="R10" s="469">
        <f t="shared" si="5"/>
        <v>-3</v>
      </c>
      <c r="S10" s="469">
        <f t="shared" si="5"/>
        <v>32</v>
      </c>
      <c r="T10" s="496">
        <f t="shared" si="5"/>
        <v>68</v>
      </c>
    </row>
    <row r="11" spans="2:20" x14ac:dyDescent="0.3">
      <c r="B11" s="448" t="s">
        <v>528</v>
      </c>
      <c r="C11" s="471">
        <f>C8+C9+C10</f>
        <v>499</v>
      </c>
      <c r="D11" s="471">
        <f>D8+D9+D10</f>
        <v>596</v>
      </c>
      <c r="E11" s="471">
        <f t="shared" ref="E11:G11" si="6">E8+E9+E10</f>
        <v>437</v>
      </c>
      <c r="F11" s="471">
        <f t="shared" si="6"/>
        <v>555</v>
      </c>
      <c r="G11" s="478">
        <f t="shared" si="6"/>
        <v>555</v>
      </c>
      <c r="I11" s="448" t="s">
        <v>303</v>
      </c>
      <c r="J11" s="450">
        <f>J7+J9+J10</f>
        <v>2215</v>
      </c>
      <c r="K11" s="450">
        <f t="shared" ref="K11:N11" si="7">K7+K9+K10</f>
        <v>443</v>
      </c>
      <c r="L11" s="450">
        <f t="shared" si="7"/>
        <v>710</v>
      </c>
      <c r="M11" s="450">
        <f t="shared" si="7"/>
        <v>588</v>
      </c>
      <c r="N11" s="477">
        <f t="shared" si="7"/>
        <v>687</v>
      </c>
      <c r="P11" s="448" t="s">
        <v>552</v>
      </c>
      <c r="Q11" s="471">
        <f>Q8+Q9+Q10</f>
        <v>-97</v>
      </c>
      <c r="R11" s="471">
        <f t="shared" ref="R11:T11" si="8">R8+R9+R10</f>
        <v>159</v>
      </c>
      <c r="S11" s="471">
        <f t="shared" si="8"/>
        <v>-118</v>
      </c>
      <c r="T11" s="478">
        <f t="shared" si="8"/>
        <v>0</v>
      </c>
    </row>
    <row r="12" spans="2:20" x14ac:dyDescent="0.3">
      <c r="B12" s="446"/>
      <c r="C12" s="449"/>
      <c r="D12" s="449"/>
      <c r="E12" s="449"/>
      <c r="F12" s="449"/>
      <c r="G12" s="454"/>
      <c r="I12" s="446"/>
      <c r="J12" s="449"/>
      <c r="K12" s="449"/>
      <c r="L12" s="449"/>
      <c r="M12" s="449"/>
      <c r="N12" s="454"/>
      <c r="P12" s="446"/>
      <c r="Q12" s="449"/>
      <c r="R12" s="449"/>
      <c r="S12" s="449"/>
      <c r="T12" s="454"/>
    </row>
    <row r="13" spans="2:20" x14ac:dyDescent="0.3">
      <c r="B13" s="446" t="s">
        <v>529</v>
      </c>
      <c r="C13" s="449">
        <f>636</f>
        <v>636</v>
      </c>
      <c r="D13" s="449">
        <v>695</v>
      </c>
      <c r="E13" s="449">
        <v>563</v>
      </c>
      <c r="F13" s="449">
        <v>510</v>
      </c>
      <c r="G13" s="454">
        <v>665</v>
      </c>
      <c r="I13" s="447" t="s">
        <v>414</v>
      </c>
      <c r="J13" s="451">
        <v>-137</v>
      </c>
      <c r="K13" s="451">
        <v>-109</v>
      </c>
      <c r="L13" s="451">
        <v>-134</v>
      </c>
      <c r="M13" s="451">
        <v>-98</v>
      </c>
      <c r="N13" s="456">
        <v>-106</v>
      </c>
      <c r="P13" s="446" t="s">
        <v>405</v>
      </c>
      <c r="Q13" s="449">
        <f>C13-D13</f>
        <v>-59</v>
      </c>
      <c r="R13" s="449">
        <f t="shared" ref="R13:T14" si="9">D13-E13</f>
        <v>132</v>
      </c>
      <c r="S13" s="449">
        <f t="shared" si="9"/>
        <v>53</v>
      </c>
      <c r="T13" s="454">
        <f t="shared" si="9"/>
        <v>-155</v>
      </c>
    </row>
    <row r="14" spans="2:20" x14ac:dyDescent="0.3">
      <c r="B14" s="447" t="s">
        <v>396</v>
      </c>
      <c r="C14" s="451">
        <v>-683</v>
      </c>
      <c r="D14" s="451">
        <v>-893</v>
      </c>
      <c r="E14" s="451">
        <v>-673</v>
      </c>
      <c r="F14" s="451">
        <v>-763</v>
      </c>
      <c r="G14" s="456">
        <v>-999</v>
      </c>
      <c r="I14" s="448" t="s">
        <v>304</v>
      </c>
      <c r="J14" s="450">
        <f>J11+J13</f>
        <v>2078</v>
      </c>
      <c r="K14" s="450">
        <f t="shared" ref="K14:N14" si="10">K11+K13</f>
        <v>334</v>
      </c>
      <c r="L14" s="450">
        <f t="shared" si="10"/>
        <v>576</v>
      </c>
      <c r="M14" s="450">
        <f t="shared" si="10"/>
        <v>490</v>
      </c>
      <c r="N14" s="477">
        <f t="shared" si="10"/>
        <v>581</v>
      </c>
      <c r="P14" s="447" t="s">
        <v>553</v>
      </c>
      <c r="Q14" s="451">
        <f>C14-D14</f>
        <v>210</v>
      </c>
      <c r="R14" s="451">
        <f t="shared" si="9"/>
        <v>-220</v>
      </c>
      <c r="S14" s="451">
        <f t="shared" si="9"/>
        <v>90</v>
      </c>
      <c r="T14" s="456">
        <f t="shared" si="9"/>
        <v>236</v>
      </c>
    </row>
    <row r="15" spans="2:20" x14ac:dyDescent="0.3">
      <c r="B15" s="448" t="s">
        <v>530</v>
      </c>
      <c r="C15" s="471">
        <f>C11+C13+C14</f>
        <v>452</v>
      </c>
      <c r="D15" s="471">
        <f>D11+D13+D14</f>
        <v>398</v>
      </c>
      <c r="E15" s="471">
        <f t="shared" ref="E15:G15" si="11">E11+E13+E14</f>
        <v>327</v>
      </c>
      <c r="F15" s="471">
        <f t="shared" si="11"/>
        <v>302</v>
      </c>
      <c r="G15" s="478">
        <f t="shared" si="11"/>
        <v>221</v>
      </c>
      <c r="I15" s="446"/>
      <c r="J15" s="449"/>
      <c r="K15" s="449"/>
      <c r="L15" s="449"/>
      <c r="M15" s="449"/>
      <c r="N15" s="454"/>
      <c r="P15" s="448" t="s">
        <v>554</v>
      </c>
      <c r="Q15" s="471">
        <f>Q11+Q13+Q14</f>
        <v>54</v>
      </c>
      <c r="R15" s="471">
        <f t="shared" ref="R15:T15" si="12">R11+R13+R14</f>
        <v>71</v>
      </c>
      <c r="S15" s="471">
        <f t="shared" si="12"/>
        <v>25</v>
      </c>
      <c r="T15" s="478">
        <f t="shared" si="12"/>
        <v>81</v>
      </c>
    </row>
    <row r="16" spans="2:20" x14ac:dyDescent="0.3">
      <c r="B16" s="446"/>
      <c r="C16" s="449"/>
      <c r="D16" s="449"/>
      <c r="E16" s="449"/>
      <c r="F16" s="449"/>
      <c r="G16" s="454"/>
      <c r="I16" s="446" t="s">
        <v>511</v>
      </c>
      <c r="J16" s="449">
        <v>-133</v>
      </c>
      <c r="K16" s="449">
        <v>-122</v>
      </c>
      <c r="L16" s="449">
        <v>-192</v>
      </c>
      <c r="M16" s="449">
        <v>-157</v>
      </c>
      <c r="N16" s="454">
        <v>-189</v>
      </c>
      <c r="P16" s="446"/>
      <c r="Q16" s="449"/>
      <c r="R16" s="449"/>
      <c r="S16" s="449"/>
      <c r="T16" s="454"/>
    </row>
    <row r="17" spans="2:20" x14ac:dyDescent="0.3">
      <c r="B17" s="446" t="s">
        <v>531</v>
      </c>
      <c r="C17" s="449">
        <v>308</v>
      </c>
      <c r="D17" s="449">
        <v>341</v>
      </c>
      <c r="E17" s="449">
        <v>301</v>
      </c>
      <c r="F17" s="449">
        <v>264</v>
      </c>
      <c r="G17" s="454">
        <v>277</v>
      </c>
      <c r="I17" s="446" t="s">
        <v>546</v>
      </c>
      <c r="J17" s="449">
        <v>0</v>
      </c>
      <c r="K17" s="449">
        <v>19</v>
      </c>
      <c r="L17" s="449">
        <v>-86</v>
      </c>
      <c r="M17" s="449">
        <v>21</v>
      </c>
      <c r="N17" s="454">
        <v>1</v>
      </c>
      <c r="P17" s="446" t="s">
        <v>555</v>
      </c>
      <c r="Q17" s="449">
        <f>C3+C4-D3-D4 + K9</f>
        <v>-1066</v>
      </c>
      <c r="R17" s="449">
        <f t="shared" ref="R17:T17" si="13">D3+D4-E3-E4 + L9</f>
        <v>-80</v>
      </c>
      <c r="S17" s="449">
        <f t="shared" si="13"/>
        <v>-1076</v>
      </c>
      <c r="T17" s="454">
        <f t="shared" si="13"/>
        <v>-837</v>
      </c>
    </row>
    <row r="18" spans="2:20" x14ac:dyDescent="0.3">
      <c r="B18" s="446" t="s">
        <v>532</v>
      </c>
      <c r="C18" s="449">
        <v>-332</v>
      </c>
      <c r="D18" s="449">
        <v>-365</v>
      </c>
      <c r="E18" s="449">
        <v>-319</v>
      </c>
      <c r="F18" s="449">
        <v>-314</v>
      </c>
      <c r="G18" s="454">
        <v>-307</v>
      </c>
      <c r="I18" s="447" t="s">
        <v>513</v>
      </c>
      <c r="J18" s="451">
        <v>130</v>
      </c>
      <c r="K18" s="451">
        <v>1</v>
      </c>
      <c r="L18" s="451">
        <v>-6</v>
      </c>
      <c r="M18" s="451">
        <v>-10</v>
      </c>
      <c r="N18" s="456">
        <v>-4</v>
      </c>
      <c r="P18" s="446" t="s">
        <v>556</v>
      </c>
      <c r="Q18" s="449">
        <f>-K9</f>
        <v>648</v>
      </c>
      <c r="R18" s="449">
        <f t="shared" ref="R18:T18" si="14">-L9</f>
        <v>444</v>
      </c>
      <c r="S18" s="449">
        <f t="shared" si="14"/>
        <v>623</v>
      </c>
      <c r="T18" s="454">
        <f t="shared" si="14"/>
        <v>511</v>
      </c>
    </row>
    <row r="19" spans="2:20" x14ac:dyDescent="0.3">
      <c r="B19" s="447" t="s">
        <v>533</v>
      </c>
      <c r="C19" s="451">
        <v>-576</v>
      </c>
      <c r="D19" s="451">
        <v>-671</v>
      </c>
      <c r="E19" s="451">
        <v>-625</v>
      </c>
      <c r="F19" s="451">
        <v>-642</v>
      </c>
      <c r="G19" s="456">
        <v>-676</v>
      </c>
      <c r="I19" s="448" t="s">
        <v>547</v>
      </c>
      <c r="J19" s="450">
        <f>J14+J16+J17+J18</f>
        <v>2075</v>
      </c>
      <c r="K19" s="450">
        <f t="shared" ref="K19:N19" si="15">K14+K16+K17+K18</f>
        <v>232</v>
      </c>
      <c r="L19" s="450">
        <f t="shared" si="15"/>
        <v>292</v>
      </c>
      <c r="M19" s="450">
        <f t="shared" si="15"/>
        <v>344</v>
      </c>
      <c r="N19" s="477">
        <f t="shared" si="15"/>
        <v>389</v>
      </c>
      <c r="P19" s="446" t="s">
        <v>409</v>
      </c>
      <c r="Q19" s="449">
        <f>C19-D19</f>
        <v>95</v>
      </c>
      <c r="R19" s="449">
        <f t="shared" ref="R19:T19" si="16">D19-E19</f>
        <v>-46</v>
      </c>
      <c r="S19" s="449">
        <f t="shared" si="16"/>
        <v>17</v>
      </c>
      <c r="T19" s="454">
        <f t="shared" si="16"/>
        <v>34</v>
      </c>
    </row>
    <row r="20" spans="2:20" ht="15" thickBot="1" x14ac:dyDescent="0.35">
      <c r="B20" s="448" t="s">
        <v>534</v>
      </c>
      <c r="C20" s="471">
        <f>C6+C15+C17+C18+C19</f>
        <v>6404</v>
      </c>
      <c r="D20" s="471">
        <f>D6+D15+D17+D18+D19</f>
        <v>6672</v>
      </c>
      <c r="E20" s="471">
        <f t="shared" ref="E20:G20" si="17">E6+E15+E17+E18+E19</f>
        <v>6260</v>
      </c>
      <c r="F20" s="471">
        <f t="shared" si="17"/>
        <v>6577</v>
      </c>
      <c r="G20" s="478">
        <f t="shared" si="17"/>
        <v>6828</v>
      </c>
      <c r="I20" s="490"/>
      <c r="J20" s="491"/>
      <c r="K20" s="491"/>
      <c r="L20" s="491"/>
      <c r="M20" s="491"/>
      <c r="N20" s="492"/>
      <c r="P20" s="446" t="s">
        <v>557</v>
      </c>
      <c r="Q20" s="449">
        <f>C18-D18</f>
        <v>33</v>
      </c>
      <c r="R20" s="449">
        <f t="shared" ref="R20:T20" si="18">D18-E18</f>
        <v>-46</v>
      </c>
      <c r="S20" s="449">
        <f t="shared" si="18"/>
        <v>-5</v>
      </c>
      <c r="T20" s="454">
        <f t="shared" si="18"/>
        <v>-7</v>
      </c>
    </row>
    <row r="21" spans="2:20" x14ac:dyDescent="0.3">
      <c r="B21" s="446"/>
      <c r="C21" s="449"/>
      <c r="D21" s="449"/>
      <c r="E21" s="449"/>
      <c r="F21" s="449"/>
      <c r="G21" s="454"/>
      <c r="I21" s="282"/>
      <c r="J21" s="282"/>
      <c r="K21" s="282"/>
      <c r="L21" s="282"/>
      <c r="M21" s="282"/>
      <c r="N21" s="282"/>
      <c r="P21" s="446" t="s">
        <v>558</v>
      </c>
      <c r="Q21" s="449">
        <f>C17-D17</f>
        <v>-33</v>
      </c>
      <c r="R21" s="449">
        <f t="shared" ref="R21:T21" si="19">D17-E17</f>
        <v>40</v>
      </c>
      <c r="S21" s="449">
        <f t="shared" si="19"/>
        <v>37</v>
      </c>
      <c r="T21" s="454">
        <f t="shared" si="19"/>
        <v>-13</v>
      </c>
    </row>
    <row r="22" spans="2:20" x14ac:dyDescent="0.3">
      <c r="B22" s="452" t="s">
        <v>393</v>
      </c>
      <c r="C22" s="472">
        <v>-3259</v>
      </c>
      <c r="D22" s="472">
        <v>-3279</v>
      </c>
      <c r="E22" s="472">
        <v>-3013</v>
      </c>
      <c r="F22" s="472">
        <v>-3523</v>
      </c>
      <c r="G22" s="481">
        <v>-3651</v>
      </c>
      <c r="I22" s="282"/>
      <c r="J22" s="282"/>
      <c r="K22" s="282"/>
      <c r="L22" s="282"/>
      <c r="M22" s="282"/>
      <c r="N22" s="282"/>
      <c r="P22" s="447" t="s">
        <v>411</v>
      </c>
      <c r="Q22" s="451">
        <f>K17+K18</f>
        <v>20</v>
      </c>
      <c r="R22" s="451">
        <f t="shared" ref="R22:T22" si="20">L17+L18</f>
        <v>-92</v>
      </c>
      <c r="S22" s="451">
        <f t="shared" si="20"/>
        <v>11</v>
      </c>
      <c r="T22" s="456">
        <f t="shared" si="20"/>
        <v>-3</v>
      </c>
    </row>
    <row r="23" spans="2:20" x14ac:dyDescent="0.3">
      <c r="B23" s="448"/>
      <c r="C23" s="449"/>
      <c r="D23" s="449"/>
      <c r="E23" s="449"/>
      <c r="F23" s="449"/>
      <c r="G23" s="454"/>
      <c r="I23" s="282"/>
      <c r="J23" s="282"/>
      <c r="K23" s="282"/>
      <c r="L23" s="282"/>
      <c r="M23" s="282"/>
      <c r="N23" s="282"/>
      <c r="P23" s="448" t="s">
        <v>412</v>
      </c>
      <c r="Q23" s="494">
        <f>Q6+Q15+SUM(Q17:Q22)</f>
        <v>32.18562874251495</v>
      </c>
      <c r="R23" s="494">
        <f t="shared" ref="R23:T23" si="21">R6+R15+SUM(R17:R22)</f>
        <v>764.33333333333326</v>
      </c>
      <c r="S23" s="494">
        <f t="shared" si="21"/>
        <v>31.600000000000023</v>
      </c>
      <c r="T23" s="495">
        <f t="shared" si="21"/>
        <v>229.51807228915663</v>
      </c>
    </row>
    <row r="24" spans="2:20" x14ac:dyDescent="0.3">
      <c r="B24" s="446" t="s">
        <v>535</v>
      </c>
      <c r="C24" s="449">
        <v>-3781</v>
      </c>
      <c r="D24" s="449">
        <v>-3795</v>
      </c>
      <c r="E24" s="449">
        <v>-3938</v>
      </c>
      <c r="F24" s="449">
        <v>-3678</v>
      </c>
      <c r="G24" s="454">
        <v>-3611</v>
      </c>
      <c r="I24" s="282"/>
      <c r="J24" s="282"/>
      <c r="K24" s="282"/>
      <c r="L24" s="282"/>
      <c r="M24" s="282"/>
      <c r="N24" s="282"/>
      <c r="P24" s="497" t="s">
        <v>413</v>
      </c>
      <c r="Q24" s="498">
        <f>Q23/Q3</f>
        <v>7.2653789486489734E-2</v>
      </c>
      <c r="R24" s="498">
        <f t="shared" ref="R24:T24" si="22">R23/R3</f>
        <v>1.0765258215962441</v>
      </c>
      <c r="S24" s="498">
        <f t="shared" si="22"/>
        <v>5.3741496598639492E-2</v>
      </c>
      <c r="T24" s="499">
        <f t="shared" si="22"/>
        <v>0.33408744146893249</v>
      </c>
    </row>
    <row r="25" spans="2:20" x14ac:dyDescent="0.3">
      <c r="B25" s="447" t="s">
        <v>536</v>
      </c>
      <c r="C25" s="451">
        <v>636</v>
      </c>
      <c r="D25" s="451">
        <v>402</v>
      </c>
      <c r="E25" s="451">
        <v>691</v>
      </c>
      <c r="F25" s="451">
        <v>624</v>
      </c>
      <c r="G25" s="456">
        <v>434</v>
      </c>
      <c r="I25" s="282"/>
      <c r="J25" s="282"/>
      <c r="K25" s="282"/>
      <c r="L25" s="282"/>
      <c r="M25" s="282"/>
      <c r="N25" s="282"/>
      <c r="P25" s="446"/>
      <c r="Q25" s="449"/>
      <c r="R25" s="449"/>
      <c r="S25" s="449"/>
      <c r="T25" s="454"/>
    </row>
    <row r="26" spans="2:20" x14ac:dyDescent="0.3">
      <c r="B26" s="453" t="s">
        <v>537</v>
      </c>
      <c r="C26" s="473">
        <f>C24+C25</f>
        <v>-3145</v>
      </c>
      <c r="D26" s="473">
        <f>D24+D25</f>
        <v>-3393</v>
      </c>
      <c r="E26" s="473">
        <f t="shared" ref="E26:G26" si="23">E24+E25</f>
        <v>-3247</v>
      </c>
      <c r="F26" s="473">
        <f t="shared" si="23"/>
        <v>-3054</v>
      </c>
      <c r="G26" s="479">
        <f t="shared" si="23"/>
        <v>-3177</v>
      </c>
      <c r="I26" s="282"/>
      <c r="J26" s="282"/>
      <c r="K26" s="282"/>
      <c r="L26" s="282"/>
      <c r="M26" s="282"/>
      <c r="N26" s="282"/>
      <c r="P26" s="446" t="s">
        <v>559</v>
      </c>
      <c r="Q26" s="449">
        <f>K13+C5-D5</f>
        <v>-108</v>
      </c>
      <c r="R26" s="449">
        <f t="shared" ref="R26:T26" si="24">L13+D5-E5</f>
        <v>-105</v>
      </c>
      <c r="S26" s="449">
        <f t="shared" si="24"/>
        <v>-36</v>
      </c>
      <c r="T26" s="454">
        <f t="shared" si="24"/>
        <v>-126</v>
      </c>
    </row>
    <row r="27" spans="2:20" x14ac:dyDescent="0.3">
      <c r="B27" s="448" t="s">
        <v>538</v>
      </c>
      <c r="C27" s="450">
        <f>C22+C26</f>
        <v>-6404</v>
      </c>
      <c r="D27" s="450">
        <f>D22+D26</f>
        <v>-6672</v>
      </c>
      <c r="E27" s="450">
        <f t="shared" ref="E27:G27" si="25">E22+E26</f>
        <v>-6260</v>
      </c>
      <c r="F27" s="450">
        <f t="shared" si="25"/>
        <v>-6577</v>
      </c>
      <c r="G27" s="477">
        <f t="shared" si="25"/>
        <v>-6828</v>
      </c>
      <c r="I27" s="282"/>
      <c r="J27" s="282"/>
      <c r="K27" s="282"/>
      <c r="L27" s="282"/>
      <c r="M27" s="282"/>
      <c r="N27" s="282"/>
      <c r="P27" s="446" t="s">
        <v>560</v>
      </c>
      <c r="Q27" s="449">
        <f>C24-D24</f>
        <v>14</v>
      </c>
      <c r="R27" s="449">
        <f t="shared" ref="R27:T27" si="26">D24-E24</f>
        <v>143</v>
      </c>
      <c r="S27" s="449">
        <f t="shared" si="26"/>
        <v>-260</v>
      </c>
      <c r="T27" s="454">
        <f t="shared" si="26"/>
        <v>-67</v>
      </c>
    </row>
    <row r="28" spans="2:20" ht="15" thickBot="1" x14ac:dyDescent="0.35">
      <c r="B28" s="475" t="s">
        <v>539</v>
      </c>
      <c r="C28" s="476">
        <f>C20+C27</f>
        <v>0</v>
      </c>
      <c r="D28" s="476">
        <f t="shared" ref="D28:G28" si="27">D20+D27</f>
        <v>0</v>
      </c>
      <c r="E28" s="476">
        <f t="shared" si="27"/>
        <v>0</v>
      </c>
      <c r="F28" s="476">
        <f t="shared" si="27"/>
        <v>0</v>
      </c>
      <c r="G28" s="480">
        <f t="shared" si="27"/>
        <v>0</v>
      </c>
      <c r="I28" s="282"/>
      <c r="J28" s="282"/>
      <c r="K28" s="282"/>
      <c r="L28" s="282"/>
      <c r="M28" s="282"/>
      <c r="N28" s="282"/>
      <c r="P28" s="447" t="s">
        <v>561</v>
      </c>
      <c r="Q28" s="457">
        <f>-Q5</f>
        <v>39.814371257485028</v>
      </c>
      <c r="R28" s="457">
        <f t="shared" ref="R28:T28" si="28">-R5</f>
        <v>44.666666666666664</v>
      </c>
      <c r="S28" s="457">
        <f t="shared" si="28"/>
        <v>31.400000000000002</v>
      </c>
      <c r="T28" s="493">
        <f t="shared" si="28"/>
        <v>34.481927710843372</v>
      </c>
    </row>
    <row r="29" spans="2:20" x14ac:dyDescent="0.3">
      <c r="I29" s="282"/>
      <c r="J29" s="282"/>
      <c r="K29" s="282"/>
      <c r="L29" s="282"/>
      <c r="M29" s="282"/>
      <c r="N29" s="282"/>
      <c r="P29" s="448" t="s">
        <v>562</v>
      </c>
      <c r="Q29" s="470">
        <f>Q23+Q26+Q27+Q28</f>
        <v>-22.000000000000021</v>
      </c>
      <c r="R29" s="470">
        <f t="shared" ref="R29:T29" si="29">R23+R26+R27+R28</f>
        <v>846.99999999999989</v>
      </c>
      <c r="S29" s="470">
        <f t="shared" si="29"/>
        <v>-232.99999999999997</v>
      </c>
      <c r="T29" s="500">
        <f t="shared" si="29"/>
        <v>71</v>
      </c>
    </row>
    <row r="30" spans="2:20" x14ac:dyDescent="0.3">
      <c r="I30" s="282"/>
      <c r="J30" s="282"/>
      <c r="K30" s="282"/>
      <c r="L30" s="282"/>
      <c r="M30" s="282"/>
      <c r="N30" s="282"/>
      <c r="P30" s="497" t="s">
        <v>413</v>
      </c>
      <c r="Q30" s="498">
        <f>Q29/Q3</f>
        <v>-4.9661399548532777E-2</v>
      </c>
      <c r="R30" s="498">
        <f t="shared" ref="R30:T30" si="30">R29/R3</f>
        <v>1.192957746478873</v>
      </c>
      <c r="S30" s="498">
        <f t="shared" si="30"/>
        <v>-0.39625850340136048</v>
      </c>
      <c r="T30" s="499">
        <f t="shared" si="30"/>
        <v>0.10334788937409024</v>
      </c>
    </row>
    <row r="31" spans="2:20" x14ac:dyDescent="0.3">
      <c r="P31" s="446"/>
      <c r="Q31" s="449"/>
      <c r="R31" s="449"/>
      <c r="S31" s="449"/>
      <c r="T31" s="454"/>
    </row>
    <row r="32" spans="2:20" x14ac:dyDescent="0.3">
      <c r="P32" s="447" t="s">
        <v>418</v>
      </c>
      <c r="Q32" s="451">
        <f>C22-D22-K19</f>
        <v>-212</v>
      </c>
      <c r="R32" s="451">
        <f t="shared" ref="R32:T32" si="31">D22-E22-L19</f>
        <v>-558</v>
      </c>
      <c r="S32" s="451">
        <f t="shared" si="31"/>
        <v>166</v>
      </c>
      <c r="T32" s="456">
        <f t="shared" si="31"/>
        <v>-261</v>
      </c>
    </row>
    <row r="33" spans="2:22" x14ac:dyDescent="0.3">
      <c r="P33" s="448" t="s">
        <v>563</v>
      </c>
      <c r="Q33" s="471">
        <f>Q29+Q32</f>
        <v>-234.00000000000003</v>
      </c>
      <c r="R33" s="471">
        <f t="shared" ref="R33:T33" si="32">R29+R32</f>
        <v>288.99999999999989</v>
      </c>
      <c r="S33" s="471">
        <f t="shared" si="32"/>
        <v>-66.999999999999972</v>
      </c>
      <c r="T33" s="478">
        <f t="shared" si="32"/>
        <v>-190</v>
      </c>
    </row>
    <row r="34" spans="2:22" x14ac:dyDescent="0.3">
      <c r="P34" s="446"/>
      <c r="Q34" s="449"/>
      <c r="R34" s="449"/>
      <c r="S34" s="449"/>
      <c r="T34" s="454"/>
    </row>
    <row r="35" spans="2:22" x14ac:dyDescent="0.3">
      <c r="P35" s="448" t="s">
        <v>564</v>
      </c>
      <c r="Q35" s="450">
        <f>D25-C25</f>
        <v>-234</v>
      </c>
      <c r="R35" s="450">
        <f t="shared" ref="R35:T35" si="33">E25-D25</f>
        <v>289</v>
      </c>
      <c r="S35" s="450">
        <f t="shared" si="33"/>
        <v>-67</v>
      </c>
      <c r="T35" s="477">
        <f t="shared" si="33"/>
        <v>-190</v>
      </c>
    </row>
    <row r="36" spans="2:22" x14ac:dyDescent="0.3">
      <c r="P36" s="295"/>
      <c r="Q36" s="55"/>
      <c r="R36" s="55"/>
      <c r="S36" s="55"/>
      <c r="T36" s="341"/>
      <c r="U36" s="282"/>
      <c r="V36" s="282"/>
    </row>
    <row r="37" spans="2:22" ht="15" thickBot="1" x14ac:dyDescent="0.35">
      <c r="P37" s="474" t="s">
        <v>569</v>
      </c>
      <c r="Q37" s="514">
        <f>Q33-Q35</f>
        <v>0</v>
      </c>
      <c r="R37" s="514">
        <f t="shared" ref="R37:T37" si="34">R33-R35</f>
        <v>0</v>
      </c>
      <c r="S37" s="514">
        <f t="shared" si="34"/>
        <v>0</v>
      </c>
      <c r="T37" s="514">
        <f t="shared" si="34"/>
        <v>0</v>
      </c>
      <c r="U37" s="282"/>
      <c r="V37" s="282"/>
    </row>
    <row r="38" spans="2:22" x14ac:dyDescent="0.3">
      <c r="P38" s="282"/>
      <c r="Q38" s="282"/>
      <c r="R38" s="282"/>
      <c r="S38" s="282"/>
      <c r="T38" s="282"/>
      <c r="U38" s="282"/>
      <c r="V38" s="282"/>
    </row>
    <row r="39" spans="2:22" ht="15" thickBot="1" x14ac:dyDescent="0.35">
      <c r="U39" s="282"/>
      <c r="V39" s="282"/>
    </row>
    <row r="40" spans="2:22" ht="15" thickBot="1" x14ac:dyDescent="0.35">
      <c r="B40" s="482" t="s">
        <v>565</v>
      </c>
      <c r="C40" s="483">
        <v>42461</v>
      </c>
      <c r="D40" s="483">
        <v>42826</v>
      </c>
      <c r="E40" s="483">
        <v>43191</v>
      </c>
      <c r="F40" s="483">
        <v>43556</v>
      </c>
      <c r="G40" s="483">
        <v>43922</v>
      </c>
      <c r="I40" s="482" t="s">
        <v>566</v>
      </c>
      <c r="J40" s="483" t="s">
        <v>567</v>
      </c>
      <c r="K40" s="483" t="s">
        <v>505</v>
      </c>
      <c r="L40" s="483" t="s">
        <v>506</v>
      </c>
      <c r="M40" s="483" t="s">
        <v>507</v>
      </c>
      <c r="N40" s="483" t="s">
        <v>508</v>
      </c>
      <c r="P40" s="507" t="s">
        <v>568</v>
      </c>
      <c r="Q40" s="483" t="s">
        <v>505</v>
      </c>
      <c r="R40" s="483" t="s">
        <v>506</v>
      </c>
      <c r="S40" s="483" t="s">
        <v>507</v>
      </c>
      <c r="T40" s="483" t="s">
        <v>508</v>
      </c>
      <c r="U40" s="504"/>
      <c r="V40" s="282"/>
    </row>
    <row r="41" spans="2:22" x14ac:dyDescent="0.3">
      <c r="B41" s="446" t="s">
        <v>522</v>
      </c>
      <c r="C41" s="449">
        <v>5022</v>
      </c>
      <c r="D41" s="449">
        <v>5026</v>
      </c>
      <c r="E41" s="449">
        <v>4592</v>
      </c>
      <c r="F41" s="449">
        <v>4703</v>
      </c>
      <c r="G41" s="454">
        <v>4917</v>
      </c>
      <c r="I41" s="487" t="s">
        <v>540</v>
      </c>
      <c r="J41" s="488">
        <v>4829</v>
      </c>
      <c r="K41" s="488">
        <v>5050</v>
      </c>
      <c r="L41" s="488">
        <v>5986</v>
      </c>
      <c r="M41" s="488">
        <v>6801</v>
      </c>
      <c r="N41" s="489">
        <v>6921</v>
      </c>
      <c r="P41" s="487" t="s">
        <v>303</v>
      </c>
      <c r="Q41" s="488">
        <f>K49</f>
        <v>447</v>
      </c>
      <c r="R41" s="488">
        <f t="shared" ref="R41:T41" si="35">L49</f>
        <v>714</v>
      </c>
      <c r="S41" s="488">
        <f t="shared" si="35"/>
        <v>507</v>
      </c>
      <c r="T41" s="489">
        <f t="shared" si="35"/>
        <v>686</v>
      </c>
      <c r="U41" s="282"/>
      <c r="V41" s="282"/>
    </row>
    <row r="42" spans="2:22" x14ac:dyDescent="0.3">
      <c r="B42" s="446" t="s">
        <v>523</v>
      </c>
      <c r="C42" s="449">
        <v>1360</v>
      </c>
      <c r="D42" s="449">
        <v>1756</v>
      </c>
      <c r="E42" s="449">
        <v>1902</v>
      </c>
      <c r="F42" s="449">
        <v>2344</v>
      </c>
      <c r="G42" s="454">
        <v>2429</v>
      </c>
      <c r="I42" s="446"/>
      <c r="J42" s="449"/>
      <c r="K42" s="449"/>
      <c r="L42" s="449"/>
      <c r="M42" s="449"/>
      <c r="N42" s="454"/>
      <c r="P42" s="446" t="s">
        <v>548</v>
      </c>
      <c r="Q42" s="449">
        <f>K54</f>
        <v>-127</v>
      </c>
      <c r="R42" s="449">
        <f t="shared" ref="R42:T42" si="36">L54</f>
        <v>-197</v>
      </c>
      <c r="S42" s="449">
        <f t="shared" si="36"/>
        <v>-133</v>
      </c>
      <c r="T42" s="454">
        <f t="shared" si="36"/>
        <v>-188</v>
      </c>
      <c r="U42" s="282"/>
      <c r="V42" s="282"/>
    </row>
    <row r="43" spans="2:22" x14ac:dyDescent="0.3">
      <c r="B43" s="447" t="s">
        <v>524</v>
      </c>
      <c r="C43" s="451">
        <v>146</v>
      </c>
      <c r="D43" s="451">
        <v>140</v>
      </c>
      <c r="E43" s="451">
        <v>105</v>
      </c>
      <c r="F43" s="451">
        <v>44</v>
      </c>
      <c r="G43" s="456">
        <v>95</v>
      </c>
      <c r="I43" s="446" t="s">
        <v>541</v>
      </c>
      <c r="J43" s="449">
        <v>-1176</v>
      </c>
      <c r="K43" s="449">
        <v>-3272</v>
      </c>
      <c r="L43" s="449">
        <v>-4132</v>
      </c>
      <c r="M43" s="449">
        <v>-4964</v>
      </c>
      <c r="N43" s="454">
        <v>-4981</v>
      </c>
      <c r="P43" s="447" t="s">
        <v>549</v>
      </c>
      <c r="Q43" s="457">
        <f>-K51*(K54/K52)</f>
        <v>-42.967065868263475</v>
      </c>
      <c r="R43" s="457">
        <f t="shared" ref="R43:T43" si="37">-L51*(L54/L52)</f>
        <v>-47.197916666666664</v>
      </c>
      <c r="S43" s="457">
        <f t="shared" si="37"/>
        <v>-29.876811594202898</v>
      </c>
      <c r="T43" s="493">
        <f t="shared" si="37"/>
        <v>-32.081911262798634</v>
      </c>
      <c r="U43" s="282"/>
      <c r="V43" s="282"/>
    </row>
    <row r="44" spans="2:22" x14ac:dyDescent="0.3">
      <c r="B44" s="448" t="s">
        <v>525</v>
      </c>
      <c r="C44" s="450">
        <f>C41+C42+C43</f>
        <v>6528</v>
      </c>
      <c r="D44" s="450">
        <f t="shared" ref="D44:G44" si="38">D41+D42+D43</f>
        <v>6922</v>
      </c>
      <c r="E44" s="450">
        <f t="shared" si="38"/>
        <v>6599</v>
      </c>
      <c r="F44" s="450">
        <f t="shared" si="38"/>
        <v>7091</v>
      </c>
      <c r="G44" s="477">
        <f t="shared" si="38"/>
        <v>7441</v>
      </c>
      <c r="I44" s="447" t="s">
        <v>542</v>
      </c>
      <c r="J44" s="451">
        <v>-634</v>
      </c>
      <c r="K44" s="451">
        <v>-601</v>
      </c>
      <c r="L44" s="451">
        <v>-640</v>
      </c>
      <c r="M44" s="451">
        <v>-677</v>
      </c>
      <c r="N44" s="456">
        <v>-703</v>
      </c>
      <c r="P44" s="448" t="s">
        <v>403</v>
      </c>
      <c r="Q44" s="494">
        <f>Q41+Q42+Q43</f>
        <v>277.03293413173651</v>
      </c>
      <c r="R44" s="494">
        <f t="shared" ref="R44:T44" si="39">R41+R42+R43</f>
        <v>469.80208333333331</v>
      </c>
      <c r="S44" s="494">
        <f t="shared" si="39"/>
        <v>344.12318840579712</v>
      </c>
      <c r="T44" s="495">
        <f t="shared" si="39"/>
        <v>465.91808873720134</v>
      </c>
    </row>
    <row r="45" spans="2:22" x14ac:dyDescent="0.3">
      <c r="B45" s="446"/>
      <c r="C45" s="449"/>
      <c r="D45" s="449"/>
      <c r="E45" s="449"/>
      <c r="F45" s="449"/>
      <c r="G45" s="454"/>
      <c r="I45" s="448" t="s">
        <v>543</v>
      </c>
      <c r="J45" s="450">
        <f>J41+J43+J44</f>
        <v>3019</v>
      </c>
      <c r="K45" s="450">
        <f t="shared" ref="K45:N45" si="40">K41+K43+K44</f>
        <v>1177</v>
      </c>
      <c r="L45" s="450">
        <f t="shared" si="40"/>
        <v>1214</v>
      </c>
      <c r="M45" s="450">
        <f t="shared" si="40"/>
        <v>1160</v>
      </c>
      <c r="N45" s="477">
        <f t="shared" si="40"/>
        <v>1237</v>
      </c>
      <c r="P45" s="446"/>
      <c r="Q45" s="449"/>
      <c r="R45" s="449"/>
      <c r="S45" s="449"/>
      <c r="T45" s="454"/>
    </row>
    <row r="46" spans="2:22" x14ac:dyDescent="0.3">
      <c r="B46" s="446" t="s">
        <v>526</v>
      </c>
      <c r="C46" s="449">
        <v>98</v>
      </c>
      <c r="D46" s="449">
        <v>118</v>
      </c>
      <c r="E46" s="449">
        <v>80</v>
      </c>
      <c r="F46" s="449">
        <v>119</v>
      </c>
      <c r="G46" s="454">
        <v>104</v>
      </c>
      <c r="I46" s="446"/>
      <c r="J46" s="449"/>
      <c r="K46" s="449"/>
      <c r="L46" s="449"/>
      <c r="M46" s="449"/>
      <c r="N46" s="454"/>
      <c r="P46" s="446" t="s">
        <v>425</v>
      </c>
      <c r="Q46" s="449">
        <f>C46-D46</f>
        <v>-20</v>
      </c>
      <c r="R46" s="449">
        <f t="shared" ref="R46:T48" si="41">D46-E46</f>
        <v>38</v>
      </c>
      <c r="S46" s="449">
        <f t="shared" si="41"/>
        <v>-39</v>
      </c>
      <c r="T46" s="454">
        <f t="shared" si="41"/>
        <v>15</v>
      </c>
    </row>
    <row r="47" spans="2:22" x14ac:dyDescent="0.3">
      <c r="B47" s="446" t="s">
        <v>373</v>
      </c>
      <c r="C47" s="449">
        <v>1547</v>
      </c>
      <c r="D47" s="449">
        <v>1878</v>
      </c>
      <c r="E47" s="449">
        <v>1826</v>
      </c>
      <c r="F47" s="449">
        <v>2077</v>
      </c>
      <c r="G47" s="454">
        <v>2056</v>
      </c>
      <c r="I47" s="446" t="s">
        <v>544</v>
      </c>
      <c r="J47" s="449">
        <f>-(844-79)</f>
        <v>-765</v>
      </c>
      <c r="K47" s="449">
        <f>-(730-71)</f>
        <v>-659</v>
      </c>
      <c r="L47" s="449">
        <f>-(500-45)</f>
        <v>-455</v>
      </c>
      <c r="M47" s="449">
        <f>-(653-20)</f>
        <v>-633</v>
      </c>
      <c r="N47" s="454">
        <v>-515</v>
      </c>
      <c r="P47" s="446" t="s">
        <v>550</v>
      </c>
      <c r="Q47" s="449">
        <f>C47-D47</f>
        <v>-331</v>
      </c>
      <c r="R47" s="449">
        <f t="shared" si="41"/>
        <v>52</v>
      </c>
      <c r="S47" s="449">
        <f t="shared" si="41"/>
        <v>-251</v>
      </c>
      <c r="T47" s="454">
        <f t="shared" si="41"/>
        <v>21</v>
      </c>
    </row>
    <row r="48" spans="2:22" x14ac:dyDescent="0.3">
      <c r="B48" s="447" t="s">
        <v>527</v>
      </c>
      <c r="C48" s="451">
        <v>-1012</v>
      </c>
      <c r="D48" s="451">
        <v>-1151</v>
      </c>
      <c r="E48" s="451">
        <v>-1150</v>
      </c>
      <c r="F48" s="451">
        <v>-1321</v>
      </c>
      <c r="G48" s="456">
        <v>-1323</v>
      </c>
      <c r="I48" s="447" t="s">
        <v>545</v>
      </c>
      <c r="J48" s="451">
        <v>-79</v>
      </c>
      <c r="K48" s="451">
        <v>-71</v>
      </c>
      <c r="L48" s="451">
        <v>-45</v>
      </c>
      <c r="M48" s="451">
        <v>-20</v>
      </c>
      <c r="N48" s="456">
        <f>-(551-515)</f>
        <v>-36</v>
      </c>
      <c r="P48" s="447" t="s">
        <v>551</v>
      </c>
      <c r="Q48" s="451">
        <f>C48-D48</f>
        <v>139</v>
      </c>
      <c r="R48" s="451">
        <f t="shared" si="41"/>
        <v>-1</v>
      </c>
      <c r="S48" s="451">
        <f t="shared" si="41"/>
        <v>171</v>
      </c>
      <c r="T48" s="456">
        <f t="shared" si="41"/>
        <v>2</v>
      </c>
    </row>
    <row r="49" spans="2:20" x14ac:dyDescent="0.3">
      <c r="B49" s="448" t="s">
        <v>528</v>
      </c>
      <c r="C49" s="450">
        <f>C46+C48+C47</f>
        <v>633</v>
      </c>
      <c r="D49" s="450">
        <f t="shared" ref="D49:G49" si="42">D46+D48+D47</f>
        <v>845</v>
      </c>
      <c r="E49" s="450">
        <f t="shared" si="42"/>
        <v>756</v>
      </c>
      <c r="F49" s="450">
        <f t="shared" si="42"/>
        <v>875</v>
      </c>
      <c r="G49" s="477">
        <f t="shared" si="42"/>
        <v>837</v>
      </c>
      <c r="I49" s="448" t="s">
        <v>303</v>
      </c>
      <c r="J49" s="450">
        <f>J45+J47+J48</f>
        <v>2175</v>
      </c>
      <c r="K49" s="450">
        <f t="shared" ref="K49:N49" si="43">K45+K47+K48</f>
        <v>447</v>
      </c>
      <c r="L49" s="450">
        <f t="shared" si="43"/>
        <v>714</v>
      </c>
      <c r="M49" s="450">
        <f t="shared" si="43"/>
        <v>507</v>
      </c>
      <c r="N49" s="477">
        <f t="shared" si="43"/>
        <v>686</v>
      </c>
      <c r="P49" s="448" t="s">
        <v>552</v>
      </c>
      <c r="Q49" s="450">
        <f>Q46+Q47+Q48</f>
        <v>-212</v>
      </c>
      <c r="R49" s="450">
        <f t="shared" ref="R49:T49" si="44">R46+R47+R48</f>
        <v>89</v>
      </c>
      <c r="S49" s="450">
        <f t="shared" si="44"/>
        <v>-119</v>
      </c>
      <c r="T49" s="477">
        <f t="shared" si="44"/>
        <v>38</v>
      </c>
    </row>
    <row r="50" spans="2:20" x14ac:dyDescent="0.3">
      <c r="B50" s="446"/>
      <c r="C50" s="449"/>
      <c r="D50" s="449"/>
      <c r="E50" s="449"/>
      <c r="F50" s="449"/>
      <c r="G50" s="454"/>
      <c r="I50" s="446"/>
      <c r="J50" s="449"/>
      <c r="K50" s="449"/>
      <c r="L50" s="449"/>
      <c r="M50" s="449"/>
      <c r="N50" s="454"/>
      <c r="P50" s="446"/>
      <c r="Q50" s="449"/>
      <c r="R50" s="449"/>
      <c r="S50" s="449"/>
      <c r="T50" s="454"/>
    </row>
    <row r="51" spans="2:20" x14ac:dyDescent="0.3">
      <c r="B51" s="446" t="s">
        <v>529</v>
      </c>
      <c r="C51" s="449">
        <v>645</v>
      </c>
      <c r="D51" s="449">
        <v>542</v>
      </c>
      <c r="E51" s="449">
        <v>509</v>
      </c>
      <c r="F51" s="449">
        <v>583</v>
      </c>
      <c r="G51" s="454">
        <v>1038</v>
      </c>
      <c r="I51" s="447" t="s">
        <v>414</v>
      </c>
      <c r="J51" s="451">
        <v>-141</v>
      </c>
      <c r="K51" s="451">
        <v>-113</v>
      </c>
      <c r="L51" s="451">
        <v>-138</v>
      </c>
      <c r="M51" s="451">
        <v>-93</v>
      </c>
      <c r="N51" s="456">
        <v>-100</v>
      </c>
      <c r="P51" s="446" t="s">
        <v>405</v>
      </c>
      <c r="Q51" s="449">
        <f>C51-D51</f>
        <v>103</v>
      </c>
      <c r="R51" s="449">
        <f t="shared" ref="R51:T52" si="45">D51-E51</f>
        <v>33</v>
      </c>
      <c r="S51" s="449">
        <f t="shared" si="45"/>
        <v>-74</v>
      </c>
      <c r="T51" s="454">
        <f t="shared" si="45"/>
        <v>-455</v>
      </c>
    </row>
    <row r="52" spans="2:20" x14ac:dyDescent="0.3">
      <c r="B52" s="447" t="s">
        <v>396</v>
      </c>
      <c r="C52" s="451">
        <v>-887</v>
      </c>
      <c r="D52" s="451">
        <v>-895</v>
      </c>
      <c r="E52" s="451">
        <v>-827</v>
      </c>
      <c r="F52" s="451">
        <v>-1124</v>
      </c>
      <c r="G52" s="456">
        <v>-1559</v>
      </c>
      <c r="I52" s="448" t="s">
        <v>304</v>
      </c>
      <c r="J52" s="450">
        <f>J49+J51</f>
        <v>2034</v>
      </c>
      <c r="K52" s="450">
        <f t="shared" ref="K52:N52" si="46">K49+K51</f>
        <v>334</v>
      </c>
      <c r="L52" s="450">
        <f t="shared" si="46"/>
        <v>576</v>
      </c>
      <c r="M52" s="450">
        <f t="shared" si="46"/>
        <v>414</v>
      </c>
      <c r="N52" s="477">
        <f t="shared" si="46"/>
        <v>586</v>
      </c>
      <c r="P52" s="447" t="s">
        <v>553</v>
      </c>
      <c r="Q52" s="451">
        <f>C52-D52</f>
        <v>8</v>
      </c>
      <c r="R52" s="451">
        <f t="shared" si="45"/>
        <v>-68</v>
      </c>
      <c r="S52" s="451">
        <f t="shared" si="45"/>
        <v>297</v>
      </c>
      <c r="T52" s="456">
        <f t="shared" si="45"/>
        <v>435</v>
      </c>
    </row>
    <row r="53" spans="2:20" x14ac:dyDescent="0.3">
      <c r="B53" s="448" t="s">
        <v>530</v>
      </c>
      <c r="C53" s="450">
        <f>C49+C51+C52</f>
        <v>391</v>
      </c>
      <c r="D53" s="450">
        <f t="shared" ref="D53:G53" si="47">D49+D51+D52</f>
        <v>492</v>
      </c>
      <c r="E53" s="450">
        <f t="shared" si="47"/>
        <v>438</v>
      </c>
      <c r="F53" s="450">
        <f t="shared" si="47"/>
        <v>334</v>
      </c>
      <c r="G53" s="477">
        <f t="shared" si="47"/>
        <v>316</v>
      </c>
      <c r="I53" s="446"/>
      <c r="J53" s="449"/>
      <c r="K53" s="449"/>
      <c r="L53" s="449"/>
      <c r="M53" s="449"/>
      <c r="N53" s="454"/>
      <c r="P53" s="448" t="s">
        <v>554</v>
      </c>
      <c r="Q53" s="450">
        <f>Q49+Q51+Q52</f>
        <v>-101</v>
      </c>
      <c r="R53" s="450">
        <f t="shared" ref="R53:T53" si="48">R49+R51+R52</f>
        <v>54</v>
      </c>
      <c r="S53" s="450">
        <f t="shared" si="48"/>
        <v>104</v>
      </c>
      <c r="T53" s="477">
        <f t="shared" si="48"/>
        <v>18</v>
      </c>
    </row>
    <row r="54" spans="2:20" x14ac:dyDescent="0.3">
      <c r="B54" s="446"/>
      <c r="C54" s="449"/>
      <c r="D54" s="449"/>
      <c r="E54" s="449"/>
      <c r="F54" s="449"/>
      <c r="G54" s="454"/>
      <c r="I54" s="446" t="s">
        <v>511</v>
      </c>
      <c r="J54" s="449">
        <v>-138</v>
      </c>
      <c r="K54" s="449">
        <v>-127</v>
      </c>
      <c r="L54" s="449">
        <v>-197</v>
      </c>
      <c r="M54" s="449">
        <v>-133</v>
      </c>
      <c r="N54" s="454">
        <v>-188</v>
      </c>
      <c r="P54" s="446"/>
      <c r="Q54" s="449"/>
      <c r="R54" s="449"/>
      <c r="S54" s="449"/>
      <c r="T54" s="454"/>
    </row>
    <row r="55" spans="2:20" x14ac:dyDescent="0.3">
      <c r="B55" s="446" t="s">
        <v>531</v>
      </c>
      <c r="C55" s="449">
        <v>305</v>
      </c>
      <c r="D55" s="449">
        <v>357</v>
      </c>
      <c r="E55" s="449">
        <v>295</v>
      </c>
      <c r="F55" s="449">
        <v>274</v>
      </c>
      <c r="G55" s="454">
        <v>286</v>
      </c>
      <c r="I55" s="446" t="s">
        <v>546</v>
      </c>
      <c r="J55" s="449">
        <v>-2</v>
      </c>
      <c r="K55" s="449">
        <v>17</v>
      </c>
      <c r="L55" s="449">
        <v>-87</v>
      </c>
      <c r="M55" s="449">
        <v>19</v>
      </c>
      <c r="N55" s="454">
        <v>1</v>
      </c>
      <c r="P55" s="446" t="s">
        <v>555</v>
      </c>
      <c r="Q55" s="449">
        <f>C41+C42-D41-D42+K47</f>
        <v>-1059</v>
      </c>
      <c r="R55" s="449">
        <f t="shared" ref="R55:T55" si="49">D41+D42-E41-E42+L47</f>
        <v>-167</v>
      </c>
      <c r="S55" s="449">
        <f t="shared" si="49"/>
        <v>-1186</v>
      </c>
      <c r="T55" s="454">
        <f t="shared" si="49"/>
        <v>-814</v>
      </c>
    </row>
    <row r="56" spans="2:20" x14ac:dyDescent="0.3">
      <c r="B56" s="446" t="s">
        <v>532</v>
      </c>
      <c r="C56" s="449">
        <v>-327</v>
      </c>
      <c r="D56" s="449">
        <v>-359</v>
      </c>
      <c r="E56" s="449">
        <v>-315</v>
      </c>
      <c r="F56" s="449">
        <v>-311</v>
      </c>
      <c r="G56" s="454">
        <v>-300</v>
      </c>
      <c r="I56" s="447" t="s">
        <v>513</v>
      </c>
      <c r="J56" s="451">
        <v>130</v>
      </c>
      <c r="K56" s="451">
        <v>1</v>
      </c>
      <c r="L56" s="451">
        <v>-6</v>
      </c>
      <c r="M56" s="451">
        <v>-16</v>
      </c>
      <c r="N56" s="456">
        <v>-2</v>
      </c>
      <c r="P56" s="446" t="s">
        <v>556</v>
      </c>
      <c r="Q56" s="449">
        <f>-K47</f>
        <v>659</v>
      </c>
      <c r="R56" s="449">
        <f t="shared" ref="R56:T56" si="50">-L47</f>
        <v>455</v>
      </c>
      <c r="S56" s="449">
        <f t="shared" si="50"/>
        <v>633</v>
      </c>
      <c r="T56" s="454">
        <f t="shared" si="50"/>
        <v>515</v>
      </c>
    </row>
    <row r="57" spans="2:20" ht="15" thickBot="1" x14ac:dyDescent="0.35">
      <c r="B57" s="447" t="s">
        <v>533</v>
      </c>
      <c r="C57" s="451">
        <v>-604</v>
      </c>
      <c r="D57" s="451">
        <v>-666</v>
      </c>
      <c r="E57" s="451">
        <v>-626</v>
      </c>
      <c r="F57" s="451">
        <v>-637</v>
      </c>
      <c r="G57" s="456">
        <v>-668</v>
      </c>
      <c r="I57" s="501" t="s">
        <v>547</v>
      </c>
      <c r="J57" s="502">
        <f>J52+J54+J55+J56</f>
        <v>2024</v>
      </c>
      <c r="K57" s="502">
        <f t="shared" ref="K57:N57" si="51">K52+K54+K55+K56</f>
        <v>225</v>
      </c>
      <c r="L57" s="502">
        <f t="shared" si="51"/>
        <v>286</v>
      </c>
      <c r="M57" s="502">
        <f t="shared" si="51"/>
        <v>284</v>
      </c>
      <c r="N57" s="503">
        <f t="shared" si="51"/>
        <v>397</v>
      </c>
      <c r="P57" s="446" t="s">
        <v>409</v>
      </c>
      <c r="Q57" s="449">
        <f>C57-D57</f>
        <v>62</v>
      </c>
      <c r="R57" s="449">
        <f t="shared" ref="R57:T57" si="52">D57-E57</f>
        <v>-40</v>
      </c>
      <c r="S57" s="449">
        <f t="shared" si="52"/>
        <v>11</v>
      </c>
      <c r="T57" s="454">
        <f t="shared" si="52"/>
        <v>31</v>
      </c>
    </row>
    <row r="58" spans="2:20" x14ac:dyDescent="0.3">
      <c r="B58" s="448" t="s">
        <v>534</v>
      </c>
      <c r="C58" s="450">
        <f>C44+C53+C55+C56+C57</f>
        <v>6293</v>
      </c>
      <c r="D58" s="450">
        <f t="shared" ref="D58:G58" si="53">D44+D53+D55+D56+D57</f>
        <v>6746</v>
      </c>
      <c r="E58" s="450">
        <f t="shared" si="53"/>
        <v>6391</v>
      </c>
      <c r="F58" s="450">
        <f t="shared" si="53"/>
        <v>6751</v>
      </c>
      <c r="G58" s="477">
        <f t="shared" si="53"/>
        <v>7075</v>
      </c>
      <c r="P58" s="446" t="s">
        <v>557</v>
      </c>
      <c r="Q58" s="449">
        <f>C56-D56</f>
        <v>32</v>
      </c>
      <c r="R58" s="449">
        <f t="shared" ref="R58:T58" si="54">D56-E56</f>
        <v>-44</v>
      </c>
      <c r="S58" s="449">
        <f t="shared" si="54"/>
        <v>-4</v>
      </c>
      <c r="T58" s="454">
        <f t="shared" si="54"/>
        <v>-11</v>
      </c>
    </row>
    <row r="59" spans="2:20" x14ac:dyDescent="0.3">
      <c r="B59" s="446"/>
      <c r="C59" s="449"/>
      <c r="D59" s="449"/>
      <c r="E59" s="449"/>
      <c r="F59" s="449"/>
      <c r="G59" s="454"/>
      <c r="P59" s="446" t="s">
        <v>558</v>
      </c>
      <c r="Q59" s="449">
        <f>C55-D55</f>
        <v>-52</v>
      </c>
      <c r="R59" s="449">
        <f t="shared" ref="R59:T59" si="55">D55-E55</f>
        <v>62</v>
      </c>
      <c r="S59" s="449">
        <f t="shared" si="55"/>
        <v>21</v>
      </c>
      <c r="T59" s="454">
        <f t="shared" si="55"/>
        <v>-12</v>
      </c>
    </row>
    <row r="60" spans="2:20" x14ac:dyDescent="0.3">
      <c r="B60" s="448" t="s">
        <v>393</v>
      </c>
      <c r="C60" s="450">
        <v>-3132</v>
      </c>
      <c r="D60" s="450">
        <v>-3462</v>
      </c>
      <c r="E60" s="450">
        <v>-3191</v>
      </c>
      <c r="F60" s="450">
        <v>-3614</v>
      </c>
      <c r="G60" s="477">
        <v>-3746</v>
      </c>
      <c r="P60" s="447" t="s">
        <v>411</v>
      </c>
      <c r="Q60" s="451">
        <f>K55+K56</f>
        <v>18</v>
      </c>
      <c r="R60" s="451">
        <f t="shared" ref="R60:T60" si="56">L55+L56</f>
        <v>-93</v>
      </c>
      <c r="S60" s="451">
        <f t="shared" si="56"/>
        <v>3</v>
      </c>
      <c r="T60" s="456">
        <f t="shared" si="56"/>
        <v>-1</v>
      </c>
    </row>
    <row r="61" spans="2:20" x14ac:dyDescent="0.3">
      <c r="B61" s="446"/>
      <c r="C61" s="449"/>
      <c r="D61" s="449"/>
      <c r="E61" s="449"/>
      <c r="F61" s="449"/>
      <c r="G61" s="454"/>
      <c r="P61" s="448" t="s">
        <v>412</v>
      </c>
      <c r="Q61" s="494">
        <f>Q44+Q53+SUM(Q55:Q60)</f>
        <v>-163.96706586826349</v>
      </c>
      <c r="R61" s="494">
        <f t="shared" ref="R61:T61" si="57">R44+R53+SUM(R55:R60)</f>
        <v>696.80208333333326</v>
      </c>
      <c r="S61" s="494">
        <f t="shared" si="57"/>
        <v>-73.876811594202877</v>
      </c>
      <c r="T61" s="495">
        <f t="shared" si="57"/>
        <v>191.91808873720134</v>
      </c>
    </row>
    <row r="62" spans="2:20" x14ac:dyDescent="0.3">
      <c r="B62" s="446" t="s">
        <v>535</v>
      </c>
      <c r="C62" s="449">
        <v>-3720</v>
      </c>
      <c r="D62" s="449">
        <v>-3973</v>
      </c>
      <c r="E62" s="449">
        <v>-3926</v>
      </c>
      <c r="F62" s="449">
        <v>-3741</v>
      </c>
      <c r="G62" s="454">
        <v>-3636</v>
      </c>
      <c r="P62" s="497" t="s">
        <v>413</v>
      </c>
      <c r="Q62" s="498">
        <f>Q61/Q41</f>
        <v>-0.36681670216613754</v>
      </c>
      <c r="R62" s="498">
        <f t="shared" ref="R62:T62" si="58">R61/R41</f>
        <v>0.97591328197945837</v>
      </c>
      <c r="S62" s="498">
        <f t="shared" si="58"/>
        <v>-0.14571363233570586</v>
      </c>
      <c r="T62" s="499">
        <f t="shared" si="58"/>
        <v>0.27976397775102235</v>
      </c>
    </row>
    <row r="63" spans="2:20" x14ac:dyDescent="0.3">
      <c r="B63" s="447" t="s">
        <v>536</v>
      </c>
      <c r="C63" s="451">
        <v>559</v>
      </c>
      <c r="D63" s="451">
        <v>689</v>
      </c>
      <c r="E63" s="451">
        <v>726</v>
      </c>
      <c r="F63" s="451">
        <v>604</v>
      </c>
      <c r="G63" s="456">
        <v>307</v>
      </c>
      <c r="P63" s="446"/>
      <c r="Q63" s="449"/>
      <c r="R63" s="449"/>
      <c r="S63" s="449"/>
      <c r="T63" s="454"/>
    </row>
    <row r="64" spans="2:20" x14ac:dyDescent="0.3">
      <c r="B64" s="453" t="s">
        <v>537</v>
      </c>
      <c r="C64" s="473">
        <f>C62+C63</f>
        <v>-3161</v>
      </c>
      <c r="D64" s="473">
        <f t="shared" ref="D64:G64" si="59">D62+D63</f>
        <v>-3284</v>
      </c>
      <c r="E64" s="473">
        <f t="shared" si="59"/>
        <v>-3200</v>
      </c>
      <c r="F64" s="473">
        <f t="shared" si="59"/>
        <v>-3137</v>
      </c>
      <c r="G64" s="479">
        <f t="shared" si="59"/>
        <v>-3329</v>
      </c>
      <c r="P64" s="446" t="s">
        <v>559</v>
      </c>
      <c r="Q64" s="449">
        <f>C43-D43+K51</f>
        <v>-107</v>
      </c>
      <c r="R64" s="449">
        <f t="shared" ref="R64:T64" si="60">D43-E43+L51</f>
        <v>-103</v>
      </c>
      <c r="S64" s="449">
        <f t="shared" si="60"/>
        <v>-32</v>
      </c>
      <c r="T64" s="454">
        <f t="shared" si="60"/>
        <v>-151</v>
      </c>
    </row>
    <row r="65" spans="2:20" x14ac:dyDescent="0.3">
      <c r="B65" s="448" t="s">
        <v>538</v>
      </c>
      <c r="C65" s="450">
        <f>C60+C64</f>
        <v>-6293</v>
      </c>
      <c r="D65" s="450">
        <f t="shared" ref="D65:G65" si="61">D60+D64</f>
        <v>-6746</v>
      </c>
      <c r="E65" s="450">
        <f t="shared" si="61"/>
        <v>-6391</v>
      </c>
      <c r="F65" s="450">
        <f t="shared" si="61"/>
        <v>-6751</v>
      </c>
      <c r="G65" s="477">
        <f t="shared" si="61"/>
        <v>-7075</v>
      </c>
      <c r="P65" s="446" t="s">
        <v>560</v>
      </c>
      <c r="Q65" s="449">
        <f>C62-D62</f>
        <v>253</v>
      </c>
      <c r="R65" s="449">
        <f t="shared" ref="R65:T65" si="62">D62-E62</f>
        <v>-47</v>
      </c>
      <c r="S65" s="449">
        <f t="shared" si="62"/>
        <v>-185</v>
      </c>
      <c r="T65" s="454">
        <f t="shared" si="62"/>
        <v>-105</v>
      </c>
    </row>
    <row r="66" spans="2:20" ht="15" thickBot="1" x14ac:dyDescent="0.35">
      <c r="B66" s="484" t="s">
        <v>539</v>
      </c>
      <c r="C66" s="485">
        <f>C58+C65</f>
        <v>0</v>
      </c>
      <c r="D66" s="485">
        <f t="shared" ref="D66:G66" si="63">D58+D65</f>
        <v>0</v>
      </c>
      <c r="E66" s="485">
        <f t="shared" si="63"/>
        <v>0</v>
      </c>
      <c r="F66" s="485">
        <f t="shared" si="63"/>
        <v>0</v>
      </c>
      <c r="G66" s="486">
        <f t="shared" si="63"/>
        <v>0</v>
      </c>
      <c r="P66" s="447" t="s">
        <v>561</v>
      </c>
      <c r="Q66" s="457">
        <f>-Q43</f>
        <v>42.967065868263475</v>
      </c>
      <c r="R66" s="457">
        <f t="shared" ref="R66:T66" si="64">-R43</f>
        <v>47.197916666666664</v>
      </c>
      <c r="S66" s="457">
        <f t="shared" si="64"/>
        <v>29.876811594202898</v>
      </c>
      <c r="T66" s="493">
        <f t="shared" si="64"/>
        <v>32.081911262798634</v>
      </c>
    </row>
    <row r="67" spans="2:20" x14ac:dyDescent="0.3">
      <c r="P67" s="448" t="s">
        <v>562</v>
      </c>
      <c r="Q67" s="494">
        <f>Q61+Q64+Q65+Q66</f>
        <v>24.999999999999986</v>
      </c>
      <c r="R67" s="494">
        <f t="shared" ref="R67:T67" si="65">R61+R64+R65+R66</f>
        <v>593.99999999999989</v>
      </c>
      <c r="S67" s="494">
        <f t="shared" si="65"/>
        <v>-261</v>
      </c>
      <c r="T67" s="495">
        <f t="shared" si="65"/>
        <v>-32.000000000000021</v>
      </c>
    </row>
    <row r="68" spans="2:20" x14ac:dyDescent="0.3">
      <c r="P68" s="497" t="s">
        <v>413</v>
      </c>
      <c r="Q68" s="498">
        <f>Q67/Q41</f>
        <v>5.592841163310959E-2</v>
      </c>
      <c r="R68" s="498">
        <f t="shared" ref="R68:T68" si="66">R67/R41</f>
        <v>0.83193277310924352</v>
      </c>
      <c r="S68" s="498">
        <f t="shared" si="66"/>
        <v>-0.51479289940828399</v>
      </c>
      <c r="T68" s="499">
        <f t="shared" si="66"/>
        <v>-4.6647230320699742E-2</v>
      </c>
    </row>
    <row r="69" spans="2:20" x14ac:dyDescent="0.3">
      <c r="P69" s="446"/>
      <c r="Q69" s="449"/>
      <c r="R69" s="449"/>
      <c r="S69" s="449"/>
      <c r="T69" s="454"/>
    </row>
    <row r="70" spans="2:20" x14ac:dyDescent="0.3">
      <c r="P70" s="447" t="s">
        <v>418</v>
      </c>
      <c r="Q70" s="451">
        <f>C60-D60-K57</f>
        <v>105</v>
      </c>
      <c r="R70" s="451">
        <f t="shared" ref="R70:T70" si="67">D60-E60-L57</f>
        <v>-557</v>
      </c>
      <c r="S70" s="451">
        <f t="shared" si="67"/>
        <v>139</v>
      </c>
      <c r="T70" s="456">
        <f t="shared" si="67"/>
        <v>-265</v>
      </c>
    </row>
    <row r="71" spans="2:20" x14ac:dyDescent="0.3">
      <c r="P71" s="448" t="s">
        <v>563</v>
      </c>
      <c r="Q71" s="494">
        <f>Q67+Q70</f>
        <v>130</v>
      </c>
      <c r="R71" s="494">
        <f t="shared" ref="R71:T71" si="68">R67+R70</f>
        <v>36.999999999999886</v>
      </c>
      <c r="S71" s="494">
        <f t="shared" si="68"/>
        <v>-122</v>
      </c>
      <c r="T71" s="495">
        <f t="shared" si="68"/>
        <v>-297</v>
      </c>
    </row>
    <row r="72" spans="2:20" x14ac:dyDescent="0.3">
      <c r="P72" s="446"/>
      <c r="Q72" s="449"/>
      <c r="R72" s="449"/>
      <c r="S72" s="449"/>
      <c r="T72" s="454"/>
    </row>
    <row r="73" spans="2:20" x14ac:dyDescent="0.3">
      <c r="P73" s="448" t="s">
        <v>564</v>
      </c>
      <c r="Q73" s="450">
        <f>D63-C63</f>
        <v>130</v>
      </c>
      <c r="R73" s="450">
        <f t="shared" ref="R73:T73" si="69">E63-D63</f>
        <v>37</v>
      </c>
      <c r="S73" s="450">
        <f t="shared" si="69"/>
        <v>-122</v>
      </c>
      <c r="T73" s="477">
        <f t="shared" si="69"/>
        <v>-297</v>
      </c>
    </row>
    <row r="74" spans="2:20" x14ac:dyDescent="0.3">
      <c r="P74" s="295"/>
      <c r="Q74" s="55"/>
      <c r="R74" s="55"/>
      <c r="S74" s="55"/>
      <c r="T74" s="341"/>
    </row>
    <row r="75" spans="2:20" ht="15" thickBot="1" x14ac:dyDescent="0.35">
      <c r="P75" s="511" t="s">
        <v>569</v>
      </c>
      <c r="Q75" s="512">
        <f>Q71-Q73</f>
        <v>0</v>
      </c>
      <c r="R75" s="512">
        <f t="shared" ref="R75:T75" si="70">R71-R73</f>
        <v>-1.1368683772161603E-13</v>
      </c>
      <c r="S75" s="512">
        <f t="shared" si="70"/>
        <v>0</v>
      </c>
      <c r="T75" s="513">
        <f t="shared" si="70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workbookViewId="0">
      <selection activeCell="C27" sqref="C27"/>
    </sheetView>
  </sheetViews>
  <sheetFormatPr defaultRowHeight="14.4" x14ac:dyDescent="0.3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 x14ac:dyDescent="0.3">
      <c r="A11" s="119" t="s">
        <v>335</v>
      </c>
      <c r="B11" s="116" t="s">
        <v>336</v>
      </c>
      <c r="C11" s="118">
        <f ca="1">#REF!*(1-0.279)/'Balance sheet'!F93</f>
        <v>1.5816243240485663E-2</v>
      </c>
      <c r="D11" s="118">
        <f ca="1">#REF!*(1-0.279)/'Balance sheet'!G93</f>
        <v>3.0750264754019443E-2</v>
      </c>
      <c r="E11" s="118">
        <f ca="1">#REF!*(1-0.279)/'Balance sheet'!H93</f>
        <v>5.1453412403256606E-2</v>
      </c>
      <c r="F11" s="118">
        <f ca="1">#REF!*(1-0.279)/'Balance sheet'!I93</f>
        <v>4.1028549308042193E-2</v>
      </c>
      <c r="G11" s="118">
        <f ca="1">#REF!*(1-0.279)/'Balance sheet'!J93</f>
        <v>4.6184335664335663E-2</v>
      </c>
      <c r="H11" s="117"/>
      <c r="I11" s="117"/>
      <c r="J11" s="117"/>
      <c r="K11" s="117"/>
      <c r="L11" s="117"/>
      <c r="M11" s="117"/>
    </row>
    <row r="13" spans="1:13" x14ac:dyDescent="0.3">
      <c r="A13" s="119" t="s">
        <v>338</v>
      </c>
      <c r="B13" t="s">
        <v>337</v>
      </c>
      <c r="C13" s="118">
        <f ca="1">('Income Statement'!E77+('Income Statement'!J48*(1-0.279)))/('Balance sheet'!F93)</f>
        <v>1.7747168656259565E-2</v>
      </c>
      <c r="D13" s="118">
        <f ca="1">('Income Statement'!F77+'Income Statement'!K48)*(1-0.279)/('Balance sheet'!G93)</f>
        <v>2.5405410609415612E-2</v>
      </c>
      <c r="E13" s="118">
        <f ca="1">('Income Statement'!G77+'Income Statement'!L48)*(1-0.279)/('Balance sheet'!H93)</f>
        <v>2.9422655543270681E-2</v>
      </c>
      <c r="F13" s="118">
        <f ca="1">('Income Statement'!H77+'Income Statement'!M48)*(1-0.279)/('Balance sheet'!I93)</f>
        <v>3.1538952869447398E-2</v>
      </c>
      <c r="G13" s="118">
        <f ca="1">('Income Statement'!I77+'Income Statement'!N48)*(1-0.279)/('Balance sheet'!J93)</f>
        <v>3.273911421911422E-2</v>
      </c>
      <c r="I13" t="s">
        <v>339</v>
      </c>
    </row>
    <row r="15" spans="1:13" x14ac:dyDescent="0.3">
      <c r="B15" s="116"/>
    </row>
    <row r="17" spans="1:13" x14ac:dyDescent="0.3">
      <c r="A17" t="s">
        <v>341</v>
      </c>
      <c r="B17" s="116" t="s">
        <v>340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  <c r="M17" t="e">
        <f>'Income Statement'!P38*(1-0.279)/('Balance sheet'!#REF!+'Balance sheet'!#REF!)</f>
        <v>#REF!</v>
      </c>
    </row>
    <row r="18" spans="1:13" x14ac:dyDescent="0.3">
      <c r="A18" t="s">
        <v>342</v>
      </c>
      <c r="B18" t="s">
        <v>343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3" x14ac:dyDescent="0.3">
      <c r="A19" t="s">
        <v>344</v>
      </c>
      <c r="B19" s="116" t="s">
        <v>345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3" x14ac:dyDescent="0.3">
      <c r="B20" t="s">
        <v>346</v>
      </c>
    </row>
    <row r="22" spans="1:13" x14ac:dyDescent="0.3">
      <c r="A22" s="116" t="s">
        <v>347</v>
      </c>
      <c r="C22">
        <f>C19</f>
        <v>5.0315532451165712E-2</v>
      </c>
    </row>
    <row r="24" spans="1:13" x14ac:dyDescent="0.3">
      <c r="A24" s="116" t="s">
        <v>348</v>
      </c>
      <c r="B24" t="s">
        <v>349</v>
      </c>
      <c r="C24" s="118">
        <f>'Income Statement'!E77/'Balance sheet'!F108</f>
        <v>2.7588813303099018E-2</v>
      </c>
      <c r="D24" s="118">
        <f>'Income Statement'!F77/'Balance sheet'!G108</f>
        <v>8.5106382978723402E-2</v>
      </c>
      <c r="E24" s="118">
        <f>'Income Statement'!G77/'Balance sheet'!P98</f>
        <v>5254.7236842105258</v>
      </c>
      <c r="F24" s="118">
        <f>'Income Statement'!H77/'Balance sheet'!H108</f>
        <v>0.11952744961779013</v>
      </c>
      <c r="G24" s="118">
        <f>'Income Statement'!I77/'Balance sheet'!J108</f>
        <v>0.11827303131650958</v>
      </c>
      <c r="H24" s="118">
        <f>'Income Statement'!O76/'Balance sheet'!I108</f>
        <v>0</v>
      </c>
    </row>
    <row r="25" spans="1:13" x14ac:dyDescent="0.3">
      <c r="A25" t="s">
        <v>350</v>
      </c>
      <c r="C25" s="118">
        <f>'Income Statement'!E77/(('Balance sheet'!F110+'Balance sheet'!G110)/2)</f>
        <v>2.2330988069746101E-2</v>
      </c>
      <c r="D25" s="118">
        <f>'Income Statement'!F77/(('Balance sheet'!G110+'Balance sheet'!H110)/2)</f>
        <v>7.3744437380801012E-2</v>
      </c>
      <c r="E25" s="118">
        <f>'Income Statement'!G77/(('Balance sheet'!H110+'Balance sheet'!I110)/2)</f>
        <v>8.9657282741738065E-2</v>
      </c>
      <c r="F25" s="118">
        <f>'Income Statement'!H77/(('Balance sheet'!I110+'Balance sheet'!J110)/2)</f>
        <v>9.5901867856147197E-2</v>
      </c>
      <c r="G25" s="118">
        <f>'Income Statement'!I77/(('Balance sheet'!J110+'Balance sheet'!K107)/2)</f>
        <v>0.21309230347849903</v>
      </c>
      <c r="H25" s="118" t="e">
        <f>'Income Statement'!J77/(('Balance sheet'!K107+'Balance sheet'!L107)/2)</f>
        <v>#DIV/0!</v>
      </c>
      <c r="I25" s="118" t="e">
        <f>'Income Statement'!K77/(('Balance sheet'!L107+'Balance sheet'!M103)/2)</f>
        <v>#DIV/0!</v>
      </c>
    </row>
    <row r="27" spans="1:13" x14ac:dyDescent="0.3">
      <c r="A27" s="116" t="s">
        <v>351</v>
      </c>
      <c r="B27" t="s">
        <v>352</v>
      </c>
      <c r="C27" s="111">
        <f>C19+('Balance sheet'!F119/'Balance sheet'!F110)*(C19-('Income Statement'!J48/'Balance sheet'!F119)*(1-0.279))</f>
        <v>6.7033752684872633E-2</v>
      </c>
      <c r="D27" s="111">
        <f>D19+('Balance sheet'!G119/'Balance sheet'!G110)*(D19-('Income Statement'!K48/'Balance sheet'!G119)*(1-0.279))</f>
        <v>0.12665324794144556</v>
      </c>
      <c r="E27" s="111">
        <f>E19+('Balance sheet'!H119/'Balance sheet'!H110)*(E19-('Income Statement'!L48/'Balance sheet'!H119)*(1-0.279))</f>
        <v>-14734.556945867167</v>
      </c>
      <c r="F27" s="111">
        <f>F19+('Balance sheet'!I119/'Balance sheet'!I110)*(F19-('Income Statement'!M48/'Balance sheet'!I119)*(1-0.279))</f>
        <v>0.11834422860572102</v>
      </c>
      <c r="G27" s="111">
        <f>G19+('Balance sheet'!J119/'Balance sheet'!J110)*(G19-('Income Statement'!N48/'Balance sheet'!J119)*(1-0.279))</f>
        <v>-1.9353053957819777E-2</v>
      </c>
      <c r="H27" s="111" t="e">
        <f>H19+('Balance sheet'!K116/'Balance sheet'!K107)*(H19-('Income Statement'!O48/'Balance sheet'!K116)*(1-0.279))</f>
        <v>#DIV/0!</v>
      </c>
      <c r="I27" s="111" t="e">
        <f>I19+('Balance sheet'!L116/'Balance sheet'!L107)*(I19-('Income Statement'!P48/'Balance sheet'!L116)*(1-0.279))</f>
        <v>#DIV/0!</v>
      </c>
      <c r="J27" s="111" t="e">
        <f>J19+('Balance sheet'!M112/'Balance sheet'!M103)*(J19-('Income Statement'!Q48/'Balance sheet'!M112)*(1-0.279))</f>
        <v>#DIV/0!</v>
      </c>
    </row>
    <row r="29" spans="1:13" x14ac:dyDescent="0.3">
      <c r="C29">
        <f>('Balance sheet'!F119/'Balance sheet'!F110)</f>
        <v>0.94783675974225223</v>
      </c>
    </row>
    <row r="34" spans="1:11" x14ac:dyDescent="0.3">
      <c r="A34" t="s">
        <v>353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3">
      <c r="C35" t="s">
        <v>355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3">
      <c r="A37" s="116" t="s">
        <v>354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3">
      <c r="A40" t="s">
        <v>356</v>
      </c>
    </row>
    <row r="44" spans="1:11" x14ac:dyDescent="0.3">
      <c r="A44" t="s">
        <v>357</v>
      </c>
      <c r="C44">
        <f>'Income Statement'!F39/'Income Statement'!J48</f>
        <v>3.1642857142857141</v>
      </c>
      <c r="D44">
        <f>'Income Statement'!G39/'Income Statement'!K48</f>
        <v>5.2985074626865671</v>
      </c>
      <c r="E44">
        <f>'Income Statement'!H39/'Income Statement'!L48</f>
        <v>5.2035398230088497</v>
      </c>
      <c r="F44">
        <f>'Income Statement'!I39/'Income Statement'!M48</f>
        <v>6.3611111111111107</v>
      </c>
      <c r="G44">
        <f>'Income Statement'!J39/'Income Statement'!N48</f>
        <v>0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3">
      <c r="A48" s="116" t="s">
        <v>358</v>
      </c>
      <c r="C48">
        <f>'[1]CF S '!$C$22/'[2]FCFE Computation'!$D$11</f>
        <v>1.4864433811802233</v>
      </c>
    </row>
    <row r="53" spans="1:1" x14ac:dyDescent="0.3">
      <c r="A53" s="116" t="s">
        <v>359</v>
      </c>
    </row>
    <row r="54" spans="1:1" x14ac:dyDescent="0.3">
      <c r="A54" s="116" t="s">
        <v>360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:R71"/>
  <sheetViews>
    <sheetView workbookViewId="0">
      <selection activeCell="Q52" sqref="Q52"/>
    </sheetView>
  </sheetViews>
  <sheetFormatPr defaultRowHeight="14.4" x14ac:dyDescent="0.3"/>
  <cols>
    <col min="1" max="1" width="37.33203125" customWidth="1"/>
    <col min="2" max="2" width="17.44140625" customWidth="1"/>
    <col min="3" max="3" width="25.21875" customWidth="1"/>
    <col min="4" max="4" width="17.77734375" customWidth="1"/>
    <col min="5" max="5" width="21.77734375" customWidth="1"/>
    <col min="6" max="6" width="22.21875" customWidth="1"/>
    <col min="7" max="7" width="8.77734375" customWidth="1"/>
    <col min="8" max="8" width="14.109375" customWidth="1"/>
    <col min="10" max="10" width="11.88671875" customWidth="1"/>
    <col min="11" max="11" width="13.109375" customWidth="1"/>
    <col min="12" max="12" width="19.109375" customWidth="1"/>
    <col min="13" max="13" width="31.6640625" customWidth="1"/>
    <col min="14" max="14" width="13.5546875" customWidth="1"/>
    <col min="15" max="17" width="21.6640625" customWidth="1"/>
    <col min="18" max="18" width="20.5546875" customWidth="1"/>
  </cols>
  <sheetData>
    <row r="1" spans="1:18" x14ac:dyDescent="0.3">
      <c r="A1" s="112" t="s">
        <v>434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113"/>
    </row>
    <row r="2" spans="1:18" x14ac:dyDescent="0.3">
      <c r="A2" s="10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07"/>
    </row>
    <row r="3" spans="1:18" x14ac:dyDescent="0.3">
      <c r="A3" s="10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07"/>
    </row>
    <row r="4" spans="1:18" x14ac:dyDescent="0.3">
      <c r="A4" s="10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07"/>
    </row>
    <row r="5" spans="1:18" x14ac:dyDescent="0.3">
      <c r="A5" s="10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07"/>
    </row>
    <row r="6" spans="1:18" x14ac:dyDescent="0.3">
      <c r="A6" s="10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07"/>
    </row>
    <row r="7" spans="1:18" x14ac:dyDescent="0.3">
      <c r="A7" s="10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07"/>
    </row>
    <row r="8" spans="1:18" x14ac:dyDescent="0.3">
      <c r="A8" s="10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07"/>
    </row>
    <row r="9" spans="1:18" x14ac:dyDescent="0.3">
      <c r="A9" s="10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07"/>
    </row>
    <row r="10" spans="1:18" x14ac:dyDescent="0.3">
      <c r="A10" s="10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07"/>
    </row>
    <row r="11" spans="1:18" ht="15" thickBot="1" x14ac:dyDescent="0.35">
      <c r="A11" s="108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109"/>
    </row>
    <row r="36" spans="1:18" ht="15" thickBot="1" x14ac:dyDescent="0.35"/>
    <row r="37" spans="1:18" ht="15" thickBot="1" x14ac:dyDescent="0.35">
      <c r="A37" s="331" t="s">
        <v>435</v>
      </c>
      <c r="B37" s="84"/>
      <c r="C37" s="84"/>
      <c r="D37" s="84"/>
      <c r="E37" s="84"/>
      <c r="F37" s="84"/>
      <c r="G37" s="84"/>
      <c r="H37" s="84"/>
      <c r="I37" s="84"/>
      <c r="J37" s="113"/>
      <c r="K37" s="508" t="s">
        <v>478</v>
      </c>
      <c r="L37" s="365"/>
      <c r="M37" s="362"/>
      <c r="N37" s="377" t="s">
        <v>459</v>
      </c>
      <c r="O37" s="311" t="s">
        <v>485</v>
      </c>
      <c r="P37" s="354"/>
      <c r="Q37" s="377" t="s">
        <v>459</v>
      </c>
      <c r="R37" s="354" t="s">
        <v>485</v>
      </c>
    </row>
    <row r="38" spans="1:18" ht="15" thickBot="1" x14ac:dyDescent="0.35">
      <c r="A38" s="349" t="s">
        <v>436</v>
      </c>
      <c r="B38" s="350"/>
      <c r="C38" s="349" t="s">
        <v>437</v>
      </c>
      <c r="D38" s="350"/>
      <c r="E38" s="349" t="s">
        <v>438</v>
      </c>
      <c r="F38" s="350"/>
      <c r="G38" s="324"/>
      <c r="H38" s="324"/>
      <c r="I38" s="324"/>
      <c r="J38" s="107"/>
      <c r="K38" s="55"/>
      <c r="L38" s="351" t="s">
        <v>460</v>
      </c>
      <c r="M38" s="311" t="s">
        <v>461</v>
      </c>
      <c r="N38" s="364">
        <f>'Balance sheet'!J110</f>
        <v>3651</v>
      </c>
      <c r="O38" s="364">
        <f>'Balance sheet'!J110</f>
        <v>3651</v>
      </c>
      <c r="P38" s="364" t="s">
        <v>481</v>
      </c>
      <c r="Q38" s="364">
        <f>N38/(N38+N40)</f>
        <v>0.50275406224180663</v>
      </c>
      <c r="R38" s="364">
        <f>O38/(O38+O40)</f>
        <v>0.50275406224180663</v>
      </c>
    </row>
    <row r="39" spans="1:18" ht="15" thickBot="1" x14ac:dyDescent="0.35">
      <c r="A39" s="295" t="s">
        <v>439</v>
      </c>
      <c r="B39" s="335">
        <v>-7.2081146095294803E-4</v>
      </c>
      <c r="C39" s="295" t="s">
        <v>440</v>
      </c>
      <c r="D39" s="339">
        <v>-7.2081146095294803E-4</v>
      </c>
      <c r="E39" s="295"/>
      <c r="F39" s="341"/>
      <c r="G39" s="324"/>
      <c r="H39" s="324"/>
      <c r="I39" s="324"/>
      <c r="J39" s="107"/>
      <c r="K39" s="55"/>
      <c r="L39" s="351" t="s">
        <v>462</v>
      </c>
      <c r="M39" s="311" t="s">
        <v>463</v>
      </c>
      <c r="N39" s="364">
        <f>PRODUCT(1.67,3109.183856)</f>
        <v>5192.33703952</v>
      </c>
      <c r="O39" s="364">
        <f>PRODUCT(1.12,3109.183856)</f>
        <v>3482.2859187200006</v>
      </c>
      <c r="P39" s="364" t="s">
        <v>482</v>
      </c>
      <c r="Q39" s="364">
        <f>N40/(N38+N40)</f>
        <v>0.49724593775819331</v>
      </c>
      <c r="R39" s="364">
        <f>O40/(O38+O40)</f>
        <v>0.49724593775819331</v>
      </c>
    </row>
    <row r="40" spans="1:18" ht="15" thickBot="1" x14ac:dyDescent="0.35">
      <c r="A40" s="336" t="s">
        <v>441</v>
      </c>
      <c r="B40" s="337">
        <v>1.4999999999999999E-2</v>
      </c>
      <c r="C40" s="336" t="s">
        <v>442</v>
      </c>
      <c r="D40" s="337">
        <v>1.4999999999999999E-2</v>
      </c>
      <c r="E40" s="343" t="s">
        <v>477</v>
      </c>
      <c r="F40" s="347">
        <f>M53</f>
        <v>1.8253033707865168E-2</v>
      </c>
      <c r="G40" s="324"/>
      <c r="H40" s="325"/>
      <c r="I40" s="325"/>
      <c r="J40" s="107"/>
      <c r="K40" s="55"/>
      <c r="L40" s="352" t="s">
        <v>464</v>
      </c>
      <c r="M40" s="311" t="s">
        <v>486</v>
      </c>
      <c r="N40" s="364">
        <f>-'Reorganised Statements'!H39</f>
        <v>3611</v>
      </c>
      <c r="O40" s="364">
        <f>-'Reorganised Statements'!H39</f>
        <v>3611</v>
      </c>
      <c r="P40" s="373"/>
      <c r="Q40" s="373"/>
      <c r="R40" s="341"/>
    </row>
    <row r="41" spans="1:18" ht="15" thickBot="1" x14ac:dyDescent="0.35">
      <c r="A41" s="338" t="s">
        <v>443</v>
      </c>
      <c r="B41" s="339">
        <f>SUM(B39:B40)</f>
        <v>1.4279188539047052E-2</v>
      </c>
      <c r="C41" s="345" t="s">
        <v>443</v>
      </c>
      <c r="D41" s="339">
        <f>SUM(D39:D40)</f>
        <v>1.4279188539047052E-2</v>
      </c>
      <c r="E41" s="295"/>
      <c r="F41" s="341"/>
      <c r="G41" s="324"/>
      <c r="H41" s="324"/>
      <c r="I41" s="324"/>
      <c r="J41" s="107"/>
      <c r="K41" s="55"/>
      <c r="L41" s="353" t="s">
        <v>465</v>
      </c>
      <c r="M41" s="354"/>
      <c r="N41" s="363">
        <f>(SUM(N42:N44))</f>
        <v>3754</v>
      </c>
      <c r="O41" s="363">
        <f>(SUM(O42:O44))</f>
        <v>3754</v>
      </c>
      <c r="P41" s="364" t="s">
        <v>483</v>
      </c>
      <c r="Q41" s="364">
        <f>N39/(N39+N41)</f>
        <v>0.58038692445669204</v>
      </c>
      <c r="R41" s="364">
        <f>O39/(O39+O41)</f>
        <v>0.48122558420632017</v>
      </c>
    </row>
    <row r="42" spans="1:18" ht="15" thickBot="1" x14ac:dyDescent="0.35">
      <c r="A42" s="336" t="s">
        <v>444</v>
      </c>
      <c r="B42" s="337">
        <v>0.27900000000000003</v>
      </c>
      <c r="C42" s="336" t="s">
        <v>444</v>
      </c>
      <c r="D42" s="337">
        <v>0.27900000000000003</v>
      </c>
      <c r="E42" s="336" t="s">
        <v>444</v>
      </c>
      <c r="F42" s="337">
        <v>0.27900000000000003</v>
      </c>
      <c r="G42" s="324"/>
      <c r="H42" s="326"/>
      <c r="I42" s="326"/>
      <c r="J42" s="107"/>
      <c r="K42" s="55"/>
      <c r="L42" s="295"/>
      <c r="M42" s="355" t="s">
        <v>466</v>
      </c>
      <c r="N42" s="356">
        <v>3635</v>
      </c>
      <c r="O42" s="355">
        <v>3635</v>
      </c>
      <c r="P42" s="374" t="s">
        <v>484</v>
      </c>
      <c r="Q42" s="364">
        <f>1-Q41</f>
        <v>0.41961307554330796</v>
      </c>
      <c r="R42" s="364">
        <f>1-R41</f>
        <v>0.51877441579367978</v>
      </c>
    </row>
    <row r="43" spans="1:18" x14ac:dyDescent="0.3">
      <c r="A43" s="338" t="s">
        <v>445</v>
      </c>
      <c r="B43" s="340">
        <f>PRODUCT(B41,(1-B42))</f>
        <v>1.0295294936652924E-2</v>
      </c>
      <c r="C43" s="338" t="s">
        <v>445</v>
      </c>
      <c r="D43" s="340">
        <f>PRODUCT(D41,(1-D42))</f>
        <v>1.0295294936652924E-2</v>
      </c>
      <c r="E43" s="338" t="s">
        <v>446</v>
      </c>
      <c r="F43" s="340">
        <f>PRODUCT(F40,(1-F42))</f>
        <v>1.3160437303370786E-2</v>
      </c>
      <c r="G43" s="324"/>
      <c r="H43" s="316"/>
      <c r="I43" s="316"/>
      <c r="J43" s="107"/>
      <c r="K43" s="55"/>
      <c r="L43" s="295"/>
      <c r="M43" s="355" t="s">
        <v>109</v>
      </c>
      <c r="N43" s="356">
        <v>2</v>
      </c>
      <c r="O43" s="355">
        <v>2</v>
      </c>
      <c r="P43" s="55"/>
      <c r="Q43" s="55"/>
      <c r="R43" s="341"/>
    </row>
    <row r="44" spans="1:18" ht="15" thickBot="1" x14ac:dyDescent="0.35">
      <c r="A44" s="295"/>
      <c r="B44" s="341"/>
      <c r="C44" s="295"/>
      <c r="D44" s="341"/>
      <c r="E44" s="295"/>
      <c r="F44" s="348"/>
      <c r="G44" s="324"/>
      <c r="H44" s="317"/>
      <c r="I44" s="317"/>
      <c r="J44" s="107"/>
      <c r="K44" s="55"/>
      <c r="L44" s="307"/>
      <c r="M44" s="357" t="s">
        <v>467</v>
      </c>
      <c r="N44" s="358">
        <v>117</v>
      </c>
      <c r="O44" s="357">
        <v>117</v>
      </c>
      <c r="P44" s="55"/>
      <c r="Q44" s="55"/>
      <c r="R44" s="341"/>
    </row>
    <row r="45" spans="1:18" x14ac:dyDescent="0.3">
      <c r="A45" s="338" t="s">
        <v>447</v>
      </c>
      <c r="B45" s="335">
        <v>-7.2081146095294803E-4</v>
      </c>
      <c r="C45" s="295" t="s">
        <v>447</v>
      </c>
      <c r="D45" s="339">
        <v>-7.2081146095294803E-4</v>
      </c>
      <c r="E45" s="295" t="s">
        <v>447</v>
      </c>
      <c r="F45" s="335">
        <v>-7.2081146095294803E-4</v>
      </c>
      <c r="G45" s="324"/>
      <c r="H45" s="322"/>
      <c r="I45" s="322"/>
      <c r="J45" s="318"/>
      <c r="K45" s="55"/>
      <c r="L45" s="295"/>
      <c r="M45" s="55"/>
      <c r="N45" s="55"/>
      <c r="O45" s="55"/>
      <c r="P45" s="55"/>
      <c r="Q45" s="55"/>
      <c r="R45" s="341"/>
    </row>
    <row r="46" spans="1:18" ht="15" thickBot="1" x14ac:dyDescent="0.35">
      <c r="A46" s="295" t="s">
        <v>448</v>
      </c>
      <c r="B46" s="342">
        <v>2.99661426831043E-2</v>
      </c>
      <c r="C46" s="295" t="s">
        <v>448</v>
      </c>
      <c r="D46" s="342">
        <v>2.99661426831043E-2</v>
      </c>
      <c r="E46" s="295" t="s">
        <v>448</v>
      </c>
      <c r="F46" s="342">
        <v>2.99661426831043E-2</v>
      </c>
      <c r="G46" s="324"/>
      <c r="H46" s="325"/>
      <c r="I46" s="325"/>
      <c r="J46" s="107"/>
      <c r="K46" s="367" t="s">
        <v>479</v>
      </c>
      <c r="L46" s="366"/>
      <c r="M46" s="367"/>
      <c r="N46" s="55"/>
      <c r="O46" s="55"/>
      <c r="P46" s="55"/>
      <c r="Q46" s="55"/>
      <c r="R46" s="341"/>
    </row>
    <row r="47" spans="1:18" x14ac:dyDescent="0.3">
      <c r="A47" s="295" t="s">
        <v>449</v>
      </c>
      <c r="B47" s="340">
        <v>4.0205104717786398E-2</v>
      </c>
      <c r="C47" s="295" t="s">
        <v>449</v>
      </c>
      <c r="D47" s="342">
        <v>4.0205104717786398E-2</v>
      </c>
      <c r="E47" s="295" t="s">
        <v>449</v>
      </c>
      <c r="F47" s="340">
        <v>4.0205104717786398E-2</v>
      </c>
      <c r="G47" s="324"/>
      <c r="H47" s="316"/>
      <c r="I47" s="316"/>
      <c r="J47" s="107"/>
      <c r="K47" s="55"/>
      <c r="L47" s="368"/>
      <c r="M47" s="70" t="s">
        <v>468</v>
      </c>
      <c r="N47" s="70" t="s">
        <v>469</v>
      </c>
      <c r="O47" s="70" t="s">
        <v>470</v>
      </c>
      <c r="P47" s="55"/>
      <c r="Q47" s="55"/>
      <c r="R47" s="341"/>
    </row>
    <row r="48" spans="1:18" x14ac:dyDescent="0.3">
      <c r="A48" s="338" t="s">
        <v>450</v>
      </c>
      <c r="B48" s="342">
        <f>SUM(B46:B47)</f>
        <v>7.0171247400890702E-2</v>
      </c>
      <c r="C48" s="295" t="s">
        <v>450</v>
      </c>
      <c r="D48" s="342">
        <f>SUM(D46:D47)</f>
        <v>7.0171247400890702E-2</v>
      </c>
      <c r="E48" s="295" t="s">
        <v>450</v>
      </c>
      <c r="F48" s="342">
        <f>SUM(F46:F47)</f>
        <v>7.0171247400890702E-2</v>
      </c>
      <c r="G48" s="324"/>
      <c r="H48" s="325"/>
      <c r="I48" s="325"/>
      <c r="J48" s="107"/>
      <c r="K48" s="55"/>
      <c r="L48" s="369" t="s">
        <v>471</v>
      </c>
      <c r="M48" s="70">
        <v>3.6880000000000003E-2</v>
      </c>
      <c r="N48" s="70">
        <v>2</v>
      </c>
      <c r="O48" s="70">
        <v>500</v>
      </c>
      <c r="P48" s="55"/>
      <c r="Q48" s="55"/>
      <c r="R48" s="341"/>
    </row>
    <row r="49" spans="1:18" x14ac:dyDescent="0.3">
      <c r="A49" s="343" t="s">
        <v>451</v>
      </c>
      <c r="B49" s="344">
        <v>0.87311649000000002</v>
      </c>
      <c r="C49" s="336" t="s">
        <v>452</v>
      </c>
      <c r="D49" s="346">
        <v>0.83109791342430983</v>
      </c>
      <c r="E49" s="336" t="s">
        <v>451</v>
      </c>
      <c r="F49" s="344">
        <v>0.87311649000000002</v>
      </c>
      <c r="G49" s="324"/>
      <c r="H49" s="319"/>
      <c r="I49" s="319"/>
      <c r="J49" s="107"/>
      <c r="K49" s="55"/>
      <c r="L49" s="369" t="s">
        <v>472</v>
      </c>
      <c r="M49" s="70">
        <v>1.8360000000000001E-2</v>
      </c>
      <c r="N49" s="70">
        <v>5</v>
      </c>
      <c r="O49" s="70">
        <v>300</v>
      </c>
      <c r="P49" s="55"/>
      <c r="Q49" s="55"/>
      <c r="R49" s="341"/>
    </row>
    <row r="50" spans="1:18" x14ac:dyDescent="0.3">
      <c r="A50" s="295" t="s">
        <v>453</v>
      </c>
      <c r="B50" s="339">
        <f>B45+PRODUCT(B49,B48)</f>
        <v>6.0546861768634365E-2</v>
      </c>
      <c r="C50" s="295" t="s">
        <v>453</v>
      </c>
      <c r="D50" s="339">
        <f>D45+PRODUCT(D48:D49)</f>
        <v>5.7598365836308334E-2</v>
      </c>
      <c r="E50" s="295" t="s">
        <v>453</v>
      </c>
      <c r="F50" s="339">
        <f>SUM(F45,PRODUCT(F49,F48))</f>
        <v>6.0546861768634365E-2</v>
      </c>
      <c r="G50" s="324"/>
      <c r="H50" s="327"/>
      <c r="I50" s="327"/>
      <c r="J50" s="107"/>
      <c r="K50" s="55"/>
      <c r="L50" s="369" t="s">
        <v>473</v>
      </c>
      <c r="M50" s="70">
        <v>1.7680000000000001E-2</v>
      </c>
      <c r="N50" s="70">
        <v>8</v>
      </c>
      <c r="O50" s="70">
        <v>300</v>
      </c>
      <c r="P50" s="55"/>
      <c r="Q50" s="55"/>
      <c r="R50" s="341"/>
    </row>
    <row r="51" spans="1:18" ht="15" thickBot="1" x14ac:dyDescent="0.35">
      <c r="A51" s="295"/>
      <c r="B51" s="341"/>
      <c r="C51" s="295"/>
      <c r="D51" s="341"/>
      <c r="E51" s="295"/>
      <c r="F51" s="341"/>
      <c r="G51" s="324"/>
      <c r="H51" s="324"/>
      <c r="I51" s="324"/>
      <c r="J51" s="107"/>
      <c r="K51" s="55"/>
      <c r="L51" s="370" t="s">
        <v>474</v>
      </c>
      <c r="M51" s="70">
        <v>1.3899999999999999E-2</v>
      </c>
      <c r="N51" s="70">
        <v>10</v>
      </c>
      <c r="O51" s="70">
        <v>400</v>
      </c>
      <c r="P51" s="55"/>
      <c r="Q51" s="55"/>
      <c r="R51" s="341"/>
    </row>
    <row r="52" spans="1:18" ht="15" thickBot="1" x14ac:dyDescent="0.35">
      <c r="A52" s="333" t="s">
        <v>454</v>
      </c>
      <c r="B52" s="375">
        <f>B43*Q39 + B50*Q38</f>
        <v>3.5559474295447223E-2</v>
      </c>
      <c r="C52" s="333" t="s">
        <v>475</v>
      </c>
      <c r="D52" s="334"/>
      <c r="E52" s="333" t="s">
        <v>476</v>
      </c>
      <c r="F52" s="375">
        <f>F43*Q39+Q38*F50</f>
        <v>3.6984154698396575E-2</v>
      </c>
      <c r="G52" s="324"/>
      <c r="H52" s="323"/>
      <c r="I52" s="323"/>
      <c r="J52" s="107"/>
      <c r="K52" s="55"/>
      <c r="L52" s="295"/>
      <c r="M52" s="55"/>
      <c r="N52" s="55"/>
      <c r="O52" s="55"/>
      <c r="P52" s="55"/>
      <c r="Q52" s="55"/>
      <c r="R52" s="341"/>
    </row>
    <row r="53" spans="1:18" ht="15" thickBot="1" x14ac:dyDescent="0.35">
      <c r="A53" s="332" t="s">
        <v>455</v>
      </c>
      <c r="B53" s="376">
        <f>B43*Q42+B50*Q41</f>
        <v>3.9460647259396547E-2</v>
      </c>
      <c r="C53" s="332" t="s">
        <v>455</v>
      </c>
      <c r="D53" s="376">
        <f>Q42*D43+D50*Q41</f>
        <v>3.7749378773460775E-2</v>
      </c>
      <c r="E53" s="332" t="s">
        <v>455</v>
      </c>
      <c r="F53" s="376">
        <f>F43*Q42+Q41*F50</f>
        <v>4.0662898459764465E-2</v>
      </c>
      <c r="G53" s="324"/>
      <c r="H53" s="323"/>
      <c r="I53" s="323"/>
      <c r="J53" s="107"/>
      <c r="K53" s="55"/>
      <c r="L53" s="371" t="s">
        <v>480</v>
      </c>
      <c r="M53" s="372">
        <f xml:space="preserve"> (PRODUCT(M48:O48) + PRODUCT(M49:O49) + PRODUCT(M50:O50) + PRODUCT(M51:O51)) / (PRODUCT(N48:O48) + PRODUCT(N49:O49) + PRODUCT(N50:O50) + PRODUCT(N51:O51))</f>
        <v>1.8253033707865168E-2</v>
      </c>
      <c r="N53" s="359"/>
      <c r="O53" s="55"/>
      <c r="P53" s="55"/>
      <c r="Q53" s="55"/>
      <c r="R53" s="341"/>
    </row>
    <row r="54" spans="1:18" ht="15" thickBot="1" x14ac:dyDescent="0.35">
      <c r="A54" s="106"/>
      <c r="B54" s="126"/>
      <c r="C54" s="126"/>
      <c r="D54" s="126"/>
      <c r="E54" s="126"/>
      <c r="F54" s="320" t="s">
        <v>456</v>
      </c>
      <c r="G54" s="328"/>
      <c r="H54" s="328"/>
      <c r="I54" s="328"/>
      <c r="J54" s="329"/>
      <c r="K54" s="55"/>
      <c r="L54" s="295"/>
      <c r="M54" s="55"/>
      <c r="N54" s="55"/>
      <c r="O54" s="55"/>
      <c r="P54" s="55"/>
      <c r="Q54" s="55"/>
      <c r="R54" s="341"/>
    </row>
    <row r="55" spans="1:18" x14ac:dyDescent="0.3">
      <c r="A55" s="106"/>
      <c r="B55" s="126"/>
      <c r="C55" s="126"/>
      <c r="D55" s="126"/>
      <c r="E55" s="126"/>
      <c r="F55" s="315" t="s">
        <v>457</v>
      </c>
      <c r="G55" s="378"/>
      <c r="H55" s="378"/>
      <c r="I55" s="378"/>
      <c r="J55" s="509"/>
      <c r="K55" s="444" t="s">
        <v>487</v>
      </c>
      <c r="L55" s="362"/>
      <c r="M55" s="362"/>
      <c r="N55" s="362"/>
      <c r="O55" s="362"/>
      <c r="P55" s="354"/>
      <c r="Q55" s="55"/>
      <c r="R55" s="341"/>
    </row>
    <row r="56" spans="1:18" ht="15" thickBot="1" x14ac:dyDescent="0.35">
      <c r="A56" s="108"/>
      <c r="B56" s="92"/>
      <c r="C56" s="92"/>
      <c r="D56" s="92"/>
      <c r="E56" s="92"/>
      <c r="F56" s="321" t="s">
        <v>458</v>
      </c>
      <c r="G56" s="330"/>
      <c r="H56" s="330"/>
      <c r="I56" s="330"/>
      <c r="J56" s="510"/>
      <c r="K56" s="307"/>
      <c r="L56" s="360"/>
      <c r="M56" s="360" t="s">
        <v>165</v>
      </c>
      <c r="N56" s="360" t="s">
        <v>488</v>
      </c>
      <c r="O56" s="360" t="s">
        <v>489</v>
      </c>
      <c r="P56" s="361" t="s">
        <v>490</v>
      </c>
      <c r="Q56" s="360"/>
      <c r="R56" s="361"/>
    </row>
    <row r="57" spans="1:18" x14ac:dyDescent="0.3">
      <c r="K57" s="295" t="s">
        <v>491</v>
      </c>
      <c r="L57" s="55"/>
      <c r="M57" s="55">
        <v>3836.2650000000003</v>
      </c>
      <c r="N57" s="55">
        <v>0.52576026796023623</v>
      </c>
      <c r="O57" s="55">
        <v>0.41</v>
      </c>
      <c r="P57" s="341">
        <v>0.21556170986369683</v>
      </c>
      <c r="Q57" s="1"/>
    </row>
    <row r="58" spans="1:18" x14ac:dyDescent="0.3">
      <c r="K58" s="295" t="s">
        <v>492</v>
      </c>
      <c r="L58" s="55"/>
      <c r="M58" s="55">
        <v>49.814999999999998</v>
      </c>
      <c r="N58" s="55">
        <v>6.8271476940303041E-3</v>
      </c>
      <c r="O58" s="55">
        <v>0.28999999999999998</v>
      </c>
      <c r="P58" s="341">
        <v>1.9798728312687879E-3</v>
      </c>
      <c r="Q58" s="55"/>
      <c r="R58" s="126"/>
    </row>
    <row r="59" spans="1:18" x14ac:dyDescent="0.3">
      <c r="K59" s="295" t="s">
        <v>493</v>
      </c>
      <c r="L59" s="55"/>
      <c r="M59" s="55">
        <v>1278.7550000000001</v>
      </c>
      <c r="N59" s="55">
        <v>0.17525342265341209</v>
      </c>
      <c r="O59" s="55">
        <v>0.6</v>
      </c>
      <c r="P59" s="341">
        <v>0.10515205359204725</v>
      </c>
      <c r="Q59" s="55"/>
      <c r="R59" s="126"/>
    </row>
    <row r="60" spans="1:18" x14ac:dyDescent="0.3">
      <c r="K60" s="295" t="s">
        <v>494</v>
      </c>
      <c r="L60" s="55"/>
      <c r="M60" s="55">
        <v>903</v>
      </c>
      <c r="N60" s="55">
        <v>0.12375618523957373</v>
      </c>
      <c r="O60" s="55">
        <v>0.8</v>
      </c>
      <c r="P60" s="341">
        <v>9.900494819165899E-2</v>
      </c>
      <c r="Q60" s="55"/>
      <c r="R60" s="126"/>
    </row>
    <row r="61" spans="1:18" x14ac:dyDescent="0.3">
      <c r="K61" s="295"/>
      <c r="L61" s="55"/>
      <c r="M61" s="55"/>
      <c r="N61" s="55"/>
      <c r="O61" s="55"/>
      <c r="P61" s="341">
        <v>0</v>
      </c>
      <c r="Q61" s="55"/>
      <c r="R61" s="126"/>
    </row>
    <row r="62" spans="1:18" x14ac:dyDescent="0.3">
      <c r="K62" s="295" t="s">
        <v>495</v>
      </c>
      <c r="L62" s="55"/>
      <c r="M62" s="55">
        <v>1228.77</v>
      </c>
      <c r="N62" s="55">
        <v>0.16840297645274752</v>
      </c>
      <c r="O62" s="55">
        <v>0.74</v>
      </c>
      <c r="P62" s="341">
        <v>0.12461820257503316</v>
      </c>
      <c r="Q62" s="55"/>
      <c r="R62" s="126"/>
    </row>
    <row r="63" spans="1:18" x14ac:dyDescent="0.3">
      <c r="K63" s="295" t="s">
        <v>496</v>
      </c>
      <c r="L63" s="55"/>
      <c r="M63" s="55"/>
      <c r="N63" s="55">
        <v>0</v>
      </c>
      <c r="O63" s="55">
        <v>0.91</v>
      </c>
      <c r="P63" s="341">
        <v>0</v>
      </c>
      <c r="Q63" s="55"/>
      <c r="R63" s="126"/>
    </row>
    <row r="64" spans="1:18" ht="15" thickBot="1" x14ac:dyDescent="0.35">
      <c r="K64" s="307" t="s">
        <v>497</v>
      </c>
      <c r="L64" s="360"/>
      <c r="M64" s="360">
        <v>7296.6050000000014</v>
      </c>
      <c r="N64" s="360">
        <v>0.99999999999999989</v>
      </c>
      <c r="O64" s="360"/>
      <c r="P64" s="361">
        <v>0.54631678705370501</v>
      </c>
      <c r="Q64" s="55"/>
      <c r="R64" s="126"/>
    </row>
    <row r="65" spans="11:18" x14ac:dyDescent="0.3">
      <c r="K65" s="1"/>
      <c r="L65" s="1"/>
      <c r="M65" s="55"/>
      <c r="N65" s="55"/>
      <c r="O65" s="55"/>
      <c r="P65" s="55"/>
      <c r="Q65" s="55"/>
      <c r="R65" s="126"/>
    </row>
    <row r="66" spans="11:18" x14ac:dyDescent="0.3">
      <c r="M66" s="126"/>
      <c r="N66" s="126"/>
      <c r="O66" s="126"/>
      <c r="P66" s="126"/>
      <c r="Q66" s="126"/>
      <c r="R66" s="126"/>
    </row>
    <row r="67" spans="11:18" x14ac:dyDescent="0.3">
      <c r="M67" s="126"/>
      <c r="N67" s="126"/>
      <c r="O67" s="126"/>
      <c r="P67" s="126"/>
      <c r="Q67" s="126"/>
      <c r="R67" s="126"/>
    </row>
    <row r="68" spans="11:18" x14ac:dyDescent="0.3">
      <c r="M68" s="126"/>
      <c r="N68" s="126"/>
      <c r="O68" s="126"/>
      <c r="P68" s="126"/>
      <c r="Q68" s="126"/>
      <c r="R68" s="126"/>
    </row>
    <row r="69" spans="11:18" x14ac:dyDescent="0.3">
      <c r="M69" s="126"/>
      <c r="N69" s="126"/>
      <c r="O69" s="126"/>
      <c r="P69" s="126"/>
      <c r="Q69" s="126"/>
      <c r="R69" s="126"/>
    </row>
    <row r="70" spans="11:18" x14ac:dyDescent="0.3">
      <c r="M70" s="126"/>
      <c r="N70" s="126"/>
      <c r="O70" s="126"/>
      <c r="P70" s="126"/>
      <c r="Q70" s="126"/>
      <c r="R70" s="126"/>
    </row>
    <row r="71" spans="11:18" x14ac:dyDescent="0.3">
      <c r="M71" s="126"/>
      <c r="N71" s="126"/>
      <c r="O71" s="126"/>
      <c r="P71" s="126"/>
      <c r="Q71" s="126"/>
      <c r="R71" s="126"/>
    </row>
  </sheetData>
  <phoneticPr fontId="3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dimension ref="B3:H37"/>
  <sheetViews>
    <sheetView workbookViewId="0">
      <selection activeCell="O16" sqref="O16"/>
    </sheetView>
  </sheetViews>
  <sheetFormatPr defaultRowHeight="14.4" x14ac:dyDescent="0.3"/>
  <sheetData>
    <row r="3" spans="2:8" ht="15" thickBot="1" x14ac:dyDescent="0.35">
      <c r="B3" s="5"/>
      <c r="C3" s="5"/>
      <c r="D3" s="5"/>
      <c r="E3" s="161"/>
      <c r="F3" s="161"/>
      <c r="G3" s="161"/>
      <c r="H3" s="161"/>
    </row>
    <row r="4" spans="2:8" ht="15" thickBot="1" x14ac:dyDescent="0.35">
      <c r="B4" s="101" t="s">
        <v>306</v>
      </c>
    </row>
    <row r="5" spans="2:8" ht="15" thickBot="1" x14ac:dyDescent="0.35"/>
    <row r="6" spans="2:8" x14ac:dyDescent="0.3">
      <c r="B6" s="102" t="s">
        <v>307</v>
      </c>
      <c r="C6" s="103"/>
      <c r="D6" s="103"/>
      <c r="E6" s="103">
        <v>2018</v>
      </c>
      <c r="F6" s="103"/>
      <c r="G6" s="104">
        <v>2023</v>
      </c>
      <c r="H6" s="105" t="s">
        <v>308</v>
      </c>
    </row>
    <row r="7" spans="2:8" x14ac:dyDescent="0.3">
      <c r="B7" s="106" t="s">
        <v>309</v>
      </c>
      <c r="E7">
        <v>359</v>
      </c>
      <c r="G7" s="107">
        <v>323</v>
      </c>
      <c r="H7" s="87"/>
    </row>
    <row r="8" spans="2:8" x14ac:dyDescent="0.3">
      <c r="B8" s="106" t="s">
        <v>310</v>
      </c>
      <c r="E8">
        <v>187</v>
      </c>
      <c r="G8" s="107">
        <v>323</v>
      </c>
      <c r="H8" s="87"/>
    </row>
    <row r="9" spans="2:8" x14ac:dyDescent="0.3">
      <c r="B9" s="106" t="s">
        <v>311</v>
      </c>
      <c r="E9">
        <v>269</v>
      </c>
      <c r="G9" s="107">
        <v>381</v>
      </c>
      <c r="H9" s="87"/>
    </row>
    <row r="10" spans="2:8" x14ac:dyDescent="0.3">
      <c r="B10" s="106" t="s">
        <v>312</v>
      </c>
      <c r="E10">
        <v>406</v>
      </c>
      <c r="G10" s="107">
        <v>518</v>
      </c>
      <c r="H10" s="87"/>
    </row>
    <row r="11" spans="2:8" x14ac:dyDescent="0.3">
      <c r="B11" s="106" t="s">
        <v>45</v>
      </c>
      <c r="E11">
        <v>-29</v>
      </c>
      <c r="G11" s="107">
        <v>-14</v>
      </c>
      <c r="H11" s="87"/>
    </row>
    <row r="12" spans="2:8" ht="15" thickBot="1" x14ac:dyDescent="0.35">
      <c r="B12" s="108" t="s">
        <v>110</v>
      </c>
      <c r="C12" s="92"/>
      <c r="D12" s="92"/>
      <c r="E12" s="92">
        <f>SUM(E7:E11)</f>
        <v>1192</v>
      </c>
      <c r="F12" s="92"/>
      <c r="G12" s="109">
        <f>SUM(G7:G11)</f>
        <v>1531</v>
      </c>
      <c r="H12" s="110">
        <f>(G12-E12)/E12</f>
        <v>0.28439597315436244</v>
      </c>
    </row>
    <row r="13" spans="2:8" ht="15" thickBot="1" x14ac:dyDescent="0.35"/>
    <row r="14" spans="2:8" x14ac:dyDescent="0.3">
      <c r="B14" s="102" t="s">
        <v>313</v>
      </c>
      <c r="C14" s="103"/>
      <c r="D14" s="103"/>
      <c r="E14" s="103" t="s">
        <v>314</v>
      </c>
      <c r="F14" s="103"/>
      <c r="G14" s="104" t="s">
        <v>314</v>
      </c>
    </row>
    <row r="15" spans="2:8" x14ac:dyDescent="0.3">
      <c r="B15" s="106" t="s">
        <v>315</v>
      </c>
      <c r="E15">
        <v>2607</v>
      </c>
      <c r="F15" t="s">
        <v>312</v>
      </c>
      <c r="G15" s="107">
        <v>1459</v>
      </c>
    </row>
    <row r="16" spans="2:8" x14ac:dyDescent="0.3">
      <c r="B16" s="106" t="s">
        <v>316</v>
      </c>
      <c r="E16">
        <v>1378</v>
      </c>
      <c r="F16" t="s">
        <v>317</v>
      </c>
      <c r="G16" s="107">
        <v>504</v>
      </c>
    </row>
    <row r="17" spans="2:7" x14ac:dyDescent="0.3">
      <c r="B17" s="106"/>
      <c r="F17" t="s">
        <v>311</v>
      </c>
      <c r="G17" s="107">
        <v>943</v>
      </c>
    </row>
    <row r="18" spans="2:7" x14ac:dyDescent="0.3">
      <c r="B18" s="106"/>
      <c r="F18" t="s">
        <v>318</v>
      </c>
      <c r="G18" s="107">
        <v>287</v>
      </c>
    </row>
    <row r="19" spans="2:7" x14ac:dyDescent="0.3">
      <c r="B19" s="106"/>
      <c r="F19" t="s">
        <v>319</v>
      </c>
      <c r="G19" s="107">
        <v>295</v>
      </c>
    </row>
    <row r="20" spans="2:7" x14ac:dyDescent="0.3">
      <c r="B20" s="106"/>
      <c r="F20" t="s">
        <v>320</v>
      </c>
      <c r="G20" s="107">
        <v>402</v>
      </c>
    </row>
    <row r="21" spans="2:7" x14ac:dyDescent="0.3">
      <c r="B21" s="106"/>
      <c r="F21" t="s">
        <v>321</v>
      </c>
      <c r="G21" s="107">
        <v>97</v>
      </c>
    </row>
    <row r="22" spans="2:7" ht="15" thickBot="1" x14ac:dyDescent="0.35">
      <c r="B22" s="108" t="s">
        <v>16</v>
      </c>
      <c r="C22" s="92"/>
      <c r="D22" s="92"/>
      <c r="E22" s="92">
        <f>SUM(E15:E16)</f>
        <v>3985</v>
      </c>
      <c r="F22" s="92" t="s">
        <v>16</v>
      </c>
      <c r="G22" s="109">
        <f>SUM(G15:G21)</f>
        <v>3987</v>
      </c>
    </row>
    <row r="23" spans="2:7" ht="15" thickBot="1" x14ac:dyDescent="0.35"/>
    <row r="24" spans="2:7" x14ac:dyDescent="0.3">
      <c r="B24" s="112" t="s">
        <v>322</v>
      </c>
      <c r="C24" s="84"/>
      <c r="D24" s="84"/>
      <c r="E24" s="113"/>
    </row>
    <row r="25" spans="2:7" x14ac:dyDescent="0.3">
      <c r="B25" s="106" t="s">
        <v>323</v>
      </c>
      <c r="E25" s="114">
        <v>3</v>
      </c>
    </row>
    <row r="26" spans="2:7" x14ac:dyDescent="0.3">
      <c r="B26" s="106" t="s">
        <v>324</v>
      </c>
      <c r="E26" s="107">
        <v>-6.8</v>
      </c>
    </row>
    <row r="27" spans="2:7" x14ac:dyDescent="0.3">
      <c r="B27" s="106" t="s">
        <v>325</v>
      </c>
      <c r="E27" s="107">
        <v>0.3</v>
      </c>
    </row>
    <row r="28" spans="2:7" x14ac:dyDescent="0.3">
      <c r="B28" s="106" t="s">
        <v>326</v>
      </c>
      <c r="E28" s="107">
        <v>0.1</v>
      </c>
    </row>
    <row r="29" spans="2:7" x14ac:dyDescent="0.3">
      <c r="B29" s="106" t="s">
        <v>327</v>
      </c>
      <c r="E29" s="107">
        <v>0.8</v>
      </c>
    </row>
    <row r="30" spans="2:7" x14ac:dyDescent="0.3">
      <c r="B30" s="106" t="s">
        <v>328</v>
      </c>
      <c r="E30" s="107">
        <v>0.6</v>
      </c>
    </row>
    <row r="31" spans="2:7" x14ac:dyDescent="0.3">
      <c r="B31" s="106" t="s">
        <v>329</v>
      </c>
      <c r="E31" s="107">
        <v>1.3</v>
      </c>
    </row>
    <row r="32" spans="2:7" x14ac:dyDescent="0.3">
      <c r="B32" s="106" t="s">
        <v>330</v>
      </c>
      <c r="E32" s="107">
        <v>3.2</v>
      </c>
    </row>
    <row r="33" spans="2:5" x14ac:dyDescent="0.3">
      <c r="B33" s="106" t="s">
        <v>331</v>
      </c>
      <c r="E33" s="107">
        <v>0.5</v>
      </c>
    </row>
    <row r="34" spans="2:5" x14ac:dyDescent="0.3">
      <c r="B34" s="106" t="s">
        <v>332</v>
      </c>
      <c r="E34" s="114">
        <v>2.9</v>
      </c>
    </row>
    <row r="35" spans="2:5" x14ac:dyDescent="0.3">
      <c r="B35" s="106" t="s">
        <v>333</v>
      </c>
      <c r="E35" s="107">
        <v>0.1</v>
      </c>
    </row>
    <row r="36" spans="2:5" x14ac:dyDescent="0.3">
      <c r="B36" s="106" t="s">
        <v>319</v>
      </c>
      <c r="E36" s="107">
        <v>0.3</v>
      </c>
    </row>
    <row r="37" spans="2:5" ht="15" thickBot="1" x14ac:dyDescent="0.35">
      <c r="B37" s="108" t="s">
        <v>334</v>
      </c>
      <c r="C37" s="92"/>
      <c r="D37" s="92"/>
      <c r="E37" s="115"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Balance sheet</vt:lpstr>
      <vt:lpstr>Income Statement</vt:lpstr>
      <vt:lpstr>Reorganised Statements</vt:lpstr>
      <vt:lpstr>Cash flows</vt:lpstr>
      <vt:lpstr>Trailing 12-months</vt:lpstr>
      <vt:lpstr>Fin statements overview</vt:lpstr>
      <vt:lpstr>ratio</vt:lpstr>
      <vt:lpstr>analysis</vt:lpstr>
      <vt:lpstr>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2020-05-29T10:57:54Z</dcterms:modified>
</cp:coreProperties>
</file>