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150" documentId="13_ncr:1_{2EE670BD-D333-445C-855D-43AC8679340C}" xr6:coauthVersionLast="45" xr6:coauthVersionMax="45" xr10:uidLastSave="{9535B054-7825-4E14-894F-A7C77139448B}"/>
  <bookViews>
    <workbookView xWindow="-108" yWindow="-108" windowWidth="23256" windowHeight="12576" activeTab="5" xr2:uid="{00000000-000D-0000-FFFF-FFFF00000000}"/>
  </bookViews>
  <sheets>
    <sheet name="IS" sheetId="2" r:id="rId1"/>
    <sheet name="Reorganized IS" sheetId="6" r:id="rId2"/>
    <sheet name="IS Trailing 12 months " sheetId="8" r:id="rId3"/>
    <sheet name="BS" sheetId="10" r:id="rId4"/>
    <sheet name="Analysis " sheetId="9" r:id="rId5"/>
    <sheet name="Bottom up Beta" sheetId="11" r:id="rId6"/>
    <sheet name="FCFE Computation" sheetId="7" r:id="rId7"/>
    <sheet name="CF S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1" l="1"/>
  <c r="B21" i="11"/>
  <c r="B18" i="11"/>
  <c r="B17" i="11"/>
  <c r="K15" i="11"/>
  <c r="K17" i="11"/>
  <c r="B16" i="11"/>
  <c r="F10" i="11"/>
  <c r="F4" i="11"/>
  <c r="F5" i="11"/>
  <c r="F6" i="11"/>
  <c r="F7" i="11"/>
  <c r="F8" i="11"/>
  <c r="F9" i="11"/>
  <c r="F3" i="11"/>
  <c r="D10" i="11"/>
  <c r="D9" i="11"/>
  <c r="D8" i="11"/>
  <c r="D6" i="11"/>
  <c r="D5" i="11"/>
  <c r="D4" i="11"/>
  <c r="D3" i="11"/>
  <c r="C10" i="11"/>
  <c r="F94" i="6"/>
  <c r="K8" i="9" l="1"/>
  <c r="K4" i="9"/>
  <c r="K5" i="9"/>
  <c r="K6" i="9"/>
  <c r="K3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L15" i="10"/>
  <c r="M15" i="10"/>
  <c r="C16" i="10"/>
  <c r="C37" i="10" s="1"/>
  <c r="D16" i="10"/>
  <c r="J16" i="10"/>
  <c r="K16" i="10"/>
  <c r="J17" i="10"/>
  <c r="J22" i="10" s="1"/>
  <c r="J18" i="10"/>
  <c r="K18" i="10"/>
  <c r="J19" i="10"/>
  <c r="K19" i="10"/>
  <c r="C27" i="10"/>
  <c r="D27" i="10"/>
  <c r="D37" i="10" s="1"/>
  <c r="C31" i="10"/>
  <c r="D31" i="10"/>
  <c r="C36" i="10"/>
  <c r="D36" i="10"/>
  <c r="E37" i="10"/>
  <c r="F37" i="10"/>
  <c r="C42" i="10"/>
  <c r="D42" i="10"/>
  <c r="C45" i="10"/>
  <c r="C47" i="10" s="1"/>
  <c r="D45" i="10"/>
  <c r="D47" i="10" s="1"/>
  <c r="C52" i="10"/>
  <c r="D52" i="10"/>
  <c r="C70" i="10"/>
  <c r="D70" i="10"/>
  <c r="C75" i="10"/>
  <c r="D75" i="10"/>
  <c r="E78" i="10"/>
  <c r="F78" i="10"/>
  <c r="C95" i="10"/>
  <c r="C97" i="10" s="1"/>
  <c r="D95" i="10"/>
  <c r="D97" i="10" s="1"/>
  <c r="E97" i="10"/>
  <c r="F97" i="10"/>
  <c r="C106" i="10"/>
  <c r="D106" i="10"/>
  <c r="C110" i="10"/>
  <c r="D110" i="10"/>
  <c r="C117" i="10"/>
  <c r="D117" i="10"/>
  <c r="C121" i="10"/>
  <c r="J15" i="10" s="1"/>
  <c r="P15" i="10" s="1"/>
  <c r="D121" i="10"/>
  <c r="K15" i="10" s="1"/>
  <c r="E122" i="10"/>
  <c r="F122" i="10"/>
  <c r="C127" i="10"/>
  <c r="D127" i="10"/>
  <c r="C149" i="10"/>
  <c r="D149" i="10"/>
  <c r="C156" i="10"/>
  <c r="D156" i="10"/>
  <c r="C158" i="10"/>
  <c r="D158" i="10"/>
  <c r="E158" i="10"/>
  <c r="E159" i="10" s="1"/>
  <c r="E161" i="10" s="1"/>
  <c r="F158" i="10"/>
  <c r="F159" i="10" s="1"/>
  <c r="F161" i="10" s="1"/>
  <c r="D159" i="10" l="1"/>
  <c r="D161" i="10" s="1"/>
  <c r="C159" i="10"/>
  <c r="C161" i="10" s="1"/>
  <c r="C78" i="10"/>
  <c r="C80" i="10" s="1"/>
  <c r="D78" i="10"/>
  <c r="D80" i="10" s="1"/>
  <c r="D122" i="10"/>
  <c r="C122" i="10"/>
  <c r="K17" i="10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T12" i="7" l="1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<sst xmlns="http://schemas.openxmlformats.org/spreadsheetml/2006/main" count="753" uniqueCount="541">
  <si>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</si>
  <si>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</si>
  <si>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</si>
  <si>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</si>
  <si>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</si>
  <si>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</si>
  <si>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</si>
  <si>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</si>
  <si>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</si>
  <si>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</si>
  <si>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</si>
  <si>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</si>
  <si>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</si>
  <si>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</si>
  <si>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</si>
  <si>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</si>
  <si>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</si>
  <si>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</si>
  <si>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</si>
  <si>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</si>
  <si>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</si>
  <si>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</si>
  <si>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</si>
  <si>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</si>
  <si>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</si>
  <si>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</si>
  <si>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</si>
  <si>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</si>
  <si>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</si>
  <si>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</si>
  <si>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</si>
  <si>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</si>
  <si>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</si>
  <si>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</si>
  <si>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</si>
  <si>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</si>
  <si>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</si>
  <si>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</si>
  <si>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</si>
  <si>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</si>
  <si>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</si>
  <si>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</si>
  <si>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</si>
  <si>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</si>
  <si>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</si>
  <si>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</si>
  <si>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</si>
  <si>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</si>
  <si>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</si>
  <si>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</si>
  <si>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</si>
  <si>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</si>
  <si>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</si>
  <si>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</si>
  <si>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</si>
  <si>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</si>
  <si>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</si>
  <si>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</si>
  <si>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</si>
  <si>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</si>
  <si>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</si>
  <si>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</si>
  <si>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</si>
  <si>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</si>
  <si>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</si>
  <si>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</si>
  <si>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</si>
  <si>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</si>
  <si>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</si>
  <si>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</si>
  <si>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</si>
  <si>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</si>
  <si>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</si>
  <si>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</si>
  <si>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</si>
  <si>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</si>
  <si>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</si>
  <si>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</si>
  <si>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</si>
  <si>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</si>
  <si>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</si>
  <si>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</si>
  <si>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</si>
  <si>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</si>
  <si>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</si>
  <si>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</si>
  <si>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</si>
  <si>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</si>
  <si>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</si>
  <si>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</si>
  <si>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</si>
  <si>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</si>
  <si>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</si>
  <si>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</si>
  <si>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</si>
  <si>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</si>
  <si>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</si>
  <si>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</si>
  <si>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</si>
  <si>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</si>
  <si>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</si>
  <si>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</si>
  <si>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</si>
  <si>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</si>
  <si>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</si>
  <si>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</si>
  <si>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</si>
  <si>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</si>
  <si>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</si>
  <si>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</si>
  <si>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</si>
  <si>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</si>
  <si>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</si>
  <si>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</si>
  <si>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</si>
  <si>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</si>
  <si>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</si>
  <si>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</si>
  <si>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</si>
  <si>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</si>
  <si>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</si>
  <si>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</si>
  <si>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</si>
  <si>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</si>
  <si>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</si>
  <si>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</si>
  <si>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</si>
  <si>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</si>
  <si>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</si>
  <si>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</si>
  <si>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</si>
  <si>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</si>
  <si>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</si>
  <si>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</si>
  <si>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</si>
  <si>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</si>
  <si>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</si>
  <si>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</si>
  <si>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</si>
  <si>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</si>
  <si>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</si>
  <si>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</si>
  <si>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</si>
  <si>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</si>
  <si>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</si>
  <si>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</si>
  <si>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</si>
  <si>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</si>
  <si>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</si>
  <si>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</si>
  <si>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</si>
  <si>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</si>
  <si>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</si>
  <si>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</si>
  <si>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</si>
  <si>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</si>
  <si>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</si>
  <si>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</si>
  <si>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</si>
  <si>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</si>
  <si>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</si>
  <si>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</si>
  <si>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</si>
  <si>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</si>
  <si>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</si>
  <si>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</si>
  <si>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</si>
  <si>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</si>
  <si>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</si>
  <si>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</si>
  <si>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</si>
  <si>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</si>
  <si>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</si>
  <si>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</si>
  <si>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</si>
  <si>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</si>
  <si>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</si>
  <si>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</si>
  <si>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</si>
  <si>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</si>
  <si>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</si>
  <si>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</si>
  <si>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</si>
  <si>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</si>
  <si>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</si>
  <si>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</si>
  <si>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</si>
  <si>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</si>
  <si>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</si>
  <si>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</si>
  <si>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</si>
  <si>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</si>
  <si>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</si>
  <si>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</si>
  <si>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</si>
  <si>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</si>
  <si>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</si>
  <si>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</si>
  <si>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</si>
  <si>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</si>
  <si>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</si>
  <si>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</si>
  <si>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</si>
  <si>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</si>
  <si>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</si>
  <si>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</si>
  <si>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</si>
  <si>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</si>
  <si>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</si>
  <si>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</si>
  <si>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</si>
  <si>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</si>
  <si>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</si>
  <si>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</si>
  <si>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</si>
  <si>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</si>
  <si>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</si>
  <si>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</si>
  <si>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</si>
  <si>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</si>
  <si>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</si>
  <si>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</si>
  <si>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</si>
  <si>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</si>
  <si>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</si>
  <si>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</si>
  <si>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</si>
  <si>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</si>
  <si>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</si>
  <si>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</si>
  <si>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</si>
  <si>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</si>
  <si>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</si>
  <si>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</si>
  <si>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</si>
  <si>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</si>
  <si>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</si>
  <si>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</si>
  <si>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</si>
  <si>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</si>
  <si>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</si>
  <si>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</si>
  <si>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</si>
  <si>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</si>
  <si>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</si>
  <si>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</si>
  <si>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</si>
  <si>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</si>
  <si>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</si>
  <si>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</si>
  <si>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</si>
  <si>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</si>
  <si>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</si>
  <si>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</si>
  <si>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</si>
  <si>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</si>
  <si>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</si>
  <si>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</si>
  <si>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</si>
  <si>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</si>
  <si>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</si>
  <si>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</si>
  <si>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</si>
  <si>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</si>
  <si>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</si>
  <si>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</si>
  <si>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</si>
  <si>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</si>
  <si>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</si>
  <si>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</si>
  <si>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</si>
  <si>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</si>
  <si>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</si>
  <si>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</si>
  <si>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</si>
  <si>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</si>
  <si>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</si>
  <si>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</si>
  <si>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</si>
  <si>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</si>
  <si>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</si>
  <si>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</si>
  <si>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</si>
  <si>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</si>
  <si>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</si>
  <si>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</si>
  <si>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</si>
  <si>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</si>
  <si>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</si>
  <si>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</si>
  <si>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</si>
  <si>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</si>
  <si>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</si>
  <si>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</si>
  <si>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</si>
  <si>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</si>
  <si>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</si>
  <si>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</si>
  <si>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</si>
  <si>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</si>
  <si>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</si>
  <si>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</si>
  <si>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</si>
  <si>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</si>
  <si>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</si>
  <si>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</si>
  <si>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</si>
  <si>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</si>
  <si>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</si>
  <si>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</si>
  <si>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</si>
  <si>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</si>
  <si>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</si>
  <si>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</si>
  <si>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</si>
  <si>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</si>
  <si>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</si>
  <si>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</si>
  <si>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</si>
  <si>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</si>
  <si>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</si>
  <si>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</si>
  <si>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</si>
  <si>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</si>
  <si>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</si>
  <si>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</si>
  <si>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</si>
  <si>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</si>
  <si>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</si>
  <si>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</si>
  <si>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</si>
  <si>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</si>
  <si>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</si>
  <si>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</si>
  <si>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</si>
  <si>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</si>
  <si>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</si>
  <si>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</si>
  <si>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</si>
  <si>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</si>
  <si>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TOTAL EQUITY AND LIABILITIES</t>
  </si>
  <si>
    <t>LIABILITIES DIRECTLY ASSOCIATED WITH NON-CURRENT ASSETS HELD FOR SALE</t>
  </si>
  <si>
    <t xml:space="preserve">TTOTAL LIABILITIES  </t>
  </si>
  <si>
    <t>TOTAL CURRENT LIABILITIES</t>
  </si>
  <si>
    <t>Tax liabilities</t>
  </si>
  <si>
    <t>Payables to other lenders</t>
  </si>
  <si>
    <t>Financial payables to related parties</t>
  </si>
  <si>
    <t>Current financial payables for rights of use</t>
  </si>
  <si>
    <t>Payables to banks</t>
  </si>
  <si>
    <t>Non-convertible bonds</t>
  </si>
  <si>
    <t>Current financial liabilities</t>
  </si>
  <si>
    <t>Sundry payables</t>
  </si>
  <si>
    <t>Payables for RAI fee</t>
  </si>
  <si>
    <t>Payables for environmental compensation</t>
  </si>
  <si>
    <t>Payables for excise compensation</t>
  </si>
  <si>
    <t>Payables to insurance companies</t>
  </si>
  <si>
    <t>Payables for collections to be allocated</t>
  </si>
  <si>
    <t>Payables for auxiliary services</t>
  </si>
  <si>
    <t>Payables for the purchase of equity investments</t>
  </si>
  <si>
    <t>Payables to third-party shareholders</t>
  </si>
  <si>
    <t>Payables to customers for interest on security deposits</t>
  </si>
  <si>
    <t>Payables to customers for work to be performed</t>
  </si>
  <si>
    <t>Payables for A.T.O.</t>
  </si>
  <si>
    <t>Payables for energy tariff components</t>
  </si>
  <si>
    <t>Payables for tax transparency</t>
  </si>
  <si>
    <t>Tax payables</t>
  </si>
  <si>
    <t>Payables to Cassa per i Servizi Energetici e Ambientali</t>
  </si>
  <si>
    <t>Payables to personnel</t>
  </si>
  <si>
    <t>Other current liabilities of which:</t>
  </si>
  <si>
    <t>Current derivatives (commodity derivatives)</t>
  </si>
  <si>
    <t>Payables to pension and social security institutions</t>
  </si>
  <si>
    <t>Other current liabilities</t>
  </si>
  <si>
    <t>Payables to suppliers</t>
  </si>
  <si>
    <t>Advances</t>
  </si>
  <si>
    <t>Trade payables</t>
  </si>
  <si>
    <t xml:space="preserve">CURRENT LIABILITIES </t>
  </si>
  <si>
    <t>TOTAL NON-CURRENT LIABILITIES</t>
  </si>
  <si>
    <t>Non-current derivatives</t>
  </si>
  <si>
    <t>Other non-current liabilities</t>
  </si>
  <si>
    <t>SHOULD BE 642 IIN 2018</t>
  </si>
  <si>
    <t>Other risk provisions</t>
  </si>
  <si>
    <t>Personnel lawsuits and disputes provisions</t>
  </si>
  <si>
    <t>Tax provisions</t>
  </si>
  <si>
    <t>Landfill closing and post-closing expense provisions</t>
  </si>
  <si>
    <t>Decommissioning provisions</t>
  </si>
  <si>
    <t>Provisions for risks, charges and liabilities for landfills</t>
  </si>
  <si>
    <t>Employee benefits</t>
  </si>
  <si>
    <t>Employee leaving entitlement (TFR)</t>
  </si>
  <si>
    <t>Non-current financial payables for rights of use</t>
  </si>
  <si>
    <t>Non-current financial liabilities</t>
  </si>
  <si>
    <t>Non-current liabilities</t>
  </si>
  <si>
    <t>LIABILITIES</t>
  </si>
  <si>
    <t>TOTAL EQUITY</t>
  </si>
  <si>
    <t>Interessi di minoranze</t>
  </si>
  <si>
    <t xml:space="preserve">Patrimonio netto di gruppo </t>
  </si>
  <si>
    <t>Equity pertaining to the Group</t>
  </si>
  <si>
    <t>Risultato d’esercizio</t>
  </si>
  <si>
    <t>Result of the year</t>
  </si>
  <si>
    <t>IAS 19 Revised reserve - Employee Benefits</t>
  </si>
  <si>
    <t>Tax effect</t>
  </si>
  <si>
    <t>Change in the IAS 19 Revised reserve - Employee Benefits</t>
  </si>
  <si>
    <t>Cash flow hedge reserves</t>
  </si>
  <si>
    <t>Change in the fair value of cash flow hedge derivatives and fair value bonds</t>
  </si>
  <si>
    <t>of which:</t>
  </si>
  <si>
    <t>Riserve</t>
  </si>
  <si>
    <t>Reserves:</t>
  </si>
  <si>
    <t>(Azioni proprie)</t>
  </si>
  <si>
    <t>(Treasury shares)</t>
  </si>
  <si>
    <t>Capitale sociale</t>
  </si>
  <si>
    <t>Share capital</t>
  </si>
  <si>
    <t>PATRIMONIO NETTO</t>
  </si>
  <si>
    <t>EQUITY</t>
  </si>
  <si>
    <t>EQUITY AND LIABILITIES:</t>
  </si>
  <si>
    <t>TOTALE ATTIVO</t>
  </si>
  <si>
    <t>TOTAL ASSETS</t>
  </si>
  <si>
    <t>ATTIVITÀ NON CORRENTI DESTINATE ALLA VENDITA</t>
  </si>
  <si>
    <t>NON-CURRENT ASSETS HELD FOR SALE</t>
  </si>
  <si>
    <t>TOTAL CURRENT ASSETS</t>
  </si>
  <si>
    <t>Disponibilità liquide e mezzi equivalenti</t>
  </si>
  <si>
    <t>Cash and cash equivalents</t>
  </si>
  <si>
    <t>Attività per imposte correnti</t>
  </si>
  <si>
    <t>Current tax assets</t>
  </si>
  <si>
    <t>Other financial assets from assets held for sale</t>
  </si>
  <si>
    <t>Other financial assets from related parties</t>
  </si>
  <si>
    <t>Other financial assets</t>
  </si>
  <si>
    <t>Current financial assets</t>
  </si>
  <si>
    <t>other sundry receivables</t>
  </si>
  <si>
    <t>sundry receivables for hedging</t>
  </si>
  <si>
    <t>receivables for RAI fee</t>
  </si>
  <si>
    <t>receivables for security deposits</t>
  </si>
  <si>
    <t>receivables for COSAP advances</t>
  </si>
  <si>
    <t>receivables for damage compensation</t>
  </si>
  <si>
    <t>stamp office</t>
  </si>
  <si>
    <t>receivables from social security entities</t>
  </si>
  <si>
    <t>receivables from Ergosud</t>
  </si>
  <si>
    <t>receivables related to future years</t>
  </si>
  <si>
    <t>tax receivables</t>
  </si>
  <si>
    <t>receivables from employees</t>
  </si>
  <si>
    <t>advances to suppliers</t>
  </si>
  <si>
    <t>receivables from Cassa per i Servizi Energetici e Ambientali</t>
  </si>
  <si>
    <t>Other current assets of which:</t>
  </si>
  <si>
    <t xml:space="preserve">DEBT/ EQUITY RATIO (p.7) </t>
  </si>
  <si>
    <t>Other current assets:</t>
  </si>
  <si>
    <t>(Bad debts provision)</t>
  </si>
  <si>
    <t>Trade receivables - invoices to be issued</t>
  </si>
  <si>
    <t>Trade receivables - invoices issued</t>
  </si>
  <si>
    <t>Trade receivables:</t>
  </si>
  <si>
    <t>Third-party fuel</t>
  </si>
  <si>
    <t>Raw and ancillary materials and consumables</t>
  </si>
  <si>
    <t>Fuel</t>
  </si>
  <si>
    <t>Total material</t>
  </si>
  <si>
    <t>Material obsolescence provision</t>
  </si>
  <si>
    <t>Materials</t>
  </si>
  <si>
    <t>Inventories:</t>
  </si>
  <si>
    <t>CURRENT ASSETS</t>
  </si>
  <si>
    <t>TOTAL NON-CURRENT ASSETS</t>
  </si>
  <si>
    <t>Other non-current assets</t>
  </si>
  <si>
    <t>Altre attività finanziarie non correnti</t>
  </si>
  <si>
    <t>Other non-current financial assets:</t>
  </si>
  <si>
    <t>see slide 69 of conslidato 19</t>
  </si>
  <si>
    <t>Attività per imposte anticipate</t>
  </si>
  <si>
    <t>Other non-current financial assets</t>
  </si>
  <si>
    <t>Partecipazioni valutate col metodo del Patrimonio netto</t>
  </si>
  <si>
    <t>Shareholdings carried according to equity method:</t>
  </si>
  <si>
    <t>Shareholdings and other non-current financial assets:</t>
  </si>
  <si>
    <t>Other intangible assets</t>
  </si>
  <si>
    <t>Assets in progress</t>
  </si>
  <si>
    <t>Goodwill</t>
  </si>
  <si>
    <t>TOTAL FUNDS INVESTED (finanging perspective)</t>
  </si>
  <si>
    <t>Concessions, licences, trademarks and similar rights</t>
  </si>
  <si>
    <t xml:space="preserve">TOTAL FUNDS INVESTED </t>
  </si>
  <si>
    <t>Industrial patents and intellectual property rights</t>
  </si>
  <si>
    <t>Immobilizzazioni immateriali</t>
  </si>
  <si>
    <t>Intangible assets:</t>
  </si>
  <si>
    <t>Write-downs</t>
  </si>
  <si>
    <t>for non operating  current asset</t>
  </si>
  <si>
    <t>Accumulated amortization</t>
  </si>
  <si>
    <t>for operating current liabilities</t>
  </si>
  <si>
    <t>Historical cost</t>
  </si>
  <si>
    <t>for operating current asset</t>
  </si>
  <si>
    <t>equity and equivalent</t>
  </si>
  <si>
    <t>changing WC 19/18</t>
  </si>
  <si>
    <t xml:space="preserve">working capital </t>
  </si>
  <si>
    <t>Assets for rights of use</t>
  </si>
  <si>
    <t>Leasehold improvements</t>
  </si>
  <si>
    <t>R&amp;D?</t>
  </si>
  <si>
    <t>Construction in progress and advances</t>
  </si>
  <si>
    <t>Landfills</t>
  </si>
  <si>
    <t>Other assets</t>
  </si>
  <si>
    <t>Industrial and commercial equipment</t>
  </si>
  <si>
    <t>Plant and machinery</t>
  </si>
  <si>
    <t>Buildings</t>
  </si>
  <si>
    <t>Land</t>
  </si>
  <si>
    <t>Immobilizzazioni materiali</t>
  </si>
  <si>
    <t>Tangible assets:</t>
  </si>
  <si>
    <t>ATTIVITÀ NON CORRENTI</t>
  </si>
  <si>
    <t>NON-CURRENT ASSETS</t>
  </si>
  <si>
    <t>ASSET:</t>
  </si>
  <si>
    <t>BALANCE SHEET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</si>
  <si>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</si>
  <si>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</si>
  <si>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</si>
  <si>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</si>
  <si>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</si>
  <si>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</si>
  <si>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Trailing change in working capital: Delta WC 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</si>
  <si>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</si>
  <si>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</si>
  <si>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</si>
  <si>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</si>
  <si>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</si>
  <si>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</si>
  <si>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</si>
  <si>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 xml:space="preserve">Adjusted EBIT 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</si>
  <si>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</si>
  <si>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</si>
  <si>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</si>
  <si>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</si>
  <si>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</si>
  <si>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</si>
  <si>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</si>
  <si>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</si>
  <si>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</si>
  <si>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</si>
  <si>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</si>
  <si>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</si>
  <si>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</si>
  <si>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</si>
  <si>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</si>
  <si>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</si>
  <si>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</si>
  <si>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</si>
  <si>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</si>
  <si>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</si>
  <si>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</si>
  <si>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</si>
  <si>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</si>
  <si>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</si>
  <si>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>Market cap (at 31/12/20)</t>
  </si>
  <si>
    <t xml:space="preserve">Levered Beta book value </t>
  </si>
  <si>
    <t xml:space="preserve">Levered Beta market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</si>
</sst>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C8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63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12" xfId="0" applyFill="1" applyBorder="1"/>
    <xf numFmtId="0" fontId="0" fillId="0" borderId="7" xfId="0" applyBorder="1"/>
    <xf numFmtId="0" fontId="0" fillId="14" borderId="0" xfId="0" applyFill="1"/>
    <xf numFmtId="0" fontId="0" fillId="14" borderId="7" xfId="0" applyFill="1" applyBorder="1"/>
    <xf numFmtId="0" fontId="2" fillId="0" borderId="7" xfId="0" applyFont="1" applyBorder="1"/>
    <xf numFmtId="0" fontId="0" fillId="0" borderId="44" xfId="0" applyBorder="1"/>
    <xf numFmtId="0" fontId="0" fillId="0" borderId="13" xfId="0" applyBorder="1"/>
    <xf numFmtId="0" fontId="1" fillId="0" borderId="18" xfId="0" applyFont="1" applyBorder="1"/>
    <xf numFmtId="0" fontId="0" fillId="15" borderId="3" xfId="0" applyFill="1" applyBorder="1"/>
    <xf numFmtId="0" fontId="1" fillId="2" borderId="12" xfId="0" applyFont="1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0" fillId="2" borderId="7" xfId="0" applyFill="1" applyBorder="1"/>
    <xf numFmtId="0" fontId="0" fillId="11" borderId="7" xfId="0" applyFill="1" applyBorder="1"/>
    <xf numFmtId="0" fontId="1" fillId="15" borderId="0" xfId="0" applyFont="1" applyFill="1"/>
    <xf numFmtId="0" fontId="0" fillId="0" borderId="59" xfId="0" applyBorder="1"/>
    <xf numFmtId="0" fontId="0" fillId="11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0" fillId="16" borderId="1" xfId="0" applyFill="1" applyBorder="1"/>
    <xf numFmtId="14" fontId="0" fillId="0" borderId="2" xfId="0" applyNumberFormat="1" applyBorder="1"/>
    <xf numFmtId="0" fontId="0" fillId="2" borderId="17" xfId="0" applyFill="1" applyBorder="1"/>
    <xf numFmtId="0" fontId="0" fillId="0" borderId="22" xfId="0" applyBorder="1"/>
    <xf numFmtId="0" fontId="0" fillId="0" borderId="60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7" borderId="41" xfId="0" applyFill="1" applyBorder="1"/>
    <xf numFmtId="0" fontId="0" fillId="17" borderId="38" xfId="0" applyFill="1" applyBorder="1"/>
    <xf numFmtId="14" fontId="0" fillId="0" borderId="41" xfId="0" applyNumberFormat="1" applyFill="1" applyBorder="1"/>
    <xf numFmtId="14" fontId="0" fillId="0" borderId="61" xfId="0" applyNumberFormat="1" applyBorder="1"/>
    <xf numFmtId="0" fontId="0" fillId="10" borderId="25" xfId="0" applyFill="1" applyBorder="1"/>
    <xf numFmtId="0" fontId="0" fillId="0" borderId="62" xfId="0" applyBorder="1"/>
    <xf numFmtId="0" fontId="0" fillId="10" borderId="63" xfId="0" applyFill="1" applyBorder="1"/>
    <xf numFmtId="0" fontId="0" fillId="12" borderId="41" xfId="0" applyFill="1" applyBorder="1"/>
    <xf numFmtId="14" fontId="0" fillId="0" borderId="64" xfId="0" applyNumberFormat="1" applyBorder="1"/>
    <xf numFmtId="14" fontId="0" fillId="0" borderId="65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1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0" fillId="0" borderId="0" xfId="1" applyNumberFormat="1" applyFont="1" applyBorder="1"/>
    <xf numFmtId="0" fontId="0" fillId="0" borderId="45" xfId="0" applyBorder="1"/>
    <xf numFmtId="164" fontId="0" fillId="0" borderId="13" xfId="1" applyNumberFormat="1" applyFont="1" applyBorder="1"/>
    <xf numFmtId="0" fontId="0" fillId="7" borderId="44" xfId="0" applyFill="1" applyBorder="1"/>
    <xf numFmtId="0" fontId="0" fillId="2" borderId="0" xfId="0" applyFill="1" applyBorder="1"/>
    <xf numFmtId="3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43" zoomScale="83" zoomScaleNormal="83" workbookViewId="0">
      <selection activeCell="C63" sqref="C63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49" t="s">
        <v>183</v>
      </c>
      <c r="B1" s="250"/>
      <c r="C1" s="250"/>
      <c r="D1" s="250"/>
      <c r="E1" s="250"/>
      <c r="F1" s="251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46" t="s">
        <v>173</v>
      </c>
      <c r="B105" s="247"/>
      <c r="C105" s="247"/>
      <c r="D105" s="247"/>
      <c r="E105" s="247"/>
      <c r="F105" s="247"/>
      <c r="G105" s="248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topLeftCell="A42" workbookViewId="0">
      <selection activeCell="A36" sqref="A36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10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10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10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10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10" x14ac:dyDescent="0.3">
      <c r="A37" s="44"/>
      <c r="B37" s="37"/>
      <c r="C37" s="44"/>
      <c r="E37" s="44"/>
      <c r="F37" s="158"/>
      <c r="G37" s="158"/>
      <c r="H37" s="2"/>
      <c r="I37" s="158"/>
    </row>
    <row r="38" spans="1:10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  <c r="J38" t="s">
        <v>511</v>
      </c>
    </row>
    <row r="39" spans="1:10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10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10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10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10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10" x14ac:dyDescent="0.3">
      <c r="A44" s="44"/>
      <c r="B44" s="37"/>
      <c r="C44" s="44"/>
      <c r="E44" s="37"/>
      <c r="F44" s="35"/>
      <c r="G44" s="37"/>
      <c r="H44" s="37"/>
      <c r="I44" s="114"/>
    </row>
    <row r="45" spans="1:10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10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10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10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56" t="s">
        <v>512</v>
      </c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254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254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254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254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254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255">
        <f>(E94-C94)/C94</f>
        <v>0.28439597315436244</v>
      </c>
      <c r="G94" s="253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174A-C960-43D4-8F13-E2C71765B1E2}">
  <dimension ref="A1:P192"/>
  <sheetViews>
    <sheetView workbookViewId="0">
      <selection activeCell="C95" sqref="C95"/>
    </sheetView>
  </sheetViews>
  <sheetFormatPr defaultRowHeight="14.4" x14ac:dyDescent="0.3"/>
  <cols>
    <col min="1" max="1" width="56.44140625" customWidth="1"/>
    <col min="2" max="2" width="52" hidden="1" customWidth="1"/>
    <col min="3" max="6" width="10.6640625" bestFit="1" customWidth="1"/>
    <col min="7" max="7" width="26.109375" bestFit="1" customWidth="1"/>
    <col min="8" max="8" width="28.6640625" bestFit="1" customWidth="1"/>
    <col min="9" max="9" width="42.5546875" customWidth="1"/>
    <col min="10" max="10" width="17.5546875" bestFit="1" customWidth="1"/>
    <col min="11" max="13" width="10.6640625" bestFit="1" customWidth="1"/>
    <col min="15" max="15" width="17.88671875" bestFit="1" customWidth="1"/>
  </cols>
  <sheetData>
    <row r="1" spans="1:16" ht="22.2" thickTop="1" thickBot="1" x14ac:dyDescent="0.45">
      <c r="A1" s="252" t="s">
        <v>498</v>
      </c>
      <c r="B1" s="247"/>
      <c r="C1" s="247"/>
      <c r="D1" s="247"/>
      <c r="E1" s="247"/>
      <c r="F1" s="248"/>
    </row>
    <row r="2" spans="1:16" ht="15.6" thickTop="1" thickBot="1" x14ac:dyDescent="0.35"/>
    <row r="3" spans="1:16" ht="15.6" thickTop="1" thickBot="1" x14ac:dyDescent="0.35">
      <c r="C3" s="1">
        <v>43830</v>
      </c>
      <c r="D3" s="1">
        <v>43465</v>
      </c>
      <c r="E3" s="1">
        <v>43100</v>
      </c>
      <c r="F3" s="1">
        <v>42735</v>
      </c>
    </row>
    <row r="4" spans="1:16" ht="15.6" thickTop="1" thickBot="1" x14ac:dyDescent="0.35">
      <c r="A4" s="215" t="s">
        <v>497</v>
      </c>
      <c r="C4" s="225"/>
      <c r="D4" s="225"/>
      <c r="E4" s="225"/>
      <c r="F4" s="225"/>
    </row>
    <row r="5" spans="1:16" ht="15.6" thickTop="1" thickBot="1" x14ac:dyDescent="0.35">
      <c r="A5" s="17" t="s">
        <v>496</v>
      </c>
      <c r="B5" s="205" t="s">
        <v>495</v>
      </c>
      <c r="C5" s="4"/>
      <c r="D5" s="4"/>
      <c r="E5" s="4"/>
      <c r="F5" s="4"/>
    </row>
    <row r="6" spans="1:16" ht="15.6" thickTop="1" thickBot="1" x14ac:dyDescent="0.35">
      <c r="A6" s="204" t="s">
        <v>494</v>
      </c>
      <c r="B6" s="205" t="s">
        <v>493</v>
      </c>
      <c r="C6" s="4">
        <v>4869</v>
      </c>
      <c r="D6" s="4"/>
    </row>
    <row r="7" spans="1:16" x14ac:dyDescent="0.3">
      <c r="A7" t="s">
        <v>492</v>
      </c>
      <c r="C7" s="4">
        <v>112</v>
      </c>
      <c r="D7" s="4">
        <v>116</v>
      </c>
      <c r="E7" s="4"/>
      <c r="F7" s="4"/>
    </row>
    <row r="8" spans="1:16" x14ac:dyDescent="0.3">
      <c r="A8" t="s">
        <v>491</v>
      </c>
      <c r="C8" s="4">
        <v>594</v>
      </c>
      <c r="D8" s="4">
        <v>590</v>
      </c>
      <c r="E8" s="4"/>
      <c r="F8" s="4"/>
    </row>
    <row r="9" spans="1:16" x14ac:dyDescent="0.3">
      <c r="A9" t="s">
        <v>490</v>
      </c>
      <c r="C9" s="4">
        <v>3591</v>
      </c>
      <c r="D9" s="4">
        <v>3460</v>
      </c>
      <c r="E9" s="4"/>
      <c r="F9" s="4"/>
    </row>
    <row r="10" spans="1:16" x14ac:dyDescent="0.3">
      <c r="A10" t="s">
        <v>489</v>
      </c>
      <c r="C10" s="4">
        <v>45</v>
      </c>
      <c r="D10" s="4">
        <v>38</v>
      </c>
      <c r="E10" s="4"/>
      <c r="F10" s="4"/>
    </row>
    <row r="11" spans="1:16" x14ac:dyDescent="0.3">
      <c r="A11" t="s">
        <v>488</v>
      </c>
      <c r="C11" s="4">
        <v>127</v>
      </c>
      <c r="D11" s="4">
        <v>120</v>
      </c>
      <c r="E11" s="4"/>
      <c r="F11" s="4"/>
    </row>
    <row r="12" spans="1:16" x14ac:dyDescent="0.3">
      <c r="A12" t="s">
        <v>487</v>
      </c>
      <c r="C12" s="4">
        <v>28</v>
      </c>
      <c r="D12" s="4">
        <v>66</v>
      </c>
      <c r="E12" s="4"/>
      <c r="F12" s="4"/>
    </row>
    <row r="13" spans="1:16" ht="15" thickBot="1" x14ac:dyDescent="0.35">
      <c r="A13" t="s">
        <v>486</v>
      </c>
      <c r="C13" s="4">
        <v>131</v>
      </c>
      <c r="D13" s="4">
        <v>85</v>
      </c>
      <c r="E13" s="4"/>
      <c r="F13" s="4"/>
      <c r="I13" t="s">
        <v>485</v>
      </c>
    </row>
    <row r="14" spans="1:16" ht="15.6" thickTop="1" thickBot="1" x14ac:dyDescent="0.35">
      <c r="A14" t="s">
        <v>484</v>
      </c>
      <c r="C14" s="4">
        <v>101</v>
      </c>
      <c r="D14" s="4">
        <v>91</v>
      </c>
      <c r="E14" s="4"/>
      <c r="F14" s="4"/>
      <c r="J14" s="1">
        <v>43830</v>
      </c>
      <c r="K14" s="1">
        <v>43465</v>
      </c>
      <c r="L14" s="1">
        <v>43100</v>
      </c>
      <c r="M14" s="1">
        <v>42735</v>
      </c>
    </row>
    <row r="15" spans="1:16" ht="15.6" thickTop="1" thickBot="1" x14ac:dyDescent="0.35">
      <c r="A15" t="s">
        <v>483</v>
      </c>
      <c r="C15" s="4">
        <v>140</v>
      </c>
      <c r="D15" s="4">
        <v>54</v>
      </c>
      <c r="E15" s="4"/>
      <c r="F15" s="4"/>
      <c r="H15" s="224"/>
      <c r="I15" t="s">
        <v>482</v>
      </c>
      <c r="J15">
        <f>(C121+C123+D126+D127)-(C185-C188)</f>
        <v>2972</v>
      </c>
      <c r="K15">
        <f>(D121+D123+C126+C127)-(D185+D188)</f>
        <v>3107</v>
      </c>
      <c r="L15">
        <f>E128-E189</f>
        <v>0</v>
      </c>
      <c r="M15">
        <f>F128-F189</f>
        <v>0</v>
      </c>
      <c r="O15" t="s">
        <v>481</v>
      </c>
      <c r="P15">
        <f>J15-K15</f>
        <v>-135</v>
      </c>
    </row>
    <row r="16" spans="1:16" ht="15.6" thickTop="1" thickBot="1" x14ac:dyDescent="0.35">
      <c r="A16" s="18" t="s">
        <v>301</v>
      </c>
      <c r="C16" s="4">
        <f>SUM(C7:C15)</f>
        <v>4869</v>
      </c>
      <c r="D16" s="4">
        <f>SUM(D7:D15)</f>
        <v>4620</v>
      </c>
      <c r="E16" s="4">
        <v>4606</v>
      </c>
      <c r="F16" s="4">
        <v>5129</v>
      </c>
      <c r="H16" s="223"/>
      <c r="I16" t="s">
        <v>480</v>
      </c>
      <c r="J16">
        <f>C58+D140</f>
        <v>5</v>
      </c>
      <c r="K16" t="e">
        <f>#REF!+D58</f>
        <v>#REF!</v>
      </c>
    </row>
    <row r="17" spans="1:11" ht="15.6" thickTop="1" thickBot="1" x14ac:dyDescent="0.35">
      <c r="A17" t="s">
        <v>403</v>
      </c>
      <c r="C17" s="4"/>
      <c r="D17" s="4"/>
      <c r="E17" s="4"/>
      <c r="F17" s="4"/>
      <c r="H17" s="222"/>
      <c r="I17" t="s">
        <v>479</v>
      </c>
      <c r="J17">
        <f>C121+C123+C124+D127</f>
        <v>1562</v>
      </c>
      <c r="K17">
        <f>D121+D123+D124+C127</f>
        <v>1629</v>
      </c>
    </row>
    <row r="18" spans="1:11" ht="15.6" thickTop="1" thickBot="1" x14ac:dyDescent="0.35">
      <c r="A18" t="s">
        <v>478</v>
      </c>
      <c r="C18" s="4">
        <v>11065</v>
      </c>
      <c r="D18" s="4">
        <v>10520</v>
      </c>
      <c r="E18" s="4"/>
      <c r="F18" s="4"/>
      <c r="H18" s="221"/>
      <c r="I18" t="s">
        <v>477</v>
      </c>
      <c r="J18">
        <f>C185+C186+C188</f>
        <v>0</v>
      </c>
      <c r="K18">
        <f>D185+D186+D188</f>
        <v>0</v>
      </c>
    </row>
    <row r="19" spans="1:11" ht="15.6" thickTop="1" thickBot="1" x14ac:dyDescent="0.35">
      <c r="A19" t="s">
        <v>476</v>
      </c>
      <c r="C19" s="4">
        <v>-5376</v>
      </c>
      <c r="D19" s="4">
        <v>-5045</v>
      </c>
      <c r="E19" s="4"/>
      <c r="F19" s="4"/>
      <c r="H19" s="220"/>
      <c r="I19" t="s">
        <v>475</v>
      </c>
      <c r="J19">
        <f>C60-C58+D125</f>
        <v>25</v>
      </c>
      <c r="K19">
        <f>D57+D59+C125</f>
        <v>48</v>
      </c>
    </row>
    <row r="20" spans="1:11" ht="15.6" thickTop="1" thickBot="1" x14ac:dyDescent="0.35">
      <c r="A20" t="s">
        <v>474</v>
      </c>
      <c r="C20" s="4">
        <v>-820</v>
      </c>
      <c r="D20" s="4">
        <v>-855</v>
      </c>
      <c r="E20" s="4"/>
      <c r="F20" s="4"/>
      <c r="H20" s="219"/>
    </row>
    <row r="21" spans="1:11" ht="15.6" thickTop="1" thickBot="1" x14ac:dyDescent="0.35">
      <c r="A21" s="204" t="s">
        <v>473</v>
      </c>
      <c r="B21" s="205" t="s">
        <v>472</v>
      </c>
      <c r="C21" s="4"/>
      <c r="D21" s="4"/>
      <c r="E21" s="4"/>
      <c r="F21" s="4"/>
    </row>
    <row r="22" spans="1:11" x14ac:dyDescent="0.3">
      <c r="A22" t="s">
        <v>471</v>
      </c>
      <c r="C22" s="4">
        <v>31</v>
      </c>
      <c r="D22" s="4">
        <v>24</v>
      </c>
      <c r="E22" s="4"/>
      <c r="F22" s="4"/>
      <c r="I22" s="218" t="s">
        <v>470</v>
      </c>
      <c r="J22">
        <f>(J17-J18)+J19</f>
        <v>1587</v>
      </c>
    </row>
    <row r="23" spans="1:11" x14ac:dyDescent="0.3">
      <c r="A23" t="s">
        <v>469</v>
      </c>
      <c r="C23" s="4">
        <v>1616</v>
      </c>
      <c r="D23" s="4">
        <v>1502</v>
      </c>
      <c r="E23" s="4"/>
      <c r="F23" s="4"/>
      <c r="I23" s="218" t="s">
        <v>468</v>
      </c>
    </row>
    <row r="24" spans="1:11" x14ac:dyDescent="0.3">
      <c r="A24" t="s">
        <v>467</v>
      </c>
      <c r="C24" s="4">
        <v>374</v>
      </c>
      <c r="D24" s="4">
        <v>444</v>
      </c>
      <c r="E24" s="4"/>
      <c r="F24" s="4"/>
    </row>
    <row r="25" spans="1:11" x14ac:dyDescent="0.3">
      <c r="A25" t="s">
        <v>466</v>
      </c>
      <c r="C25" s="4">
        <v>62</v>
      </c>
      <c r="D25" s="4">
        <v>44</v>
      </c>
      <c r="E25" s="4"/>
      <c r="F25" s="4"/>
    </row>
    <row r="26" spans="1:11" ht="15" thickBot="1" x14ac:dyDescent="0.35">
      <c r="A26" t="s">
        <v>465</v>
      </c>
      <c r="C26" s="4">
        <v>296</v>
      </c>
      <c r="D26" s="4">
        <v>288</v>
      </c>
      <c r="E26" s="4"/>
      <c r="F26" s="4"/>
    </row>
    <row r="27" spans="1:11" ht="15" thickBot="1" x14ac:dyDescent="0.35">
      <c r="A27" s="18" t="s">
        <v>301</v>
      </c>
      <c r="C27" s="4">
        <f>SUM(C22:C26)</f>
        <v>2379</v>
      </c>
      <c r="D27" s="4">
        <f>SUM(D22:D26)</f>
        <v>2302</v>
      </c>
      <c r="E27" s="4">
        <v>1863</v>
      </c>
      <c r="F27" s="4">
        <v>1704</v>
      </c>
    </row>
    <row r="28" spans="1:11" ht="15" thickBot="1" x14ac:dyDescent="0.35">
      <c r="A28" s="200" t="s">
        <v>464</v>
      </c>
      <c r="C28" s="4"/>
      <c r="D28" s="4"/>
      <c r="E28" s="4"/>
      <c r="F28" s="4"/>
    </row>
    <row r="29" spans="1:11" ht="15.6" thickTop="1" thickBot="1" x14ac:dyDescent="0.35">
      <c r="A29" s="209" t="s">
        <v>463</v>
      </c>
      <c r="B29" s="205" t="s">
        <v>462</v>
      </c>
      <c r="C29" s="4">
        <v>38</v>
      </c>
      <c r="D29" s="4">
        <v>16</v>
      </c>
      <c r="E29" s="4"/>
      <c r="F29" s="4"/>
    </row>
    <row r="30" spans="1:11" ht="15.6" thickTop="1" thickBot="1" x14ac:dyDescent="0.35">
      <c r="A30" s="210" t="s">
        <v>461</v>
      </c>
      <c r="B30" s="217" t="s">
        <v>457</v>
      </c>
      <c r="C30" s="4">
        <v>27</v>
      </c>
      <c r="D30" s="4">
        <v>29</v>
      </c>
      <c r="E30" s="4"/>
      <c r="F30" s="4"/>
    </row>
    <row r="31" spans="1:11" ht="15" thickBot="1" x14ac:dyDescent="0.35">
      <c r="A31" s="201" t="s">
        <v>301</v>
      </c>
      <c r="C31" s="4">
        <f>SUM(C29:C30)</f>
        <v>65</v>
      </c>
      <c r="D31" s="4">
        <f>SUM(D29:D30)</f>
        <v>45</v>
      </c>
      <c r="E31" s="4">
        <v>63</v>
      </c>
      <c r="F31" s="4">
        <v>67</v>
      </c>
    </row>
    <row r="32" spans="1:11" ht="15.6" thickTop="1" thickBot="1" x14ac:dyDescent="0.35">
      <c r="A32" s="204" t="s">
        <v>90</v>
      </c>
      <c r="B32" s="216" t="s">
        <v>460</v>
      </c>
      <c r="C32" s="4">
        <v>277</v>
      </c>
      <c r="D32" s="4">
        <v>264</v>
      </c>
      <c r="E32" s="4">
        <v>301</v>
      </c>
      <c r="F32" s="4">
        <v>341</v>
      </c>
      <c r="G32" t="s">
        <v>459</v>
      </c>
    </row>
    <row r="33" spans="1:6" ht="15.6" thickTop="1" thickBot="1" x14ac:dyDescent="0.35">
      <c r="A33" s="204" t="s">
        <v>458</v>
      </c>
      <c r="B33" s="205" t="s">
        <v>457</v>
      </c>
      <c r="C33" s="4"/>
      <c r="D33" s="4"/>
      <c r="E33" s="4"/>
      <c r="F33" s="4"/>
    </row>
    <row r="34" spans="1:6" x14ac:dyDescent="0.3">
      <c r="A34" t="s">
        <v>377</v>
      </c>
      <c r="C34" s="4">
        <v>2</v>
      </c>
      <c r="D34" s="4">
        <v>8</v>
      </c>
      <c r="E34" s="4"/>
      <c r="F34" s="4"/>
    </row>
    <row r="35" spans="1:6" x14ac:dyDescent="0.3">
      <c r="A35" t="s">
        <v>456</v>
      </c>
      <c r="C35" s="4">
        <v>23</v>
      </c>
      <c r="D35" s="4">
        <v>12</v>
      </c>
      <c r="E35" s="4">
        <v>8</v>
      </c>
      <c r="F35" s="4">
        <v>12</v>
      </c>
    </row>
    <row r="36" spans="1:6" ht="15" thickBot="1" x14ac:dyDescent="0.35">
      <c r="A36" s="201" t="s">
        <v>301</v>
      </c>
      <c r="C36" s="4">
        <f>SUM(C34:C35)</f>
        <v>25</v>
      </c>
      <c r="D36" s="4">
        <f>SUM(D34:D35)</f>
        <v>20</v>
      </c>
      <c r="E36" s="4">
        <v>44</v>
      </c>
      <c r="F36" s="4">
        <v>69</v>
      </c>
    </row>
    <row r="37" spans="1:6" ht="15" thickBot="1" x14ac:dyDescent="0.35">
      <c r="A37" s="18" t="s">
        <v>455</v>
      </c>
      <c r="C37" s="4">
        <f>SUM(C16,C27,C31,C32,C36)</f>
        <v>7615</v>
      </c>
      <c r="D37" s="4">
        <f>SUM(D16,D27,D31,D32,D36)</f>
        <v>7251</v>
      </c>
      <c r="E37" s="4">
        <f>SUM(E16,E27,E31,E32,E36,E35)</f>
        <v>6885</v>
      </c>
      <c r="F37" s="4">
        <f>SUM(F16,F27,F31,F32,F36,F35)</f>
        <v>7322</v>
      </c>
    </row>
    <row r="38" spans="1:6" ht="15" thickBot="1" x14ac:dyDescent="0.35">
      <c r="A38" s="18" t="s">
        <v>454</v>
      </c>
      <c r="C38" s="4"/>
      <c r="D38" s="4"/>
      <c r="E38" s="4"/>
      <c r="F38" s="4"/>
    </row>
    <row r="39" spans="1:6" ht="15" thickBot="1" x14ac:dyDescent="0.35">
      <c r="A39" s="204" t="s">
        <v>453</v>
      </c>
      <c r="C39" s="4"/>
      <c r="D39" s="4"/>
      <c r="E39" s="4"/>
      <c r="F39" s="4"/>
    </row>
    <row r="40" spans="1:6" x14ac:dyDescent="0.3">
      <c r="A40" t="s">
        <v>452</v>
      </c>
      <c r="C40" s="4">
        <v>75</v>
      </c>
      <c r="D40" s="4">
        <v>69</v>
      </c>
      <c r="E40" s="4"/>
      <c r="F40" s="4"/>
    </row>
    <row r="41" spans="1:6" x14ac:dyDescent="0.3">
      <c r="A41" t="s">
        <v>451</v>
      </c>
      <c r="C41" s="4">
        <v>-18</v>
      </c>
      <c r="D41" s="4">
        <v>-17</v>
      </c>
      <c r="E41" s="4"/>
      <c r="F41" s="4"/>
    </row>
    <row r="42" spans="1:6" x14ac:dyDescent="0.3">
      <c r="A42" t="s">
        <v>450</v>
      </c>
      <c r="C42" s="4">
        <f>SUM(C40:C41)</f>
        <v>57</v>
      </c>
      <c r="D42" s="4">
        <f>SUM(D40:D41)</f>
        <v>52</v>
      </c>
      <c r="E42" s="4"/>
      <c r="F42" s="4"/>
    </row>
    <row r="43" spans="1:6" x14ac:dyDescent="0.3">
      <c r="A43" t="s">
        <v>449</v>
      </c>
      <c r="C43" s="4">
        <v>112</v>
      </c>
      <c r="D43" s="4">
        <v>129</v>
      </c>
      <c r="E43" s="4"/>
      <c r="F43" s="4"/>
    </row>
    <row r="44" spans="1:6" x14ac:dyDescent="0.3">
      <c r="A44" t="s">
        <v>293</v>
      </c>
      <c r="C44" s="4">
        <v>4</v>
      </c>
      <c r="D44" s="4">
        <v>2</v>
      </c>
      <c r="E44" s="4"/>
      <c r="F44" s="4"/>
    </row>
    <row r="45" spans="1:6" x14ac:dyDescent="0.3">
      <c r="A45" s="201" t="s">
        <v>448</v>
      </c>
      <c r="C45" s="4">
        <f>SUM(C43,C42,C44)</f>
        <v>173</v>
      </c>
      <c r="D45" s="4">
        <f>SUM(D43,D42,D44)</f>
        <v>183</v>
      </c>
      <c r="E45" s="4"/>
      <c r="F45" s="4"/>
    </row>
    <row r="46" spans="1:6" ht="15" thickBot="1" x14ac:dyDescent="0.35">
      <c r="A46" s="201" t="s">
        <v>447</v>
      </c>
      <c r="C46" s="4">
        <v>11</v>
      </c>
      <c r="D46" s="4">
        <v>4</v>
      </c>
      <c r="E46" s="4"/>
      <c r="F46" s="4"/>
    </row>
    <row r="47" spans="1:6" ht="15" thickBot="1" x14ac:dyDescent="0.35">
      <c r="A47" s="211" t="s">
        <v>301</v>
      </c>
      <c r="C47" s="4">
        <f>SUM(C45,C46)</f>
        <v>184</v>
      </c>
      <c r="D47" s="4">
        <f>SUM(D45,D46)</f>
        <v>187</v>
      </c>
      <c r="E47" s="4">
        <v>147</v>
      </c>
      <c r="F47" s="4">
        <v>159</v>
      </c>
    </row>
    <row r="48" spans="1:6" ht="15" thickBot="1" x14ac:dyDescent="0.35">
      <c r="A48" s="204" t="s">
        <v>446</v>
      </c>
      <c r="C48" s="4"/>
      <c r="D48" s="4"/>
      <c r="E48" s="4"/>
      <c r="F48" s="4"/>
    </row>
    <row r="49" spans="1:6" x14ac:dyDescent="0.3">
      <c r="A49" t="s">
        <v>445</v>
      </c>
      <c r="C49" s="4">
        <v>756</v>
      </c>
      <c r="D49" s="4">
        <v>1030</v>
      </c>
      <c r="E49" s="4"/>
      <c r="F49" s="4"/>
    </row>
    <row r="50" spans="1:6" x14ac:dyDescent="0.3">
      <c r="A50" t="s">
        <v>444</v>
      </c>
      <c r="C50" s="4">
        <v>1204</v>
      </c>
      <c r="D50" s="4">
        <v>914</v>
      </c>
      <c r="E50" s="4"/>
      <c r="F50" s="4"/>
    </row>
    <row r="51" spans="1:6" ht="15" thickBot="1" x14ac:dyDescent="0.35">
      <c r="A51" t="s">
        <v>443</v>
      </c>
      <c r="C51" s="4">
        <v>-108</v>
      </c>
      <c r="D51" s="4">
        <v>-163</v>
      </c>
      <c r="E51" s="4"/>
      <c r="F51" s="4"/>
    </row>
    <row r="52" spans="1:6" ht="15" thickBot="1" x14ac:dyDescent="0.35">
      <c r="A52" s="211" t="s">
        <v>301</v>
      </c>
      <c r="C52" s="4">
        <f>SUM(C49:C51)</f>
        <v>1852</v>
      </c>
      <c r="D52" s="4">
        <f>SUM(D49:D51)</f>
        <v>1781</v>
      </c>
      <c r="E52" s="4">
        <v>1671</v>
      </c>
      <c r="F52" s="4">
        <v>1821</v>
      </c>
    </row>
    <row r="53" spans="1:6" ht="15" thickBot="1" x14ac:dyDescent="0.35">
      <c r="A53" s="204" t="s">
        <v>442</v>
      </c>
      <c r="C53" s="4"/>
      <c r="D53" s="4"/>
      <c r="E53" s="4"/>
      <c r="F53" s="4"/>
    </row>
    <row r="54" spans="1:6" ht="15" thickBot="1" x14ac:dyDescent="0.35">
      <c r="A54" s="201" t="s">
        <v>369</v>
      </c>
      <c r="B54" t="s">
        <v>441</v>
      </c>
      <c r="C54" s="4">
        <v>371</v>
      </c>
      <c r="D54" s="4">
        <v>163</v>
      </c>
      <c r="E54" s="4"/>
      <c r="F54" s="4"/>
    </row>
    <row r="55" spans="1:6" ht="15.6" thickTop="1" thickBot="1" x14ac:dyDescent="0.35">
      <c r="A55" s="201" t="s">
        <v>440</v>
      </c>
      <c r="B55" s="205"/>
      <c r="C55" s="4">
        <v>196</v>
      </c>
      <c r="D55" s="4">
        <v>150</v>
      </c>
      <c r="E55" s="4"/>
      <c r="F55" s="4"/>
    </row>
    <row r="56" spans="1:6" ht="15.6" thickTop="1" thickBot="1" x14ac:dyDescent="0.35">
      <c r="A56" t="s">
        <v>439</v>
      </c>
      <c r="C56" s="4">
        <v>69</v>
      </c>
      <c r="D56" s="4">
        <v>46</v>
      </c>
      <c r="E56" s="4"/>
      <c r="F56" s="4"/>
    </row>
    <row r="57" spans="1:6" ht="15.6" thickTop="1" thickBot="1" x14ac:dyDescent="0.35">
      <c r="A57" t="s">
        <v>438</v>
      </c>
      <c r="B57" s="205"/>
      <c r="C57" s="4">
        <v>39</v>
      </c>
      <c r="D57" s="4">
        <v>35</v>
      </c>
      <c r="E57" s="4"/>
      <c r="F57" s="4"/>
    </row>
    <row r="58" spans="1:6" ht="15.6" thickTop="1" thickBot="1" x14ac:dyDescent="0.35">
      <c r="A58" t="s">
        <v>437</v>
      </c>
      <c r="B58" s="205"/>
      <c r="C58" s="4">
        <v>1</v>
      </c>
      <c r="D58" s="4">
        <v>1</v>
      </c>
      <c r="E58" s="4"/>
      <c r="F58" s="4"/>
    </row>
    <row r="59" spans="1:6" ht="15.6" thickTop="1" thickBot="1" x14ac:dyDescent="0.35">
      <c r="A59" t="s">
        <v>436</v>
      </c>
      <c r="B59" s="205"/>
      <c r="C59" s="4">
        <v>14</v>
      </c>
      <c r="D59" s="4">
        <v>10</v>
      </c>
      <c r="E59" s="4"/>
      <c r="F59" s="4"/>
    </row>
    <row r="60" spans="1:6" ht="15.6" thickTop="1" thickBot="1" x14ac:dyDescent="0.35">
      <c r="A60" t="s">
        <v>435</v>
      </c>
      <c r="B60" s="205"/>
      <c r="C60" s="4">
        <v>23</v>
      </c>
      <c r="D60" s="4">
        <v>22</v>
      </c>
      <c r="E60" s="4"/>
      <c r="F60" s="4"/>
    </row>
    <row r="61" spans="1:6" ht="15" thickTop="1" x14ac:dyDescent="0.3">
      <c r="A61" t="s">
        <v>434</v>
      </c>
      <c r="C61" s="4">
        <v>2</v>
      </c>
      <c r="D61" s="4">
        <v>2</v>
      </c>
      <c r="E61" s="4"/>
      <c r="F61" s="4"/>
    </row>
    <row r="62" spans="1:6" x14ac:dyDescent="0.3">
      <c r="A62" t="s">
        <v>433</v>
      </c>
      <c r="C62" s="4">
        <v>3</v>
      </c>
      <c r="D62" s="4">
        <v>3</v>
      </c>
      <c r="E62" s="4"/>
      <c r="F62" s="4"/>
    </row>
    <row r="63" spans="1:6" x14ac:dyDescent="0.3">
      <c r="A63" t="s">
        <v>432</v>
      </c>
      <c r="C63" s="4">
        <v>1</v>
      </c>
      <c r="D63" s="4">
        <v>1</v>
      </c>
      <c r="E63" s="4"/>
      <c r="F63" s="4"/>
    </row>
    <row r="64" spans="1:6" x14ac:dyDescent="0.3">
      <c r="A64" t="s">
        <v>431</v>
      </c>
      <c r="C64" s="4">
        <v>2</v>
      </c>
      <c r="D64" s="4">
        <v>1</v>
      </c>
      <c r="E64" s="4"/>
      <c r="F64" s="4"/>
    </row>
    <row r="65" spans="1:6" x14ac:dyDescent="0.3">
      <c r="A65" t="s">
        <v>430</v>
      </c>
      <c r="C65" s="4">
        <v>2</v>
      </c>
      <c r="D65" s="4"/>
      <c r="E65" s="4"/>
      <c r="F65" s="4"/>
    </row>
    <row r="66" spans="1:6" x14ac:dyDescent="0.3">
      <c r="A66" t="s">
        <v>429</v>
      </c>
      <c r="C66" s="4">
        <v>2</v>
      </c>
      <c r="D66" s="4">
        <v>2</v>
      </c>
      <c r="E66" s="4"/>
      <c r="F66" s="4"/>
    </row>
    <row r="67" spans="1:6" x14ac:dyDescent="0.3">
      <c r="A67" t="s">
        <v>428</v>
      </c>
      <c r="C67" s="4">
        <v>3</v>
      </c>
      <c r="D67" s="4">
        <v>2</v>
      </c>
      <c r="E67" s="4"/>
      <c r="F67" s="4"/>
    </row>
    <row r="68" spans="1:6" x14ac:dyDescent="0.3">
      <c r="A68" t="s">
        <v>427</v>
      </c>
      <c r="C68" s="4"/>
      <c r="D68" s="4"/>
      <c r="E68" s="4"/>
      <c r="F68" s="4"/>
    </row>
    <row r="69" spans="1:6" ht="15" thickBot="1" x14ac:dyDescent="0.35">
      <c r="A69" t="s">
        <v>426</v>
      </c>
      <c r="C69" s="4">
        <v>35</v>
      </c>
      <c r="D69" s="4">
        <v>25</v>
      </c>
      <c r="E69" s="4"/>
      <c r="F69" s="4"/>
    </row>
    <row r="70" spans="1:6" ht="15" thickBot="1" x14ac:dyDescent="0.35">
      <c r="A70" s="211" t="s">
        <v>301</v>
      </c>
      <c r="C70" s="4">
        <f>SUM(C54,C55)</f>
        <v>567</v>
      </c>
      <c r="D70" s="4">
        <f>SUM(D54,D55)</f>
        <v>313</v>
      </c>
      <c r="E70" s="4">
        <v>216</v>
      </c>
      <c r="F70" s="4">
        <v>389</v>
      </c>
    </row>
    <row r="71" spans="1:6" ht="15" thickBot="1" x14ac:dyDescent="0.35">
      <c r="A71" s="204" t="s">
        <v>425</v>
      </c>
      <c r="C71" s="4"/>
      <c r="D71" s="4"/>
      <c r="E71" s="4"/>
      <c r="F71" s="4"/>
    </row>
    <row r="72" spans="1:6" x14ac:dyDescent="0.3">
      <c r="A72" t="s">
        <v>424</v>
      </c>
      <c r="C72" s="4">
        <v>9</v>
      </c>
      <c r="D72" s="4">
        <v>15</v>
      </c>
      <c r="E72" s="4"/>
      <c r="F72" s="4"/>
    </row>
    <row r="73" spans="1:6" x14ac:dyDescent="0.3">
      <c r="A73" t="s">
        <v>423</v>
      </c>
      <c r="C73" s="4">
        <v>1</v>
      </c>
      <c r="D73" s="4">
        <v>1</v>
      </c>
      <c r="E73" s="4"/>
      <c r="F73" s="4"/>
    </row>
    <row r="74" spans="1:6" ht="15" thickBot="1" x14ac:dyDescent="0.35">
      <c r="A74" t="s">
        <v>422</v>
      </c>
      <c r="C74" s="4"/>
      <c r="D74" s="4"/>
      <c r="E74" s="4"/>
      <c r="F74" s="4"/>
    </row>
    <row r="75" spans="1:6" ht="15" thickBot="1" x14ac:dyDescent="0.35">
      <c r="A75" s="211" t="s">
        <v>301</v>
      </c>
      <c r="C75" s="4">
        <f>SUM(C72:C73)</f>
        <v>10</v>
      </c>
      <c r="D75" s="4">
        <f>SUM(D72:D73)</f>
        <v>16</v>
      </c>
      <c r="E75" s="4">
        <v>8</v>
      </c>
      <c r="F75" s="4">
        <v>218</v>
      </c>
    </row>
    <row r="76" spans="1:6" ht="15.6" thickTop="1" thickBot="1" x14ac:dyDescent="0.35">
      <c r="A76" s="204" t="s">
        <v>421</v>
      </c>
      <c r="B76" s="205" t="s">
        <v>420</v>
      </c>
      <c r="C76" s="4">
        <v>63</v>
      </c>
      <c r="D76" s="4">
        <v>49</v>
      </c>
      <c r="E76" s="4">
        <v>107</v>
      </c>
      <c r="F76" s="4">
        <v>70</v>
      </c>
    </row>
    <row r="77" spans="1:6" ht="15.6" thickTop="1" thickBot="1" x14ac:dyDescent="0.35">
      <c r="A77" s="204" t="s">
        <v>419</v>
      </c>
      <c r="B77" s="205" t="s">
        <v>418</v>
      </c>
      <c r="C77" s="4">
        <v>434</v>
      </c>
      <c r="D77" s="4">
        <v>624</v>
      </c>
      <c r="E77" s="4">
        <v>691</v>
      </c>
      <c r="F77" s="4">
        <v>402</v>
      </c>
    </row>
    <row r="78" spans="1:6" ht="15" thickBot="1" x14ac:dyDescent="0.35">
      <c r="A78" s="18" t="s">
        <v>417</v>
      </c>
      <c r="C78" s="4">
        <f>SUM(C77,C76,C75,C70,C52,C47,)</f>
        <v>3110</v>
      </c>
      <c r="D78" s="4">
        <f>SUM(D77,D76,D75,D70,D52,D47,)</f>
        <v>2970</v>
      </c>
      <c r="E78" s="4">
        <f>SUM(E77,E76,E75,E70,E52,E47,)</f>
        <v>2840</v>
      </c>
      <c r="F78" s="4">
        <f>SUM(F77,F76,F75,F70,F52,F47,)</f>
        <v>3059</v>
      </c>
    </row>
    <row r="79" spans="1:6" ht="15.6" thickTop="1" thickBot="1" x14ac:dyDescent="0.35">
      <c r="A79" s="18" t="s">
        <v>416</v>
      </c>
      <c r="B79" s="205" t="s">
        <v>415</v>
      </c>
      <c r="C79" s="4">
        <v>0</v>
      </c>
      <c r="D79" s="4">
        <v>112</v>
      </c>
      <c r="E79" s="4">
        <v>224</v>
      </c>
      <c r="F79" s="4">
        <v>6</v>
      </c>
    </row>
    <row r="80" spans="1:6" ht="15.6" thickTop="1" thickBot="1" x14ac:dyDescent="0.35">
      <c r="A80" s="18" t="s">
        <v>414</v>
      </c>
      <c r="B80" s="208" t="s">
        <v>413</v>
      </c>
      <c r="C80" s="4">
        <f>SUM(C79,C78,C37)</f>
        <v>10725</v>
      </c>
      <c r="D80" s="4">
        <f>SUM(D79,D78,D37)</f>
        <v>10333</v>
      </c>
      <c r="E80" s="4">
        <v>9949</v>
      </c>
      <c r="F80" s="4">
        <v>10387</v>
      </c>
    </row>
    <row r="81" spans="1:6" ht="15" thickBot="1" x14ac:dyDescent="0.35">
      <c r="C81" s="4"/>
      <c r="D81" s="4"/>
      <c r="E81" s="4"/>
      <c r="F81" s="4"/>
    </row>
    <row r="82" spans="1:6" ht="15.6" thickTop="1" thickBot="1" x14ac:dyDescent="0.35">
      <c r="A82" s="215" t="s">
        <v>412</v>
      </c>
      <c r="C82" s="4"/>
      <c r="D82" s="4"/>
      <c r="E82" s="4"/>
      <c r="F82" s="4"/>
    </row>
    <row r="83" spans="1:6" ht="15.6" thickTop="1" thickBot="1" x14ac:dyDescent="0.35">
      <c r="A83" s="17" t="s">
        <v>411</v>
      </c>
      <c r="B83" s="205" t="s">
        <v>410</v>
      </c>
      <c r="C83" s="4"/>
      <c r="D83" s="4"/>
      <c r="E83" s="4"/>
      <c r="F83" s="4"/>
    </row>
    <row r="84" spans="1:6" ht="15.6" thickTop="1" thickBot="1" x14ac:dyDescent="0.35">
      <c r="A84" s="204" t="s">
        <v>409</v>
      </c>
      <c r="B84" s="205" t="s">
        <v>408</v>
      </c>
      <c r="C84" s="4">
        <v>1629</v>
      </c>
      <c r="D84" s="4">
        <v>1629</v>
      </c>
      <c r="E84" s="4">
        <v>1629</v>
      </c>
      <c r="F84" s="4">
        <v>1629</v>
      </c>
    </row>
    <row r="85" spans="1:6" ht="15.6" thickTop="1" thickBot="1" x14ac:dyDescent="0.35">
      <c r="A85" s="204" t="s">
        <v>407</v>
      </c>
      <c r="B85" s="205" t="s">
        <v>406</v>
      </c>
      <c r="C85" s="4">
        <v>-54</v>
      </c>
      <c r="D85" s="4">
        <v>-54</v>
      </c>
      <c r="E85" s="4">
        <v>-54</v>
      </c>
      <c r="F85" s="4">
        <v>-54</v>
      </c>
    </row>
    <row r="86" spans="1:6" ht="15.6" thickTop="1" thickBot="1" x14ac:dyDescent="0.35">
      <c r="A86" s="204" t="s">
        <v>405</v>
      </c>
      <c r="B86" s="205" t="s">
        <v>404</v>
      </c>
      <c r="C86" s="4">
        <v>1325</v>
      </c>
      <c r="D86" s="4">
        <v>1216</v>
      </c>
      <c r="E86" s="4">
        <v>1010</v>
      </c>
      <c r="F86" s="4">
        <v>919</v>
      </c>
    </row>
    <row r="87" spans="1:6" x14ac:dyDescent="0.3">
      <c r="A87" t="s">
        <v>403</v>
      </c>
      <c r="C87" s="4"/>
      <c r="D87" s="4"/>
      <c r="E87" s="4"/>
      <c r="F87" s="4"/>
    </row>
    <row r="88" spans="1:6" ht="28.8" x14ac:dyDescent="0.3">
      <c r="A88" s="214" t="s">
        <v>402</v>
      </c>
      <c r="C88" s="4">
        <v>-41</v>
      </c>
      <c r="D88" s="4">
        <v>-9</v>
      </c>
      <c r="E88" s="4"/>
      <c r="F88" s="4"/>
    </row>
    <row r="89" spans="1:6" x14ac:dyDescent="0.3">
      <c r="A89" t="s">
        <v>399</v>
      </c>
      <c r="C89" s="4">
        <v>11</v>
      </c>
      <c r="D89" s="4">
        <v>2</v>
      </c>
      <c r="E89" s="4"/>
      <c r="F89" s="4"/>
    </row>
    <row r="90" spans="1:6" x14ac:dyDescent="0.3">
      <c r="A90" s="201" t="s">
        <v>401</v>
      </c>
      <c r="C90" s="4">
        <v>-30</v>
      </c>
      <c r="D90" s="4">
        <v>-7</v>
      </c>
      <c r="E90" s="4"/>
      <c r="F90" s="4"/>
    </row>
    <row r="91" spans="1:6" x14ac:dyDescent="0.3">
      <c r="A91" t="s">
        <v>400</v>
      </c>
      <c r="C91" s="4">
        <v>-77</v>
      </c>
      <c r="D91" s="4">
        <v>-70</v>
      </c>
      <c r="E91" s="4"/>
      <c r="F91" s="4"/>
    </row>
    <row r="92" spans="1:6" x14ac:dyDescent="0.3">
      <c r="A92" t="s">
        <v>399</v>
      </c>
      <c r="C92" s="4">
        <v>20</v>
      </c>
      <c r="D92" s="4">
        <v>18</v>
      </c>
      <c r="E92" s="4"/>
      <c r="F92" s="4"/>
    </row>
    <row r="93" spans="1:6" ht="15" thickBot="1" x14ac:dyDescent="0.35">
      <c r="A93" s="201" t="s">
        <v>398</v>
      </c>
      <c r="C93" s="4">
        <v>-57</v>
      </c>
      <c r="D93" s="4">
        <v>-52</v>
      </c>
      <c r="E93" s="4"/>
      <c r="F93" s="4"/>
    </row>
    <row r="94" spans="1:6" ht="15.6" thickTop="1" thickBot="1" x14ac:dyDescent="0.35">
      <c r="A94" s="204" t="s">
        <v>397</v>
      </c>
      <c r="B94" s="205" t="s">
        <v>396</v>
      </c>
      <c r="C94" s="4">
        <v>389</v>
      </c>
      <c r="D94" s="4">
        <v>344</v>
      </c>
      <c r="E94" s="4">
        <v>293</v>
      </c>
      <c r="F94" s="4">
        <v>232</v>
      </c>
    </row>
    <row r="95" spans="1:6" ht="15.6" thickTop="1" thickBot="1" x14ac:dyDescent="0.35">
      <c r="A95" s="213" t="s">
        <v>395</v>
      </c>
      <c r="B95" s="205" t="s">
        <v>394</v>
      </c>
      <c r="C95" s="4">
        <f>SUM(C84,C85,C86,C94,)</f>
        <v>3289</v>
      </c>
      <c r="D95" s="4">
        <f>SUM(D84,D85,D86,D94,)</f>
        <v>3135</v>
      </c>
      <c r="E95" s="4">
        <v>2878</v>
      </c>
      <c r="F95" s="4">
        <v>2726</v>
      </c>
    </row>
    <row r="96" spans="1:6" ht="15.6" thickTop="1" thickBot="1" x14ac:dyDescent="0.35">
      <c r="A96" s="204" t="s">
        <v>91</v>
      </c>
      <c r="B96" s="205" t="s">
        <v>393</v>
      </c>
      <c r="C96" s="4">
        <v>362</v>
      </c>
      <c r="D96" s="4">
        <v>388</v>
      </c>
      <c r="E96" s="4">
        <v>135</v>
      </c>
      <c r="F96" s="4">
        <v>553</v>
      </c>
    </row>
    <row r="97" spans="1:6" ht="15" thickBot="1" x14ac:dyDescent="0.35">
      <c r="A97" s="18" t="s">
        <v>392</v>
      </c>
      <c r="C97" s="4">
        <f>SUM(C96,C95)</f>
        <v>3651</v>
      </c>
      <c r="D97" s="4">
        <f>SUM(D96,D95)</f>
        <v>3523</v>
      </c>
      <c r="E97" s="4">
        <f>SUM(E96,E95)</f>
        <v>3013</v>
      </c>
      <c r="F97" s="4">
        <f>SUM(F96,F95)</f>
        <v>3279</v>
      </c>
    </row>
    <row r="98" spans="1:6" ht="15" thickBot="1" x14ac:dyDescent="0.35">
      <c r="C98" s="4"/>
      <c r="D98" s="4"/>
      <c r="E98" s="4"/>
      <c r="F98" s="4"/>
    </row>
    <row r="99" spans="1:6" ht="15" thickBot="1" x14ac:dyDescent="0.35">
      <c r="A99" s="18" t="s">
        <v>391</v>
      </c>
      <c r="C99" s="4"/>
      <c r="D99" s="4"/>
      <c r="E99" s="4"/>
      <c r="F99" s="4"/>
    </row>
    <row r="100" spans="1:6" ht="15" thickBot="1" x14ac:dyDescent="0.35">
      <c r="A100" s="18" t="s">
        <v>390</v>
      </c>
      <c r="C100" s="4"/>
      <c r="D100" s="4"/>
      <c r="E100" s="4"/>
      <c r="F100" s="4"/>
    </row>
    <row r="101" spans="1:6" ht="15" thickBot="1" x14ac:dyDescent="0.35">
      <c r="A101" s="204" t="s">
        <v>389</v>
      </c>
      <c r="C101" s="4"/>
      <c r="D101" s="4"/>
      <c r="E101" s="4"/>
      <c r="F101" s="4"/>
    </row>
    <row r="102" spans="1:6" x14ac:dyDescent="0.3">
      <c r="A102" t="s">
        <v>349</v>
      </c>
      <c r="C102" s="4">
        <v>2550</v>
      </c>
      <c r="D102" s="4">
        <v>2180</v>
      </c>
      <c r="E102" s="4"/>
      <c r="F102" s="4"/>
    </row>
    <row r="103" spans="1:6" x14ac:dyDescent="0.3">
      <c r="A103" t="s">
        <v>348</v>
      </c>
      <c r="C103" s="4">
        <v>638</v>
      </c>
      <c r="D103" s="4">
        <v>755</v>
      </c>
      <c r="E103" s="4"/>
      <c r="F103" s="4"/>
    </row>
    <row r="104" spans="1:6" x14ac:dyDescent="0.3">
      <c r="A104" t="s">
        <v>388</v>
      </c>
      <c r="C104" s="4">
        <v>117</v>
      </c>
      <c r="D104" s="4">
        <v>46</v>
      </c>
      <c r="E104" s="4"/>
      <c r="F104" s="4"/>
    </row>
    <row r="105" spans="1:6" ht="15" thickBot="1" x14ac:dyDescent="0.35">
      <c r="A105" t="s">
        <v>345</v>
      </c>
      <c r="C105" s="4">
        <v>2</v>
      </c>
      <c r="D105" s="4">
        <v>3</v>
      </c>
      <c r="E105" s="4"/>
      <c r="F105" s="4"/>
    </row>
    <row r="106" spans="1:6" ht="15" thickBot="1" x14ac:dyDescent="0.35">
      <c r="A106" s="211" t="s">
        <v>294</v>
      </c>
      <c r="C106" s="4">
        <f>SUM(C102:C105)</f>
        <v>3307</v>
      </c>
      <c r="D106" s="4">
        <f>SUM(D102:D105)</f>
        <v>2984</v>
      </c>
      <c r="E106" s="4">
        <v>3501</v>
      </c>
      <c r="F106" s="4">
        <v>3436</v>
      </c>
    </row>
    <row r="107" spans="1:6" ht="15" thickBot="1" x14ac:dyDescent="0.35">
      <c r="A107" s="204" t="s">
        <v>386</v>
      </c>
      <c r="C107" s="4"/>
      <c r="D107" s="4"/>
      <c r="E107" s="4"/>
      <c r="F107" s="4"/>
    </row>
    <row r="108" spans="1:6" x14ac:dyDescent="0.3">
      <c r="A108" t="s">
        <v>387</v>
      </c>
      <c r="C108" s="4">
        <v>159</v>
      </c>
      <c r="D108" s="4">
        <v>165</v>
      </c>
      <c r="E108" s="4"/>
      <c r="F108" s="4"/>
    </row>
    <row r="109" spans="1:6" ht="15" thickBot="1" x14ac:dyDescent="0.35">
      <c r="A109" t="s">
        <v>386</v>
      </c>
      <c r="C109" s="4">
        <v>148</v>
      </c>
      <c r="D109" s="4">
        <v>149</v>
      </c>
      <c r="E109" s="4"/>
      <c r="F109" s="4"/>
    </row>
    <row r="110" spans="1:6" ht="15" thickBot="1" x14ac:dyDescent="0.35">
      <c r="A110" s="211" t="s">
        <v>294</v>
      </c>
      <c r="C110" s="4">
        <f>SUM(C108:C109)</f>
        <v>307</v>
      </c>
      <c r="D110" s="4">
        <f>SUM(D108:D109)</f>
        <v>314</v>
      </c>
      <c r="E110" s="4">
        <v>319</v>
      </c>
      <c r="F110" s="4">
        <v>365</v>
      </c>
    </row>
    <row r="111" spans="1:6" ht="15" thickBot="1" x14ac:dyDescent="0.35">
      <c r="A111" s="204" t="s">
        <v>385</v>
      </c>
      <c r="C111" s="4"/>
      <c r="D111" s="4"/>
      <c r="E111" s="4"/>
      <c r="F111" s="4"/>
    </row>
    <row r="112" spans="1:6" x14ac:dyDescent="0.3">
      <c r="A112" t="s">
        <v>384</v>
      </c>
      <c r="C112" s="4">
        <v>264</v>
      </c>
      <c r="D112" s="4">
        <v>238</v>
      </c>
      <c r="E112" s="4"/>
      <c r="F112" s="4"/>
    </row>
    <row r="113" spans="1:7" x14ac:dyDescent="0.3">
      <c r="A113" t="s">
        <v>383</v>
      </c>
      <c r="C113" s="4">
        <v>196</v>
      </c>
      <c r="D113" s="4">
        <v>169</v>
      </c>
      <c r="E113" s="4"/>
      <c r="F113" s="4"/>
    </row>
    <row r="114" spans="1:7" x14ac:dyDescent="0.3">
      <c r="A114" t="s">
        <v>382</v>
      </c>
      <c r="C114" s="4">
        <v>36</v>
      </c>
      <c r="D114" s="4">
        <v>34</v>
      </c>
      <c r="E114" s="4"/>
      <c r="F114" s="4"/>
    </row>
    <row r="115" spans="1:7" x14ac:dyDescent="0.3">
      <c r="A115" t="s">
        <v>381</v>
      </c>
      <c r="C115" s="4">
        <v>42</v>
      </c>
      <c r="D115" s="4">
        <v>56</v>
      </c>
      <c r="E115" s="4"/>
      <c r="F115" s="4"/>
    </row>
    <row r="116" spans="1:7" ht="15" thickBot="1" x14ac:dyDescent="0.35">
      <c r="A116" t="s">
        <v>380</v>
      </c>
      <c r="C116" s="4">
        <v>138</v>
      </c>
      <c r="D116" s="4">
        <v>118</v>
      </c>
      <c r="E116" s="4"/>
      <c r="F116" s="4"/>
    </row>
    <row r="117" spans="1:7" ht="15" thickBot="1" x14ac:dyDescent="0.35">
      <c r="A117" s="211" t="s">
        <v>294</v>
      </c>
      <c r="C117" s="4">
        <f>SUM(C112:C116)</f>
        <v>676</v>
      </c>
      <c r="D117" s="4">
        <f>SUM(D112:D116)</f>
        <v>615</v>
      </c>
      <c r="E117">
        <v>625</v>
      </c>
      <c r="F117" s="4">
        <v>671</v>
      </c>
      <c r="G117" s="212" t="s">
        <v>379</v>
      </c>
    </row>
    <row r="118" spans="1:7" ht="15" thickBot="1" x14ac:dyDescent="0.35">
      <c r="A118" s="204" t="s">
        <v>378</v>
      </c>
      <c r="C118" s="4"/>
      <c r="D118" s="4"/>
      <c r="E118" s="4"/>
      <c r="F118" s="4"/>
    </row>
    <row r="119" spans="1:7" ht="15" thickBot="1" x14ac:dyDescent="0.35">
      <c r="A119" t="s">
        <v>378</v>
      </c>
      <c r="C119" s="4">
        <v>140</v>
      </c>
      <c r="D119" s="4">
        <v>134</v>
      </c>
      <c r="E119" s="4"/>
      <c r="F119" s="4"/>
    </row>
    <row r="120" spans="1:7" ht="15.6" thickTop="1" thickBot="1" x14ac:dyDescent="0.35">
      <c r="A120" s="210" t="s">
        <v>377</v>
      </c>
      <c r="B120" s="205"/>
      <c r="C120" s="4">
        <v>9</v>
      </c>
      <c r="D120" s="4">
        <v>14</v>
      </c>
      <c r="E120" s="4"/>
      <c r="F120" s="4"/>
    </row>
    <row r="121" spans="1:7" ht="15.6" thickTop="1" thickBot="1" x14ac:dyDescent="0.35">
      <c r="A121" s="211" t="s">
        <v>294</v>
      </c>
      <c r="B121" s="205"/>
      <c r="C121" s="4">
        <f>SUM(C119:C120)</f>
        <v>149</v>
      </c>
      <c r="D121" s="4">
        <f>SUM(D119:D120)</f>
        <v>148</v>
      </c>
      <c r="E121" s="4">
        <v>148</v>
      </c>
      <c r="F121" s="4">
        <v>109</v>
      </c>
    </row>
    <row r="122" spans="1:7" ht="15" thickBot="1" x14ac:dyDescent="0.35">
      <c r="A122" s="201" t="s">
        <v>376</v>
      </c>
      <c r="C122" s="4">
        <f>SUM(C121,C117,C110,C106)</f>
        <v>4439</v>
      </c>
      <c r="D122" s="4">
        <f>SUM(D121,D117,D110,D106)</f>
        <v>4061</v>
      </c>
      <c r="E122" s="4">
        <f>SUM(E121,E117,E110,E106)</f>
        <v>4593</v>
      </c>
      <c r="F122" s="4">
        <f>SUM(F121,F117,F110,F106)</f>
        <v>4581</v>
      </c>
    </row>
    <row r="123" spans="1:7" ht="15.6" thickTop="1" thickBot="1" x14ac:dyDescent="0.35">
      <c r="A123" s="18" t="s">
        <v>375</v>
      </c>
      <c r="B123" s="205"/>
      <c r="C123" s="4"/>
      <c r="D123" s="4"/>
      <c r="E123" s="4"/>
      <c r="F123" s="4"/>
    </row>
    <row r="124" spans="1:7" ht="15.6" thickTop="1" thickBot="1" x14ac:dyDescent="0.35">
      <c r="A124" s="204" t="s">
        <v>374</v>
      </c>
      <c r="B124" s="205"/>
      <c r="C124" s="4"/>
      <c r="D124" s="4"/>
      <c r="E124" s="4"/>
      <c r="F124" s="4"/>
    </row>
    <row r="125" spans="1:7" ht="15.6" thickTop="1" thickBot="1" x14ac:dyDescent="0.35">
      <c r="A125" s="209" t="s">
        <v>373</v>
      </c>
      <c r="B125" s="205"/>
      <c r="C125" s="4">
        <v>3</v>
      </c>
      <c r="D125" s="4">
        <v>3</v>
      </c>
      <c r="E125" s="4"/>
      <c r="F125" s="4"/>
    </row>
    <row r="126" spans="1:7" ht="15.6" thickTop="1" thickBot="1" x14ac:dyDescent="0.35">
      <c r="A126" s="210" t="s">
        <v>372</v>
      </c>
      <c r="B126" s="205"/>
      <c r="C126" s="4">
        <v>1478</v>
      </c>
      <c r="D126" s="4">
        <v>1410</v>
      </c>
      <c r="E126" s="4"/>
      <c r="F126" s="4"/>
    </row>
    <row r="127" spans="1:7" ht="15.6" thickTop="1" thickBot="1" x14ac:dyDescent="0.35">
      <c r="A127" s="201" t="s">
        <v>294</v>
      </c>
      <c r="B127" s="205"/>
      <c r="C127" s="4">
        <f>SUM(C125:C126)</f>
        <v>1481</v>
      </c>
      <c r="D127" s="4">
        <f>SUM(D125:D126)</f>
        <v>1413</v>
      </c>
      <c r="E127" s="4">
        <v>1381</v>
      </c>
      <c r="F127" s="4">
        <v>1384</v>
      </c>
    </row>
    <row r="128" spans="1:7" ht="15.6" thickTop="1" thickBot="1" x14ac:dyDescent="0.35">
      <c r="A128" s="204" t="s">
        <v>371</v>
      </c>
      <c r="B128" s="205"/>
      <c r="C128" s="4"/>
      <c r="D128" s="4"/>
      <c r="E128" s="4"/>
      <c r="F128" s="4"/>
    </row>
    <row r="129" spans="1:6" ht="15.6" thickTop="1" thickBot="1" x14ac:dyDescent="0.35">
      <c r="A129" s="209" t="s">
        <v>370</v>
      </c>
      <c r="B129" s="205"/>
      <c r="C129" s="4">
        <v>43</v>
      </c>
      <c r="D129" s="4">
        <v>43</v>
      </c>
      <c r="E129" s="4"/>
      <c r="F129" s="4"/>
    </row>
    <row r="130" spans="1:6" ht="15.6" thickTop="1" thickBot="1" x14ac:dyDescent="0.35">
      <c r="A130" t="s">
        <v>369</v>
      </c>
      <c r="B130" s="208"/>
      <c r="C130" s="4">
        <v>380</v>
      </c>
      <c r="D130" s="4">
        <v>156</v>
      </c>
      <c r="E130" s="4"/>
      <c r="F130" s="4"/>
    </row>
    <row r="131" spans="1:6" ht="15" thickTop="1" x14ac:dyDescent="0.3">
      <c r="A131" t="s">
        <v>368</v>
      </c>
      <c r="C131" s="4">
        <v>421</v>
      </c>
      <c r="D131" s="4">
        <v>382</v>
      </c>
      <c r="E131" s="4"/>
      <c r="F131" s="4"/>
    </row>
    <row r="132" spans="1:6" ht="15" thickBot="1" x14ac:dyDescent="0.35">
      <c r="A132" t="s">
        <v>367</v>
      </c>
      <c r="C132" s="4">
        <v>85</v>
      </c>
      <c r="D132" s="4">
        <v>77</v>
      </c>
      <c r="E132" s="4"/>
      <c r="F132" s="4"/>
    </row>
    <row r="133" spans="1:6" ht="15.6" thickTop="1" thickBot="1" x14ac:dyDescent="0.35">
      <c r="A133" t="s">
        <v>366</v>
      </c>
      <c r="B133" s="205"/>
      <c r="C133" s="4">
        <v>105</v>
      </c>
      <c r="D133" s="4">
        <v>80</v>
      </c>
      <c r="E133" s="4"/>
      <c r="F133" s="4"/>
    </row>
    <row r="134" spans="1:6" ht="15.6" thickTop="1" thickBot="1" x14ac:dyDescent="0.35">
      <c r="A134" t="s">
        <v>365</v>
      </c>
      <c r="B134" s="205"/>
      <c r="C134" s="4">
        <v>66</v>
      </c>
      <c r="D134" s="4">
        <v>42</v>
      </c>
      <c r="E134" s="4"/>
      <c r="F134" s="4"/>
    </row>
    <row r="135" spans="1:6" ht="15.6" thickTop="1" thickBot="1" x14ac:dyDescent="0.35">
      <c r="A135" t="s">
        <v>364</v>
      </c>
      <c r="B135" s="205"/>
      <c r="C135" s="4">
        <v>7</v>
      </c>
      <c r="D135" s="4">
        <v>7</v>
      </c>
      <c r="E135" s="4"/>
      <c r="F135" s="4"/>
    </row>
    <row r="136" spans="1:6" ht="15.6" thickTop="1" thickBot="1" x14ac:dyDescent="0.35">
      <c r="A136" t="s">
        <v>363</v>
      </c>
      <c r="B136" s="205"/>
      <c r="C136" s="4">
        <v>73</v>
      </c>
      <c r="D136" s="4">
        <v>75</v>
      </c>
      <c r="E136" s="4"/>
      <c r="F136" s="4"/>
    </row>
    <row r="137" spans="1:6" ht="15.6" thickTop="1" thickBot="1" x14ac:dyDescent="0.35">
      <c r="A137" t="s">
        <v>362</v>
      </c>
      <c r="B137" s="205"/>
      <c r="C137" s="4">
        <v>3</v>
      </c>
      <c r="D137" s="4">
        <v>7</v>
      </c>
      <c r="E137" s="4"/>
      <c r="F137" s="4"/>
    </row>
    <row r="138" spans="1:6" ht="15.6" thickTop="1" thickBot="1" x14ac:dyDescent="0.35">
      <c r="A138" t="s">
        <v>361</v>
      </c>
      <c r="B138" s="205"/>
      <c r="C138" s="4">
        <v>17</v>
      </c>
      <c r="D138" s="4">
        <v>14</v>
      </c>
      <c r="E138" s="4"/>
      <c r="F138" s="4"/>
    </row>
    <row r="139" spans="1:6" ht="15.6" thickTop="1" thickBot="1" x14ac:dyDescent="0.35">
      <c r="A139" t="s">
        <v>360</v>
      </c>
      <c r="B139" s="207"/>
      <c r="C139" s="4">
        <v>2</v>
      </c>
      <c r="D139" s="4">
        <v>3</v>
      </c>
      <c r="E139" s="4"/>
      <c r="F139" s="4"/>
    </row>
    <row r="140" spans="1:6" ht="15.6" thickTop="1" thickBot="1" x14ac:dyDescent="0.35">
      <c r="A140" t="s">
        <v>359</v>
      </c>
      <c r="B140" s="206"/>
      <c r="C140" s="4">
        <v>4</v>
      </c>
      <c r="D140" s="4">
        <v>4</v>
      </c>
      <c r="E140" s="4"/>
      <c r="F140" s="4"/>
    </row>
    <row r="141" spans="1:6" ht="15.6" thickTop="1" thickBot="1" x14ac:dyDescent="0.35">
      <c r="A141" t="s">
        <v>358</v>
      </c>
      <c r="B141" s="205"/>
      <c r="C141" s="4">
        <v>1</v>
      </c>
      <c r="D141" s="4">
        <v>8</v>
      </c>
      <c r="E141" s="4"/>
      <c r="F141" s="4"/>
    </row>
    <row r="142" spans="1:6" ht="15.6" thickTop="1" thickBot="1" x14ac:dyDescent="0.35">
      <c r="A142" t="s">
        <v>357</v>
      </c>
      <c r="B142" s="205"/>
      <c r="C142" s="4">
        <v>10</v>
      </c>
      <c r="D142" s="4">
        <v>12</v>
      </c>
      <c r="E142" s="4"/>
      <c r="F142" s="4"/>
    </row>
    <row r="143" spans="1:6" ht="15.6" thickTop="1" thickBot="1" x14ac:dyDescent="0.35">
      <c r="A143" t="s">
        <v>356</v>
      </c>
      <c r="B143" s="205"/>
      <c r="C143" s="4">
        <v>10</v>
      </c>
      <c r="D143" s="4">
        <v>7</v>
      </c>
      <c r="E143" s="4"/>
      <c r="F143" s="4"/>
    </row>
    <row r="144" spans="1:6" ht="15" thickTop="1" x14ac:dyDescent="0.3">
      <c r="A144" t="s">
        <v>355</v>
      </c>
      <c r="C144" s="4">
        <v>4</v>
      </c>
      <c r="D144" s="4">
        <v>5</v>
      </c>
      <c r="E144" s="4"/>
      <c r="F144" s="4"/>
    </row>
    <row r="145" spans="1:6" x14ac:dyDescent="0.3">
      <c r="A145" t="s">
        <v>354</v>
      </c>
      <c r="C145" s="4"/>
      <c r="D145" s="4">
        <v>6</v>
      </c>
      <c r="E145" s="4"/>
      <c r="F145" s="4"/>
    </row>
    <row r="146" spans="1:6" x14ac:dyDescent="0.3">
      <c r="A146" t="s">
        <v>353</v>
      </c>
      <c r="C146" s="4">
        <v>3</v>
      </c>
      <c r="D146" s="4">
        <v>3</v>
      </c>
      <c r="E146" s="4"/>
      <c r="F146" s="4"/>
    </row>
    <row r="147" spans="1:6" x14ac:dyDescent="0.3">
      <c r="A147" t="s">
        <v>352</v>
      </c>
      <c r="C147" s="4">
        <v>7</v>
      </c>
      <c r="D147" s="4">
        <v>5</v>
      </c>
      <c r="E147" s="4"/>
      <c r="F147" s="4"/>
    </row>
    <row r="148" spans="1:6" ht="15" thickBot="1" x14ac:dyDescent="0.35">
      <c r="A148" t="s">
        <v>351</v>
      </c>
      <c r="C148" s="4">
        <v>24</v>
      </c>
      <c r="D148" s="4">
        <v>27</v>
      </c>
      <c r="E148" s="4"/>
      <c r="F148" s="4"/>
    </row>
    <row r="149" spans="1:6" ht="15" thickBot="1" x14ac:dyDescent="0.35">
      <c r="A149" s="18" t="s">
        <v>294</v>
      </c>
      <c r="C149" s="4">
        <f>SUM(C129,C130,C131)</f>
        <v>844</v>
      </c>
      <c r="D149" s="4">
        <f>SUM(D129,D130,D131)</f>
        <v>581</v>
      </c>
      <c r="E149" s="4">
        <v>521</v>
      </c>
      <c r="F149" s="4">
        <v>744</v>
      </c>
    </row>
    <row r="150" spans="1:6" ht="15" thickBot="1" x14ac:dyDescent="0.35">
      <c r="A150" s="204" t="s">
        <v>350</v>
      </c>
      <c r="C150" s="4"/>
      <c r="D150" s="4"/>
      <c r="E150" s="4"/>
      <c r="F150" s="4"/>
    </row>
    <row r="151" spans="1:6" x14ac:dyDescent="0.3">
      <c r="A151" t="s">
        <v>349</v>
      </c>
      <c r="C151" s="4">
        <v>46</v>
      </c>
      <c r="D151" s="4">
        <v>558</v>
      </c>
      <c r="E151" s="4"/>
      <c r="F151" s="4"/>
    </row>
    <row r="152" spans="1:6" x14ac:dyDescent="0.3">
      <c r="A152" t="s">
        <v>348</v>
      </c>
      <c r="C152" s="4">
        <v>233</v>
      </c>
      <c r="D152" s="4">
        <v>128</v>
      </c>
      <c r="E152" s="4"/>
      <c r="F152" s="4"/>
    </row>
    <row r="153" spans="1:6" x14ac:dyDescent="0.3">
      <c r="A153" t="s">
        <v>347</v>
      </c>
      <c r="C153" s="4">
        <v>25</v>
      </c>
      <c r="D153" s="4">
        <v>5</v>
      </c>
      <c r="E153" s="4"/>
      <c r="F153" s="4"/>
    </row>
    <row r="154" spans="1:6" x14ac:dyDescent="0.3">
      <c r="A154" t="s">
        <v>346</v>
      </c>
      <c r="C154" s="4"/>
      <c r="D154" s="4">
        <v>2</v>
      </c>
      <c r="E154" s="4"/>
      <c r="F154" s="4"/>
    </row>
    <row r="155" spans="1:6" ht="15" thickBot="1" x14ac:dyDescent="0.35">
      <c r="A155" t="s">
        <v>345</v>
      </c>
      <c r="C155" s="4"/>
      <c r="D155" s="4">
        <v>1</v>
      </c>
      <c r="E155" s="4"/>
      <c r="F155" s="4"/>
    </row>
    <row r="156" spans="1:6" ht="15" thickBot="1" x14ac:dyDescent="0.35">
      <c r="A156" s="18" t="s">
        <v>294</v>
      </c>
      <c r="C156" s="4">
        <f>SUM(C151:C155)</f>
        <v>304</v>
      </c>
      <c r="D156" s="4">
        <f>SUM(D151:D155)</f>
        <v>694</v>
      </c>
      <c r="E156" s="4">
        <v>437</v>
      </c>
      <c r="F156" s="4">
        <v>359</v>
      </c>
    </row>
    <row r="157" spans="1:6" ht="15" thickBot="1" x14ac:dyDescent="0.35">
      <c r="A157" s="204" t="s">
        <v>344</v>
      </c>
      <c r="C157" s="4">
        <v>6</v>
      </c>
      <c r="D157" s="4">
        <v>34</v>
      </c>
      <c r="E157" s="4">
        <v>4</v>
      </c>
      <c r="F157" s="4">
        <v>33</v>
      </c>
    </row>
    <row r="158" spans="1:6" ht="15" thickBot="1" x14ac:dyDescent="0.35">
      <c r="A158" s="18" t="s">
        <v>343</v>
      </c>
      <c r="C158" s="4">
        <f>SUM(C127,C149,C156,C157)</f>
        <v>2635</v>
      </c>
      <c r="D158" s="4">
        <f>SUM(D127,D149,D156,D157)</f>
        <v>2722</v>
      </c>
      <c r="E158" s="4">
        <f>SUM(E127,E149,E156,E157)</f>
        <v>2343</v>
      </c>
      <c r="F158" s="4">
        <f>SUM(F127,F149,F156,F157)</f>
        <v>2520</v>
      </c>
    </row>
    <row r="159" spans="1:6" ht="15" thickBot="1" x14ac:dyDescent="0.35">
      <c r="A159" s="201" t="s">
        <v>342</v>
      </c>
      <c r="C159" s="4">
        <f>SUM(C158,C122)</f>
        <v>7074</v>
      </c>
      <c r="D159" s="4">
        <f>SUM(D158,D122)</f>
        <v>6783</v>
      </c>
      <c r="E159" s="4">
        <f>SUM(E158,E122)</f>
        <v>6936</v>
      </c>
      <c r="F159" s="4">
        <f>SUM(F158,F122)</f>
        <v>7101</v>
      </c>
    </row>
    <row r="160" spans="1:6" ht="29.4" thickBot="1" x14ac:dyDescent="0.35">
      <c r="A160" s="20" t="s">
        <v>341</v>
      </c>
      <c r="C160" s="4"/>
      <c r="D160" s="4"/>
      <c r="E160" s="4"/>
      <c r="F160" s="4">
        <v>7</v>
      </c>
    </row>
    <row r="161" spans="1:6" ht="15" thickBot="1" x14ac:dyDescent="0.35">
      <c r="A161" s="18" t="s">
        <v>340</v>
      </c>
      <c r="C161" s="5">
        <f>SUM(C159,C97)</f>
        <v>10725</v>
      </c>
      <c r="D161" s="5">
        <f>SUM(D159,D97)</f>
        <v>10306</v>
      </c>
      <c r="E161" s="5">
        <f>SUM(E159,E97)</f>
        <v>9949</v>
      </c>
      <c r="F161" s="5">
        <f>SUM(F159,F97,F160)</f>
        <v>10387</v>
      </c>
    </row>
    <row r="183" spans="1:2" x14ac:dyDescent="0.3">
      <c r="A183" s="201"/>
    </row>
    <row r="184" spans="1:2" x14ac:dyDescent="0.3">
      <c r="A184" s="201"/>
    </row>
    <row r="189" spans="1:2" x14ac:dyDescent="0.3">
      <c r="A189" s="201"/>
    </row>
    <row r="190" spans="1:2" x14ac:dyDescent="0.3">
      <c r="A190" s="201"/>
    </row>
    <row r="191" spans="1:2" x14ac:dyDescent="0.3">
      <c r="A191" s="203"/>
      <c r="B191" s="202"/>
    </row>
    <row r="192" spans="1:2" x14ac:dyDescent="0.3">
      <c r="A192" s="201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S39"/>
  <sheetViews>
    <sheetView workbookViewId="0">
      <selection activeCell="I58" sqref="I58"/>
    </sheetView>
  </sheetViews>
  <sheetFormatPr defaultRowHeight="14.4" x14ac:dyDescent="0.3"/>
  <cols>
    <col min="1" max="1" width="24.33203125" customWidth="1"/>
    <col min="2" max="4" width="10.5546875" bestFit="1" customWidth="1"/>
    <col min="6" max="8" width="10.5546875" bestFit="1" customWidth="1"/>
    <col min="10" max="10" width="17.33203125" customWidth="1"/>
    <col min="11" max="12" width="13.33203125" customWidth="1"/>
    <col min="13" max="13" width="12.109375" hidden="1" customWidth="1"/>
    <col min="14" max="14" width="12" hidden="1" customWidth="1"/>
    <col min="15" max="15" width="12.6640625" hidden="1" customWidth="1"/>
    <col min="17" max="17" width="10.5546875" hidden="1" customWidth="1"/>
    <col min="18" max="18" width="11.6640625" hidden="1" customWidth="1"/>
    <col min="19" max="19" width="13.44140625" hidden="1" customWidth="1"/>
  </cols>
  <sheetData>
    <row r="1" spans="1:19" ht="15" thickBot="1" x14ac:dyDescent="0.35">
      <c r="A1" s="226" t="s">
        <v>503</v>
      </c>
      <c r="B1" s="86"/>
      <c r="C1" s="86"/>
      <c r="D1" s="87"/>
      <c r="E1" s="56"/>
      <c r="F1" s="141" t="s">
        <v>504</v>
      </c>
      <c r="G1" s="39"/>
      <c r="H1" s="40"/>
      <c r="J1" s="226" t="s">
        <v>505</v>
      </c>
      <c r="K1" s="86"/>
      <c r="L1" s="86"/>
      <c r="M1" s="86"/>
      <c r="N1" s="86"/>
      <c r="O1" s="86"/>
      <c r="P1" s="244"/>
      <c r="Q1" s="86"/>
      <c r="R1" s="86"/>
      <c r="S1" s="87"/>
    </row>
    <row r="2" spans="1:19" x14ac:dyDescent="0.3">
      <c r="A2" s="228"/>
      <c r="B2" s="232" t="s">
        <v>339</v>
      </c>
      <c r="C2" s="229">
        <v>43830</v>
      </c>
      <c r="D2" s="229">
        <v>43465</v>
      </c>
      <c r="E2" s="35"/>
      <c r="F2" s="234">
        <v>43100</v>
      </c>
      <c r="G2" s="229">
        <v>42735</v>
      </c>
      <c r="H2" s="235">
        <v>42369</v>
      </c>
      <c r="J2" s="228"/>
      <c r="K2" s="232" t="s">
        <v>509</v>
      </c>
      <c r="L2" s="239" t="s">
        <v>507</v>
      </c>
      <c r="M2" s="229">
        <v>43830</v>
      </c>
      <c r="N2" s="229">
        <v>43922</v>
      </c>
      <c r="O2" s="240">
        <v>43556</v>
      </c>
      <c r="P2" s="245" t="s">
        <v>508</v>
      </c>
      <c r="Q2" s="241">
        <v>43465</v>
      </c>
      <c r="R2" s="229">
        <v>43556</v>
      </c>
      <c r="S2" s="235">
        <v>43191</v>
      </c>
    </row>
    <row r="3" spans="1:19" x14ac:dyDescent="0.3">
      <c r="A3" s="227" t="s">
        <v>499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27" t="s">
        <v>499</v>
      </c>
      <c r="K3" s="98">
        <f xml:space="preserve"> L3-P3</f>
        <v>-201</v>
      </c>
      <c r="L3" s="98">
        <f t="shared" ref="L3:L6" si="0" xml:space="preserve"> M3 - O3 + N3</f>
        <v>1831</v>
      </c>
      <c r="M3" s="98">
        <v>1852</v>
      </c>
      <c r="N3" s="98">
        <v>2056</v>
      </c>
      <c r="O3" s="237">
        <v>2077</v>
      </c>
      <c r="P3" s="102">
        <f t="shared" ref="P3:P6" si="1">Q3+R3-S3</f>
        <v>2032</v>
      </c>
      <c r="Q3" s="242">
        <v>1781</v>
      </c>
      <c r="R3" s="98">
        <v>2077</v>
      </c>
      <c r="S3" s="102">
        <v>1826</v>
      </c>
    </row>
    <row r="4" spans="1:19" x14ac:dyDescent="0.3">
      <c r="A4" s="227" t="s">
        <v>500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27" t="s">
        <v>506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37">
        <v>119</v>
      </c>
      <c r="P4" s="102">
        <f t="shared" si="1"/>
        <v>226</v>
      </c>
      <c r="Q4" s="242">
        <v>187</v>
      </c>
      <c r="R4" s="98">
        <v>119</v>
      </c>
      <c r="S4" s="102">
        <v>80</v>
      </c>
    </row>
    <row r="5" spans="1:19" x14ac:dyDescent="0.3">
      <c r="A5" s="227"/>
      <c r="B5" s="98"/>
      <c r="C5" s="98"/>
      <c r="D5" s="98"/>
      <c r="E5" s="35"/>
      <c r="F5" s="35"/>
      <c r="G5" s="98"/>
      <c r="H5" s="102"/>
      <c r="J5" s="227"/>
      <c r="K5" s="98">
        <f t="shared" si="3"/>
        <v>0</v>
      </c>
      <c r="L5" s="98"/>
      <c r="M5" s="98"/>
      <c r="N5" s="98"/>
      <c r="O5" s="237"/>
      <c r="P5" s="102"/>
      <c r="Q5" s="242"/>
      <c r="R5" s="98"/>
      <c r="S5" s="102"/>
    </row>
    <row r="6" spans="1:19" x14ac:dyDescent="0.3">
      <c r="A6" s="227" t="s">
        <v>501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27" t="s">
        <v>501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37">
        <v>1321</v>
      </c>
      <c r="P6" s="102">
        <f t="shared" si="1"/>
        <v>1584</v>
      </c>
      <c r="Q6" s="242">
        <v>1413</v>
      </c>
      <c r="R6" s="98">
        <v>1321</v>
      </c>
      <c r="S6" s="102">
        <v>1150</v>
      </c>
    </row>
    <row r="7" spans="1:19" x14ac:dyDescent="0.3">
      <c r="A7" s="227"/>
      <c r="B7" s="98"/>
      <c r="C7" s="98"/>
      <c r="D7" s="98"/>
      <c r="E7" s="35"/>
      <c r="F7" s="35"/>
      <c r="G7" s="98"/>
      <c r="H7" s="102"/>
      <c r="J7" s="227"/>
      <c r="K7" s="98"/>
      <c r="L7" s="98"/>
      <c r="M7" s="98"/>
      <c r="N7" s="98"/>
      <c r="O7" s="237"/>
      <c r="P7" s="102"/>
      <c r="Q7" s="242"/>
      <c r="R7" s="98"/>
      <c r="S7" s="102"/>
    </row>
    <row r="8" spans="1:19" ht="15" thickBot="1" x14ac:dyDescent="0.35">
      <c r="A8" s="230" t="s">
        <v>502</v>
      </c>
      <c r="B8" s="233">
        <f t="shared" si="2"/>
        <v>0</v>
      </c>
      <c r="C8" s="231">
        <f>(SUM(C3,C4) -C6)</f>
        <v>555</v>
      </c>
      <c r="D8" s="231">
        <f>SUM(D3,D4,-D6)</f>
        <v>555</v>
      </c>
      <c r="E8" s="103"/>
      <c r="F8" s="231">
        <f t="shared" ref="F8:G8" si="4">SUM(F3,F4,-F6)</f>
        <v>437</v>
      </c>
      <c r="G8" s="231">
        <f t="shared" si="4"/>
        <v>596</v>
      </c>
      <c r="H8" s="236"/>
      <c r="J8" s="230" t="s">
        <v>502</v>
      </c>
      <c r="K8" s="233">
        <f t="shared" si="3"/>
        <v>-157</v>
      </c>
      <c r="L8" s="231">
        <f xml:space="preserve"> M8 - O8 + N8</f>
        <v>517</v>
      </c>
      <c r="M8" s="231">
        <f>(SUM(M3,M4) -M6)</f>
        <v>555</v>
      </c>
      <c r="N8" s="231">
        <f t="shared" ref="N8:S8" si="5">(SUM(N3,N4) -N6)</f>
        <v>837</v>
      </c>
      <c r="O8" s="238">
        <f t="shared" si="5"/>
        <v>875</v>
      </c>
      <c r="P8" s="236">
        <f>Q8+R8-S8</f>
        <v>674</v>
      </c>
      <c r="Q8" s="243">
        <f t="shared" si="5"/>
        <v>555</v>
      </c>
      <c r="R8" s="231">
        <f t="shared" si="5"/>
        <v>875</v>
      </c>
      <c r="S8" s="236">
        <f t="shared" si="5"/>
        <v>756</v>
      </c>
    </row>
    <row r="11" spans="1:19" x14ac:dyDescent="0.3">
      <c r="A11" s="6"/>
      <c r="B11" s="6"/>
      <c r="C11" s="6"/>
      <c r="D11" s="6"/>
      <c r="E11" s="6"/>
      <c r="F11" s="6"/>
      <c r="G11" s="6"/>
      <c r="H11" s="6"/>
      <c r="I11" s="6"/>
    </row>
    <row r="12" spans="1:19" x14ac:dyDescent="0.3">
      <c r="A12" s="257" t="s">
        <v>513</v>
      </c>
      <c r="B12" s="53">
        <v>43830</v>
      </c>
      <c r="C12" s="2"/>
      <c r="D12" s="2"/>
      <c r="E12" s="2"/>
      <c r="F12" s="2"/>
      <c r="G12" s="2"/>
      <c r="H12" s="2"/>
      <c r="I12" s="6"/>
    </row>
    <row r="13" spans="1:19" x14ac:dyDescent="0.3">
      <c r="A13" s="2" t="s">
        <v>307</v>
      </c>
      <c r="B13" s="2">
        <v>1234</v>
      </c>
      <c r="C13" s="2"/>
      <c r="D13" s="2"/>
      <c r="E13" s="2"/>
      <c r="F13" s="2"/>
      <c r="G13" s="2"/>
      <c r="H13" s="2"/>
      <c r="I13" s="6"/>
    </row>
    <row r="14" spans="1:19" x14ac:dyDescent="0.3">
      <c r="A14" s="2" t="s">
        <v>207</v>
      </c>
      <c r="B14" s="2">
        <v>547</v>
      </c>
      <c r="C14" s="2"/>
      <c r="D14" s="2"/>
      <c r="E14" s="2"/>
      <c r="F14" s="2"/>
      <c r="G14" s="2"/>
      <c r="H14" s="2"/>
      <c r="I14" s="6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6"/>
    </row>
    <row r="16" spans="1:19" x14ac:dyDescent="0.3">
      <c r="A16" s="2" t="s">
        <v>326</v>
      </c>
      <c r="B16" s="2">
        <v>687</v>
      </c>
      <c r="C16" s="2"/>
      <c r="D16" s="2"/>
      <c r="E16" s="2"/>
      <c r="F16" s="2"/>
      <c r="G16" s="2"/>
      <c r="H16" s="2"/>
      <c r="I16" s="6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6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6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6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6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6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6"/>
    </row>
    <row r="23" spans="1:9" x14ac:dyDescent="0.3">
      <c r="A23" s="6"/>
      <c r="B23" s="6"/>
      <c r="C23" s="6"/>
      <c r="D23" s="6"/>
      <c r="E23" s="6"/>
      <c r="F23" s="6"/>
      <c r="G23" s="6"/>
      <c r="H23" s="6"/>
      <c r="I23" s="6"/>
    </row>
    <row r="28" spans="1:9" ht="15" thickBot="1" x14ac:dyDescent="0.35"/>
    <row r="29" spans="1:9" ht="15" thickBot="1" x14ac:dyDescent="0.35">
      <c r="A29" s="204" t="s">
        <v>510</v>
      </c>
      <c r="B29" s="93"/>
      <c r="C29" s="93"/>
      <c r="D29" s="93"/>
      <c r="E29" s="93"/>
      <c r="F29" s="93"/>
      <c r="G29" s="93"/>
      <c r="H29" s="94"/>
    </row>
    <row r="30" spans="1:9" x14ac:dyDescent="0.3">
      <c r="A30" s="151"/>
      <c r="B30" s="6"/>
      <c r="C30" s="6"/>
      <c r="D30" s="6"/>
      <c r="E30" s="6"/>
      <c r="F30" s="6"/>
      <c r="G30" s="6"/>
      <c r="H30" s="95"/>
    </row>
    <row r="31" spans="1:9" x14ac:dyDescent="0.3">
      <c r="A31" s="151"/>
      <c r="B31" s="6"/>
      <c r="C31" s="6"/>
      <c r="D31" s="6"/>
      <c r="E31" s="6"/>
      <c r="F31" s="6"/>
      <c r="G31" s="6"/>
      <c r="H31" s="95"/>
    </row>
    <row r="32" spans="1:9" x14ac:dyDescent="0.3">
      <c r="A32" s="151"/>
      <c r="B32" s="6"/>
      <c r="C32" s="6"/>
      <c r="D32" s="6"/>
      <c r="E32" s="6"/>
      <c r="F32" s="6"/>
      <c r="G32" s="6"/>
      <c r="H32" s="95"/>
    </row>
    <row r="33" spans="1:8" x14ac:dyDescent="0.3">
      <c r="A33" s="151"/>
      <c r="B33" s="6"/>
      <c r="C33" s="6"/>
      <c r="D33" s="6"/>
      <c r="E33" s="6"/>
      <c r="F33" s="6"/>
      <c r="G33" s="6"/>
      <c r="H33" s="95"/>
    </row>
    <row r="34" spans="1:8" x14ac:dyDescent="0.3">
      <c r="A34" s="151"/>
      <c r="B34" s="6"/>
      <c r="C34" s="6"/>
      <c r="D34" s="6"/>
      <c r="E34" s="6"/>
      <c r="F34" s="6"/>
      <c r="G34" s="6"/>
      <c r="H34" s="95"/>
    </row>
    <row r="35" spans="1:8" x14ac:dyDescent="0.3">
      <c r="A35" s="151"/>
      <c r="B35" s="6"/>
      <c r="C35" s="6"/>
      <c r="D35" s="6"/>
      <c r="E35" s="6"/>
      <c r="F35" s="6"/>
      <c r="G35" s="6"/>
      <c r="H35" s="95"/>
    </row>
    <row r="36" spans="1:8" x14ac:dyDescent="0.3">
      <c r="A36" s="151"/>
      <c r="B36" s="6"/>
      <c r="C36" s="6"/>
      <c r="D36" s="6"/>
      <c r="E36" s="6"/>
      <c r="F36" s="6"/>
      <c r="G36" s="6"/>
      <c r="H36" s="95"/>
    </row>
    <row r="37" spans="1:8" x14ac:dyDescent="0.3">
      <c r="A37" s="151"/>
      <c r="B37" s="6"/>
      <c r="C37" s="6"/>
      <c r="D37" s="6"/>
      <c r="E37" s="6"/>
      <c r="F37" s="6"/>
      <c r="G37" s="6"/>
      <c r="H37" s="95"/>
    </row>
    <row r="38" spans="1:8" x14ac:dyDescent="0.3">
      <c r="A38" s="151"/>
      <c r="B38" s="6"/>
      <c r="C38" s="6"/>
      <c r="D38" s="6"/>
      <c r="E38" s="6"/>
      <c r="F38" s="6"/>
      <c r="G38" s="6"/>
      <c r="H38" s="95"/>
    </row>
    <row r="39" spans="1:8" ht="15" thickBot="1" x14ac:dyDescent="0.35">
      <c r="A39" s="152"/>
      <c r="B39" s="96"/>
      <c r="C39" s="96"/>
      <c r="D39" s="96"/>
      <c r="E39" s="96"/>
      <c r="F39" s="96"/>
      <c r="G39" s="96"/>
      <c r="H39" s="9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K21"/>
  <sheetViews>
    <sheetView tabSelected="1" workbookViewId="0">
      <selection activeCell="A25" sqref="A25"/>
    </sheetView>
  </sheetViews>
  <sheetFormatPr defaultRowHeight="14.4" x14ac:dyDescent="0.3"/>
  <cols>
    <col min="1" max="1" width="32.77734375" customWidth="1"/>
    <col min="4" max="4" width="9.88671875" customWidth="1"/>
    <col min="5" max="5" width="13.109375" customWidth="1"/>
    <col min="10" max="10" width="25.44140625" customWidth="1"/>
  </cols>
  <sheetData>
    <row r="1" spans="1:11" x14ac:dyDescent="0.3">
      <c r="A1" s="200" t="s">
        <v>524</v>
      </c>
    </row>
    <row r="2" spans="1:11" x14ac:dyDescent="0.3">
      <c r="C2" t="s">
        <v>92</v>
      </c>
      <c r="D2" t="s">
        <v>514</v>
      </c>
      <c r="E2" t="s">
        <v>515</v>
      </c>
      <c r="F2" t="s">
        <v>523</v>
      </c>
    </row>
    <row r="3" spans="1:11" x14ac:dyDescent="0.3">
      <c r="A3" t="s">
        <v>516</v>
      </c>
      <c r="C3">
        <v>1544.2650000000001</v>
      </c>
      <c r="D3">
        <f>(C3/C10)</f>
        <v>0.2116415785149395</v>
      </c>
      <c r="E3">
        <v>0.41</v>
      </c>
      <c r="F3">
        <f>PRODUCT(D3,E3)</f>
        <v>8.6773047191125191E-2</v>
      </c>
    </row>
    <row r="4" spans="1:11" x14ac:dyDescent="0.3">
      <c r="A4" t="s">
        <v>517</v>
      </c>
      <c r="C4">
        <v>49.814999999999998</v>
      </c>
      <c r="D4">
        <f>(C4/C10)</f>
        <v>6.8271476940303059E-3</v>
      </c>
      <c r="E4">
        <v>0.28999999999999998</v>
      </c>
      <c r="F4">
        <f t="shared" ref="F4:F9" si="0">PRODUCT(D4,E4)</f>
        <v>1.9798728312687888E-3</v>
      </c>
    </row>
    <row r="5" spans="1:11" x14ac:dyDescent="0.3">
      <c r="A5" t="s">
        <v>522</v>
      </c>
      <c r="C5" s="258">
        <v>514.755</v>
      </c>
      <c r="D5">
        <f>(C5/C10)</f>
        <v>7.0547192838313164E-2</v>
      </c>
      <c r="E5">
        <v>0.6</v>
      </c>
      <c r="F5">
        <f t="shared" si="0"/>
        <v>4.2328315702987895E-2</v>
      </c>
    </row>
    <row r="6" spans="1:11" x14ac:dyDescent="0.3">
      <c r="A6" t="s">
        <v>518</v>
      </c>
      <c r="C6">
        <v>903</v>
      </c>
      <c r="D6">
        <f>(C6/C10)</f>
        <v>0.12375618523957375</v>
      </c>
      <c r="E6">
        <v>0.8</v>
      </c>
      <c r="F6">
        <f t="shared" si="0"/>
        <v>9.9004948191659004E-2</v>
      </c>
    </row>
    <row r="7" spans="1:11" x14ac:dyDescent="0.3">
      <c r="F7">
        <f t="shared" si="0"/>
        <v>0</v>
      </c>
    </row>
    <row r="8" spans="1:11" x14ac:dyDescent="0.3">
      <c r="A8" t="s">
        <v>519</v>
      </c>
      <c r="C8">
        <v>1228.77</v>
      </c>
      <c r="D8">
        <f>(C8/C10)</f>
        <v>0.16840297645274754</v>
      </c>
      <c r="E8">
        <v>0.74</v>
      </c>
      <c r="F8">
        <f t="shared" si="0"/>
        <v>0.12461820257503319</v>
      </c>
    </row>
    <row r="9" spans="1:11" x14ac:dyDescent="0.3">
      <c r="A9" t="s">
        <v>520</v>
      </c>
      <c r="C9">
        <v>3056</v>
      </c>
      <c r="D9">
        <f>(C9/C10)</f>
        <v>0.41882491926039578</v>
      </c>
      <c r="E9">
        <v>0.91</v>
      </c>
      <c r="F9">
        <f t="shared" si="0"/>
        <v>0.38113067652696014</v>
      </c>
    </row>
    <row r="10" spans="1:11" x14ac:dyDescent="0.3">
      <c r="A10" t="s">
        <v>521</v>
      </c>
      <c r="C10">
        <f>SUM(C3:C9)</f>
        <v>7296.6049999999996</v>
      </c>
      <c r="D10">
        <f>SUM(D3:D9)</f>
        <v>1</v>
      </c>
      <c r="F10" s="259">
        <f t="shared" ref="E10:G10" si="1">SUM(F3:F9)</f>
        <v>0.73583506301903423</v>
      </c>
    </row>
    <row r="13" spans="1:11" ht="15" thickBot="1" x14ac:dyDescent="0.35"/>
    <row r="14" spans="1:11" ht="15" thickBot="1" x14ac:dyDescent="0.35">
      <c r="I14" s="260" t="s">
        <v>536</v>
      </c>
      <c r="J14" s="261" t="s">
        <v>535</v>
      </c>
      <c r="K14" s="262">
        <v>3289</v>
      </c>
    </row>
    <row r="15" spans="1:11" ht="15" thickBot="1" x14ac:dyDescent="0.35">
      <c r="A15" s="200" t="s">
        <v>525</v>
      </c>
      <c r="I15" s="260" t="s">
        <v>537</v>
      </c>
      <c r="J15" s="261" t="s">
        <v>538</v>
      </c>
      <c r="K15" s="262">
        <f>PRODUCT(1.67,3109.183856)</f>
        <v>5192.33703952</v>
      </c>
    </row>
    <row r="16" spans="1:11" ht="15" thickBot="1" x14ac:dyDescent="0.35">
      <c r="A16" t="s">
        <v>526</v>
      </c>
      <c r="B16">
        <f>F10</f>
        <v>0.73583506301903423</v>
      </c>
      <c r="I16" s="260" t="s">
        <v>530</v>
      </c>
      <c r="J16" s="261" t="s">
        <v>532</v>
      </c>
      <c r="K16" s="262">
        <v>3307</v>
      </c>
    </row>
    <row r="17" spans="1:11" x14ac:dyDescent="0.3">
      <c r="A17" t="s">
        <v>527</v>
      </c>
      <c r="B17">
        <f>K16/K14</f>
        <v>1.0054727880814838</v>
      </c>
      <c r="I17" s="150" t="s">
        <v>531</v>
      </c>
      <c r="J17" s="93"/>
      <c r="K17" s="94">
        <f>(SUM(K18:K20))</f>
        <v>3754</v>
      </c>
    </row>
    <row r="18" spans="1:11" x14ac:dyDescent="0.3">
      <c r="A18" t="s">
        <v>528</v>
      </c>
      <c r="B18">
        <f>K17/K15</f>
        <v>0.7229885062212823</v>
      </c>
      <c r="I18" s="151"/>
      <c r="J18" s="98" t="s">
        <v>533</v>
      </c>
      <c r="K18" s="102">
        <v>3635</v>
      </c>
    </row>
    <row r="19" spans="1:11" x14ac:dyDescent="0.3">
      <c r="A19" t="s">
        <v>529</v>
      </c>
      <c r="B19">
        <v>0.27900000000000003</v>
      </c>
      <c r="I19" s="151"/>
      <c r="J19" s="98" t="s">
        <v>345</v>
      </c>
      <c r="K19" s="102">
        <v>2</v>
      </c>
    </row>
    <row r="20" spans="1:11" ht="15" thickBot="1" x14ac:dyDescent="0.35">
      <c r="A20" t="s">
        <v>539</v>
      </c>
      <c r="B20">
        <f>PRODUCT(B16,(1+PRODUCT((1-B19),B17)))</f>
        <v>1.2692756604663571</v>
      </c>
      <c r="I20" s="152"/>
      <c r="J20" s="103" t="s">
        <v>534</v>
      </c>
      <c r="K20" s="104">
        <v>117</v>
      </c>
    </row>
    <row r="21" spans="1:11" x14ac:dyDescent="0.3">
      <c r="A21" t="s">
        <v>540</v>
      </c>
      <c r="B21">
        <f>PRODUCT(B16,(1+PRODUCT((1-B19),B18)))</f>
        <v>1.1194072742989813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46" t="s">
        <v>174</v>
      </c>
      <c r="B1" s="247"/>
      <c r="C1" s="247"/>
      <c r="D1" s="247"/>
      <c r="E1" s="247"/>
      <c r="F1" s="248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BS</vt:lpstr>
      <vt:lpstr>Analysis </vt:lpstr>
      <vt:lpstr>Bottom up Beta</vt:lpstr>
      <vt:lpstr>FCFE Computation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2020-05-16T16:38:32Z</dcterms:modified>
</cp:coreProperties>
</file>