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simon\OneDrive\Desktop\Corporate-project-\Project\"/>
    </mc:Choice>
  </mc:AlternateContent>
  <xr:revisionPtr revIDLastSave="290" documentId="13_ncr:1_{D6F335B7-F14E-4252-BB11-080FF721C412}" xr6:coauthVersionLast="45" xr6:coauthVersionMax="45" xr10:uidLastSave="{A00382D8-503C-488C-BDD4-B7317D5671D2}"/>
  <bookViews>
    <workbookView xWindow="-108" yWindow="-108" windowWidth="23256" windowHeight="12576" firstSheet="4" activeTab="10" xr2:uid="{00000000-000D-0000-FFFF-FFFF00000000}"/>
  </bookViews>
  <sheets>
    <sheet name="Financial statements" sheetId="1" r:id="rId1"/>
    <sheet name="Income Statement" sheetId="3" state="hidden" r:id="rId2"/>
    <sheet name="Reorganised Statements" sheetId="2" r:id="rId3"/>
    <sheet name="Cash flows" sheetId="8" state="hidden" r:id="rId4"/>
    <sheet name="Trailing 12-months" sheetId="5" r:id="rId5"/>
    <sheet name="Ratios " sheetId="13" r:id="rId6"/>
    <sheet name="Consob Reorg " sheetId="12" state="hidden" r:id="rId7"/>
    <sheet name="WACC" sheetId="16" r:id="rId8"/>
    <sheet name="Forecasts Gianmarco " sheetId="11" r:id="rId9"/>
    <sheet name="Forecasts Simone" sheetId="17" r:id="rId10"/>
    <sheet name="DCF Valuation Simone " sheetId="19" r:id="rId11"/>
  </sheets>
  <externalReferences>
    <externalReference r:id="rId12"/>
    <externalReference r:id="rId13"/>
  </externalReferences>
  <definedNames>
    <definedName name="solver_cvg" localSheetId="9" hidden="1">0.0001</definedName>
    <definedName name="solver_drv" localSheetId="9" hidden="1">2</definedName>
    <definedName name="solver_eng" localSheetId="9" hidden="1">1</definedName>
    <definedName name="solver_est" localSheetId="9" hidden="1">1</definedName>
    <definedName name="solver_itr" localSheetId="9" hidden="1">2147483647</definedName>
    <definedName name="solver_mip" localSheetId="9" hidden="1">2147483647</definedName>
    <definedName name="solver_mni" localSheetId="9" hidden="1">30</definedName>
    <definedName name="solver_mrt" localSheetId="9" hidden="1">0.075</definedName>
    <definedName name="solver_msl" localSheetId="9" hidden="1">2</definedName>
    <definedName name="solver_neg" localSheetId="9" hidden="1">1</definedName>
    <definedName name="solver_nod" localSheetId="9" hidden="1">2147483647</definedName>
    <definedName name="solver_num" localSheetId="9" hidden="1">0</definedName>
    <definedName name="solver_nwt" localSheetId="9" hidden="1">1</definedName>
    <definedName name="solver_opt" localSheetId="9" hidden="1">'Forecasts Simone'!#REF!</definedName>
    <definedName name="solver_pre" localSheetId="9" hidden="1">0.000001</definedName>
    <definedName name="solver_rbv" localSheetId="9" hidden="1">2</definedName>
    <definedName name="solver_rlx" localSheetId="9" hidden="1">2</definedName>
    <definedName name="solver_rsd" localSheetId="9" hidden="1">0</definedName>
    <definedName name="solver_scl" localSheetId="9" hidden="1">2</definedName>
    <definedName name="solver_sho" localSheetId="9" hidden="1">2</definedName>
    <definedName name="solver_ssz" localSheetId="9" hidden="1">100</definedName>
    <definedName name="solver_tim" localSheetId="9" hidden="1">2147483647</definedName>
    <definedName name="solver_tol" localSheetId="9" hidden="1">0.01</definedName>
    <definedName name="solver_typ" localSheetId="9" hidden="1">3</definedName>
    <definedName name="solver_val" localSheetId="9" hidden="1">1561</definedName>
    <definedName name="solver_ver" localSheetId="9"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13" l="1"/>
  <c r="D51" i="13"/>
  <c r="D15" i="13" s="1"/>
  <c r="E15" i="13"/>
  <c r="F15" i="13"/>
  <c r="G15" i="13"/>
  <c r="H15" i="13"/>
  <c r="E13" i="13"/>
  <c r="F13" i="13"/>
  <c r="G13" i="13"/>
  <c r="H13" i="13"/>
  <c r="D13" i="13"/>
  <c r="E11" i="13"/>
  <c r="F11" i="13"/>
  <c r="G11" i="13"/>
  <c r="D11" i="13"/>
  <c r="D5" i="13"/>
  <c r="D9" i="13"/>
  <c r="H69" i="17" l="1"/>
  <c r="I69" i="17"/>
  <c r="J69" i="17" s="1"/>
  <c r="K69" i="17" s="1"/>
  <c r="G67" i="17"/>
  <c r="G68" i="17"/>
  <c r="G69" i="17"/>
  <c r="G70" i="17"/>
  <c r="C173" i="17"/>
  <c r="D173" i="17"/>
  <c r="E173" i="17"/>
  <c r="B173" i="17"/>
  <c r="G140" i="17"/>
  <c r="G117" i="17"/>
  <c r="K34" i="17"/>
  <c r="K33" i="17"/>
  <c r="H33" i="17"/>
  <c r="I33" i="17"/>
  <c r="J33" i="17"/>
  <c r="H34" i="17"/>
  <c r="I34" i="17"/>
  <c r="J34" i="17"/>
  <c r="G34" i="17"/>
  <c r="G33" i="17"/>
  <c r="F87" i="11" l="1"/>
  <c r="G20" i="11"/>
  <c r="D135" i="19" l="1"/>
  <c r="H107" i="19"/>
  <c r="H123" i="19" s="1"/>
  <c r="I107" i="19"/>
  <c r="I123" i="19" s="1"/>
  <c r="J107" i="19"/>
  <c r="J123" i="19" s="1"/>
  <c r="K107" i="19"/>
  <c r="K108" i="19" s="1"/>
  <c r="L107" i="19"/>
  <c r="L108" i="19" s="1"/>
  <c r="D95" i="19"/>
  <c r="H68" i="19"/>
  <c r="I68" i="19"/>
  <c r="I84" i="19" s="1"/>
  <c r="J68" i="19"/>
  <c r="K68" i="19"/>
  <c r="K69" i="19" s="1"/>
  <c r="L68" i="19"/>
  <c r="L84" i="19" s="1"/>
  <c r="C56" i="19"/>
  <c r="E78" i="19" s="1"/>
  <c r="E117" i="19" l="1"/>
  <c r="E112" i="19" s="1"/>
  <c r="K123" i="19"/>
  <c r="J108" i="19"/>
  <c r="I108" i="19"/>
  <c r="L123" i="19"/>
  <c r="J69" i="19"/>
  <c r="K84" i="19"/>
  <c r="J84" i="19"/>
  <c r="H84" i="19"/>
  <c r="L69" i="19"/>
  <c r="E73" i="19" s="1"/>
  <c r="M84" i="19" s="1"/>
  <c r="N84" i="19" s="1"/>
  <c r="O84" i="19" s="1"/>
  <c r="I69" i="19"/>
  <c r="M123" i="19" l="1"/>
  <c r="N123" i="19" s="1"/>
  <c r="O123" i="19" s="1"/>
  <c r="I11" i="19" l="1"/>
  <c r="J11" i="19" s="1"/>
  <c r="K11" i="19" s="1"/>
  <c r="L11" i="19" s="1"/>
  <c r="D238" i="17" l="1"/>
  <c r="W238" i="17" s="1"/>
  <c r="E238" i="17"/>
  <c r="X238" i="17" s="1"/>
  <c r="F238" i="17"/>
  <c r="Y238" i="17" s="1"/>
  <c r="C238" i="17"/>
  <c r="V238" i="17" s="1"/>
  <c r="H138" i="17"/>
  <c r="G138" i="17"/>
  <c r="C139" i="17"/>
  <c r="D139" i="17"/>
  <c r="E139" i="17"/>
  <c r="F139" i="17"/>
  <c r="G139" i="17" s="1"/>
  <c r="H139" i="17" s="1"/>
  <c r="I139" i="17" s="1"/>
  <c r="J139" i="17" s="1"/>
  <c r="B139" i="17"/>
  <c r="C210" i="17"/>
  <c r="V210" i="17" s="1"/>
  <c r="D210" i="17"/>
  <c r="W210" i="17" s="1"/>
  <c r="E210" i="17"/>
  <c r="X210" i="17" s="1"/>
  <c r="F210" i="17"/>
  <c r="Y210" i="17" s="1"/>
  <c r="B210" i="17"/>
  <c r="U210" i="17" s="1"/>
  <c r="C207" i="17"/>
  <c r="V207" i="17" s="1"/>
  <c r="D207" i="17"/>
  <c r="E207" i="17"/>
  <c r="F207" i="17"/>
  <c r="Y207" i="17" s="1"/>
  <c r="B207" i="17"/>
  <c r="C190" i="17"/>
  <c r="V190" i="17" s="1"/>
  <c r="D190" i="17"/>
  <c r="W190" i="17" s="1"/>
  <c r="E190" i="17"/>
  <c r="X190" i="17" s="1"/>
  <c r="F190" i="17"/>
  <c r="B190" i="17"/>
  <c r="U190" i="17" s="1"/>
  <c r="T38" i="17"/>
  <c r="U207" i="17" l="1"/>
  <c r="G190" i="17"/>
  <c r="H190" i="17" s="1"/>
  <c r="I190" i="17" s="1"/>
  <c r="J190" i="17" s="1"/>
  <c r="K190" i="17" s="1"/>
  <c r="Y190" i="17"/>
  <c r="W207" i="17"/>
  <c r="X207" i="17"/>
  <c r="H137" i="17"/>
  <c r="K139" i="17"/>
  <c r="G137" i="17"/>
  <c r="L30" i="19"/>
  <c r="I13" i="19"/>
  <c r="G11" i="19"/>
  <c r="F11" i="19"/>
  <c r="E11" i="19"/>
  <c r="D11" i="19"/>
  <c r="C138" i="17" s="1"/>
  <c r="C137" i="17" s="1"/>
  <c r="C11" i="19"/>
  <c r="B138" i="17" s="1"/>
  <c r="B137" i="17" s="1"/>
  <c r="D13" i="19" l="1"/>
  <c r="H13" i="19"/>
  <c r="F138" i="17"/>
  <c r="F137" i="17" s="1"/>
  <c r="E13" i="19"/>
  <c r="D138" i="17"/>
  <c r="D137" i="17" s="1"/>
  <c r="F13" i="19"/>
  <c r="E138" i="17"/>
  <c r="E137" i="17" s="1"/>
  <c r="I138" i="17"/>
  <c r="I137" i="17" s="1"/>
  <c r="G13" i="19"/>
  <c r="J13" i="19" l="1"/>
  <c r="J138" i="17"/>
  <c r="J137" i="17" s="1"/>
  <c r="K138" i="17" l="1"/>
  <c r="K137" i="17" s="1"/>
  <c r="K13" i="19"/>
  <c r="L13" i="19" l="1"/>
  <c r="L29" i="19" s="1"/>
  <c r="L31" i="19" l="1"/>
  <c r="M11" i="19" s="1"/>
  <c r="M13" i="19" l="1"/>
  <c r="N11" i="19"/>
  <c r="O11" i="19" s="1"/>
  <c r="N13" i="19" l="1"/>
  <c r="O13" i="19"/>
  <c r="G12" i="11" l="1"/>
  <c r="N108" i="11"/>
  <c r="K96" i="11"/>
  <c r="L96" i="11"/>
  <c r="M96" i="11"/>
  <c r="N96" i="11"/>
  <c r="J96" i="11"/>
  <c r="J108" i="11" l="1"/>
  <c r="K108" i="11"/>
  <c r="K109" i="11" s="1"/>
  <c r="K101" i="11" s="1"/>
  <c r="L108" i="11"/>
  <c r="M108" i="11"/>
  <c r="O96" i="11"/>
  <c r="L109" i="11" l="1"/>
  <c r="L101" i="11" s="1"/>
  <c r="H55" i="11"/>
  <c r="H49" i="11"/>
  <c r="C16" i="11"/>
  <c r="J29" i="11"/>
  <c r="K29" i="11" s="1"/>
  <c r="L29" i="11" s="1"/>
  <c r="M29" i="11" s="1"/>
  <c r="N29" i="11" s="1"/>
  <c r="O29" i="11" s="1"/>
  <c r="K97" i="11" l="1"/>
  <c r="P97" i="11"/>
  <c r="M109" i="11"/>
  <c r="M101" i="11" s="1"/>
  <c r="N97" i="11"/>
  <c r="M97" i="11"/>
  <c r="J97" i="11"/>
  <c r="L97" i="11"/>
  <c r="J56" i="11"/>
  <c r="O97" i="11"/>
  <c r="N109" i="11" l="1"/>
  <c r="N101" i="11" s="1"/>
  <c r="J32" i="11"/>
  <c r="K32" i="11" s="1"/>
  <c r="L32" i="11" s="1"/>
  <c r="M32" i="11" s="1"/>
  <c r="N32" i="11" s="1"/>
  <c r="O32" i="11" s="1"/>
  <c r="O34" i="11"/>
  <c r="N59" i="11"/>
  <c r="F35" i="11"/>
  <c r="G35" i="11"/>
  <c r="H35" i="11"/>
  <c r="I35" i="11"/>
  <c r="I33" i="11"/>
  <c r="H33" i="11"/>
  <c r="G33" i="11"/>
  <c r="M34" i="11" l="1"/>
  <c r="L34" i="11"/>
  <c r="K34" i="11"/>
  <c r="N34" i="11"/>
  <c r="J34" i="11"/>
  <c r="O109" i="11"/>
  <c r="O123" i="11"/>
  <c r="J109" i="11"/>
  <c r="J101" i="11" s="1"/>
  <c r="J92" i="11"/>
  <c r="K92" i="11" s="1"/>
  <c r="L92" i="11" s="1"/>
  <c r="M92" i="11" s="1"/>
  <c r="N92" i="11" s="1"/>
  <c r="G93" i="11"/>
  <c r="H93" i="11"/>
  <c r="I93" i="11"/>
  <c r="F93" i="11"/>
  <c r="F98" i="11"/>
  <c r="G98" i="11"/>
  <c r="H98" i="11"/>
  <c r="I98" i="11"/>
  <c r="E98" i="11"/>
  <c r="H96" i="11"/>
  <c r="E102" i="11"/>
  <c r="F102" i="11"/>
  <c r="F104" i="11" s="1"/>
  <c r="H102" i="11"/>
  <c r="H104" i="11" s="1"/>
  <c r="I102" i="11"/>
  <c r="I104" i="11" s="1"/>
  <c r="G96" i="11"/>
  <c r="I96" i="11"/>
  <c r="F96" i="11"/>
  <c r="O92" i="11" l="1"/>
  <c r="P92" i="11"/>
  <c r="K89" i="11"/>
  <c r="P101" i="11"/>
  <c r="O101" i="11"/>
  <c r="G99" i="11"/>
  <c r="F99" i="11"/>
  <c r="H99" i="11"/>
  <c r="I99" i="11"/>
  <c r="G102" i="11"/>
  <c r="G104" i="11" s="1"/>
  <c r="C111" i="17"/>
  <c r="D111" i="17"/>
  <c r="E111" i="17"/>
  <c r="F111" i="17"/>
  <c r="B111" i="17"/>
  <c r="C110" i="17"/>
  <c r="D110" i="17"/>
  <c r="E110" i="17"/>
  <c r="F110" i="17"/>
  <c r="B110" i="17"/>
  <c r="C92" i="17"/>
  <c r="D92" i="17"/>
  <c r="E92" i="17"/>
  <c r="F92" i="17"/>
  <c r="B92" i="17"/>
  <c r="C90" i="17"/>
  <c r="D90" i="17"/>
  <c r="E90" i="17"/>
  <c r="F90" i="17"/>
  <c r="B90" i="17"/>
  <c r="C84" i="17"/>
  <c r="C202" i="17" s="1"/>
  <c r="V202" i="17" s="1"/>
  <c r="D84" i="17"/>
  <c r="D202" i="17" s="1"/>
  <c r="W202" i="17" s="1"/>
  <c r="E84" i="17"/>
  <c r="E202" i="17" s="1"/>
  <c r="X202" i="17" s="1"/>
  <c r="F84" i="17"/>
  <c r="F202" i="17" s="1"/>
  <c r="Y202" i="17" s="1"/>
  <c r="C85" i="17"/>
  <c r="C203" i="17" s="1"/>
  <c r="V203" i="17" s="1"/>
  <c r="D85" i="17"/>
  <c r="D203" i="17" s="1"/>
  <c r="E85" i="17"/>
  <c r="E203" i="17" s="1"/>
  <c r="X203" i="17" s="1"/>
  <c r="F85" i="17"/>
  <c r="F203" i="17" s="1"/>
  <c r="Y203" i="17" s="1"/>
  <c r="C86" i="17"/>
  <c r="D86" i="17"/>
  <c r="E86" i="17"/>
  <c r="F86" i="17"/>
  <c r="B85" i="17"/>
  <c r="B203" i="17" s="1"/>
  <c r="B86" i="17"/>
  <c r="B84" i="17"/>
  <c r="B202" i="17" s="1"/>
  <c r="U202" i="17" s="1"/>
  <c r="C53" i="17"/>
  <c r="D53" i="17"/>
  <c r="E53" i="17"/>
  <c r="F53" i="17"/>
  <c r="B53" i="17"/>
  <c r="C42" i="17"/>
  <c r="D42" i="17"/>
  <c r="E42" i="17"/>
  <c r="F42" i="17"/>
  <c r="B42" i="17"/>
  <c r="C15" i="17"/>
  <c r="D15" i="17"/>
  <c r="D162" i="17" s="1"/>
  <c r="W162" i="17" s="1"/>
  <c r="E15" i="17"/>
  <c r="E162" i="17" s="1"/>
  <c r="X162" i="17" s="1"/>
  <c r="F15" i="17"/>
  <c r="F162" i="17" s="1"/>
  <c r="Y162" i="17" s="1"/>
  <c r="C16" i="17"/>
  <c r="D16" i="17"/>
  <c r="D163" i="17" s="1"/>
  <c r="W163" i="17" s="1"/>
  <c r="E16" i="17"/>
  <c r="E163" i="17" s="1"/>
  <c r="X163" i="17" s="1"/>
  <c r="F16" i="17"/>
  <c r="F163" i="17" s="1"/>
  <c r="Y163" i="17" s="1"/>
  <c r="C17" i="17"/>
  <c r="D17" i="17"/>
  <c r="E17" i="17"/>
  <c r="F17" i="17"/>
  <c r="B16" i="17"/>
  <c r="B17" i="17"/>
  <c r="B15" i="17"/>
  <c r="C11" i="17"/>
  <c r="D11" i="17"/>
  <c r="E11" i="17"/>
  <c r="E159" i="17" s="1"/>
  <c r="X159" i="17" s="1"/>
  <c r="F11" i="17"/>
  <c r="F159" i="17" s="1"/>
  <c r="Y159" i="17" s="1"/>
  <c r="B11" i="17"/>
  <c r="C9" i="17"/>
  <c r="D9" i="17"/>
  <c r="E9" i="17"/>
  <c r="F9" i="17"/>
  <c r="B9" i="17"/>
  <c r="C8" i="17"/>
  <c r="D8" i="17"/>
  <c r="E8" i="17"/>
  <c r="F8" i="17"/>
  <c r="B8" i="17"/>
  <c r="E236" i="17" l="1"/>
  <c r="X236" i="17" s="1"/>
  <c r="W203" i="17"/>
  <c r="C236" i="17"/>
  <c r="V236" i="17" s="1"/>
  <c r="U203" i="17"/>
  <c r="C237" i="17"/>
  <c r="V237" i="17" s="1"/>
  <c r="F236" i="17"/>
  <c r="Y236" i="17" s="1"/>
  <c r="D170" i="17"/>
  <c r="C170" i="17"/>
  <c r="E237" i="17"/>
  <c r="X237" i="17" s="1"/>
  <c r="C204" i="17"/>
  <c r="V204" i="17" s="1"/>
  <c r="D235" i="17"/>
  <c r="W235" i="17" s="1"/>
  <c r="D237" i="17"/>
  <c r="W237" i="17" s="1"/>
  <c r="E204" i="17"/>
  <c r="X204" i="17" s="1"/>
  <c r="F235" i="17"/>
  <c r="Y235" i="17" s="1"/>
  <c r="F237" i="17"/>
  <c r="Y237" i="17" s="1"/>
  <c r="D204" i="17"/>
  <c r="W204" i="17" s="1"/>
  <c r="E235" i="17"/>
  <c r="X235" i="17" s="1"/>
  <c r="E170" i="17"/>
  <c r="F204" i="17"/>
  <c r="Y204" i="17" s="1"/>
  <c r="B204" i="17"/>
  <c r="U204" i="17" s="1"/>
  <c r="C235" i="17"/>
  <c r="V235" i="17" s="1"/>
  <c r="D236" i="17"/>
  <c r="W236" i="17" s="1"/>
  <c r="E164" i="17"/>
  <c r="X164" i="17" s="1"/>
  <c r="D159" i="17"/>
  <c r="W159" i="17" s="1"/>
  <c r="C164" i="17"/>
  <c r="V164" i="17" s="1"/>
  <c r="C162" i="17"/>
  <c r="V162" i="17" s="1"/>
  <c r="D164" i="17"/>
  <c r="W164" i="17" s="1"/>
  <c r="C159" i="17"/>
  <c r="V159" i="17" s="1"/>
  <c r="B170" i="17"/>
  <c r="U170" i="17" s="1"/>
  <c r="F164" i="17"/>
  <c r="Y164" i="17" s="1"/>
  <c r="B162" i="17"/>
  <c r="U162" i="17" s="1"/>
  <c r="F170" i="17"/>
  <c r="B159" i="17"/>
  <c r="U159" i="17" s="1"/>
  <c r="B164" i="17"/>
  <c r="U164" i="17" s="1"/>
  <c r="B163" i="17"/>
  <c r="U163" i="17" s="1"/>
  <c r="C163" i="17"/>
  <c r="V163" i="17" s="1"/>
  <c r="P96" i="11"/>
  <c r="D234" i="17" l="1"/>
  <c r="W234" i="17" s="1"/>
  <c r="W170" i="17"/>
  <c r="C234" i="17"/>
  <c r="V234" i="17" s="1"/>
  <c r="V170" i="17"/>
  <c r="E234" i="17"/>
  <c r="X234" i="17" s="1"/>
  <c r="X170" i="17"/>
  <c r="F234" i="17"/>
  <c r="Y234" i="17" s="1"/>
  <c r="Y170" i="17"/>
  <c r="C65" i="17"/>
  <c r="C195" i="17" s="1"/>
  <c r="V195" i="17" s="1"/>
  <c r="D65" i="17"/>
  <c r="D195" i="17" s="1"/>
  <c r="W195" i="17" s="1"/>
  <c r="E65" i="17"/>
  <c r="E195" i="17" s="1"/>
  <c r="X195" i="17" s="1"/>
  <c r="F65" i="17"/>
  <c r="F195" i="17" s="1"/>
  <c r="Y195" i="17" s="1"/>
  <c r="B65" i="17"/>
  <c r="B195" i="17" s="1"/>
  <c r="U195" i="17" s="1"/>
  <c r="C64" i="17"/>
  <c r="C194" i="17" s="1"/>
  <c r="V194" i="17" s="1"/>
  <c r="D64" i="17"/>
  <c r="D194" i="17" s="1"/>
  <c r="W194" i="17" s="1"/>
  <c r="E64" i="17"/>
  <c r="E194" i="17" s="1"/>
  <c r="X194" i="17" s="1"/>
  <c r="F64" i="17"/>
  <c r="F194" i="17" s="1"/>
  <c r="Y194" i="17" s="1"/>
  <c r="B64" i="17"/>
  <c r="B194" i="17" s="1"/>
  <c r="U194" i="17" s="1"/>
  <c r="C63" i="17"/>
  <c r="C193" i="17" s="1"/>
  <c r="V193" i="17" s="1"/>
  <c r="D63" i="17"/>
  <c r="D193" i="17" s="1"/>
  <c r="W193" i="17" s="1"/>
  <c r="E63" i="17"/>
  <c r="E193" i="17" s="1"/>
  <c r="X193" i="17" s="1"/>
  <c r="F63" i="17"/>
  <c r="F193" i="17" s="1"/>
  <c r="B63" i="17"/>
  <c r="B193" i="17" s="1"/>
  <c r="U193" i="17" s="1"/>
  <c r="U196" i="17" s="1"/>
  <c r="F196" i="17" l="1"/>
  <c r="Y193" i="17"/>
  <c r="Y196" i="17" s="1"/>
  <c r="W196" i="17"/>
  <c r="V196" i="17"/>
  <c r="X196" i="17"/>
  <c r="D225" i="17"/>
  <c r="W225" i="17" s="1"/>
  <c r="E226" i="17"/>
  <c r="X226" i="17" s="1"/>
  <c r="F225" i="17"/>
  <c r="Y225" i="17" s="1"/>
  <c r="B196" i="17"/>
  <c r="C224" i="17"/>
  <c r="V224" i="17" s="1"/>
  <c r="E225" i="17"/>
  <c r="X225" i="17" s="1"/>
  <c r="C225" i="17"/>
  <c r="V225" i="17" s="1"/>
  <c r="D226" i="17"/>
  <c r="W226" i="17" s="1"/>
  <c r="C226" i="17"/>
  <c r="V226" i="17" s="1"/>
  <c r="E224" i="17"/>
  <c r="X224" i="17" s="1"/>
  <c r="F224" i="17"/>
  <c r="Y224" i="17" s="1"/>
  <c r="C196" i="17"/>
  <c r="D224" i="17"/>
  <c r="W224" i="17" s="1"/>
  <c r="F226" i="17"/>
  <c r="Y226" i="17" s="1"/>
  <c r="E196" i="17"/>
  <c r="D196" i="17"/>
  <c r="B67" i="17"/>
  <c r="D35" i="13"/>
  <c r="F67" i="17"/>
  <c r="H67" i="17" s="1"/>
  <c r="I67" i="17" s="1"/>
  <c r="J67" i="17" s="1"/>
  <c r="K67" i="17" s="1"/>
  <c r="H35" i="13"/>
  <c r="D39" i="13"/>
  <c r="B69" i="17"/>
  <c r="D37" i="13"/>
  <c r="F35" i="13"/>
  <c r="D67" i="17"/>
  <c r="H39" i="13"/>
  <c r="F69" i="17"/>
  <c r="H37" i="13"/>
  <c r="E35" i="13"/>
  <c r="C67" i="17"/>
  <c r="G37" i="13"/>
  <c r="E69" i="17"/>
  <c r="G39" i="13"/>
  <c r="E37" i="13"/>
  <c r="E39" i="13"/>
  <c r="C69" i="17"/>
  <c r="E67" i="17"/>
  <c r="G35" i="13"/>
  <c r="F37" i="13"/>
  <c r="D69" i="17"/>
  <c r="F39" i="13"/>
  <c r="M59" i="11"/>
  <c r="L59" i="11"/>
  <c r="K59" i="11"/>
  <c r="D7" i="13"/>
  <c r="E7" i="13"/>
  <c r="F7" i="13"/>
  <c r="G143" i="17"/>
  <c r="K136" i="17"/>
  <c r="K144" i="17" s="1"/>
  <c r="J136" i="17"/>
  <c r="J144" i="17" s="1"/>
  <c r="I136" i="17"/>
  <c r="I144" i="17" s="1"/>
  <c r="H136" i="17"/>
  <c r="H144" i="17" s="1"/>
  <c r="G136" i="17"/>
  <c r="F136" i="17"/>
  <c r="E136" i="17"/>
  <c r="D136" i="17"/>
  <c r="C136" i="17"/>
  <c r="B136" i="17"/>
  <c r="H125" i="17"/>
  <c r="I125" i="17" s="1"/>
  <c r="J125" i="17" s="1"/>
  <c r="H121" i="17"/>
  <c r="I121" i="17" s="1"/>
  <c r="U118" i="17"/>
  <c r="K105" i="17"/>
  <c r="J105" i="17"/>
  <c r="I105" i="17"/>
  <c r="H105" i="17"/>
  <c r="G86" i="17"/>
  <c r="G85" i="17"/>
  <c r="G84" i="17"/>
  <c r="G59" i="16"/>
  <c r="C58" i="16"/>
  <c r="G57" i="16"/>
  <c r="E57" i="16"/>
  <c r="G56" i="16"/>
  <c r="E56" i="16"/>
  <c r="C55" i="16"/>
  <c r="C60" i="16" s="1"/>
  <c r="C51" i="16"/>
  <c r="C53" i="16" s="1"/>
  <c r="E49" i="16"/>
  <c r="E51" i="16" s="1"/>
  <c r="E53" i="16" s="1"/>
  <c r="D25" i="16"/>
  <c r="F9" i="16"/>
  <c r="E9" i="16"/>
  <c r="I9" i="16" s="1"/>
  <c r="I10" i="16" s="1"/>
  <c r="F7" i="16"/>
  <c r="J9" i="16" l="1"/>
  <c r="J10" i="16" s="1"/>
  <c r="E227" i="17"/>
  <c r="D227" i="17"/>
  <c r="G235" i="17"/>
  <c r="F227" i="17"/>
  <c r="C227" i="17"/>
  <c r="G144" i="17"/>
  <c r="H84" i="17"/>
  <c r="G202" i="17"/>
  <c r="H85" i="17"/>
  <c r="G203" i="17"/>
  <c r="H86" i="17"/>
  <c r="H235" i="17" s="1"/>
  <c r="G204" i="17"/>
  <c r="D140" i="17"/>
  <c r="H145" i="17"/>
  <c r="E58" i="16"/>
  <c r="D41" i="16"/>
  <c r="D44" i="16" s="1"/>
  <c r="F99" i="17"/>
  <c r="B99" i="17"/>
  <c r="G58" i="16"/>
  <c r="C140" i="17"/>
  <c r="G145" i="17"/>
  <c r="E10" i="17"/>
  <c r="E158" i="17" s="1"/>
  <c r="X158" i="17" s="1"/>
  <c r="X160" i="17" s="1"/>
  <c r="D10" i="17"/>
  <c r="D158" i="17" s="1"/>
  <c r="W158" i="17" s="1"/>
  <c r="W160" i="17" s="1"/>
  <c r="E112" i="17"/>
  <c r="E99" i="17"/>
  <c r="D112" i="17"/>
  <c r="G105" i="17"/>
  <c r="B12" i="17"/>
  <c r="F12" i="17"/>
  <c r="E12" i="17"/>
  <c r="B112" i="17"/>
  <c r="F112" i="17"/>
  <c r="D99" i="17"/>
  <c r="D209" i="17" s="1"/>
  <c r="W209" i="17" s="1"/>
  <c r="W211" i="17" s="1"/>
  <c r="W213" i="17" s="1"/>
  <c r="C112" i="17"/>
  <c r="C12" i="17"/>
  <c r="C10" i="17"/>
  <c r="D12" i="17"/>
  <c r="B10" i="17"/>
  <c r="F10" i="17"/>
  <c r="F158" i="17" s="1"/>
  <c r="Y158" i="17" s="1"/>
  <c r="Y160" i="17" s="1"/>
  <c r="C99" i="17"/>
  <c r="C209" i="17" s="1"/>
  <c r="V209" i="17" s="1"/>
  <c r="V211" i="17" s="1"/>
  <c r="V213" i="17" s="1"/>
  <c r="K125" i="17"/>
  <c r="J121" i="17"/>
  <c r="E140" i="17"/>
  <c r="V118" i="17"/>
  <c r="W118" i="17" s="1"/>
  <c r="X118" i="17" s="1"/>
  <c r="Y118" i="17" s="1"/>
  <c r="B140" i="17"/>
  <c r="F140" i="17"/>
  <c r="G50" i="16"/>
  <c r="G53" i="16" s="1"/>
  <c r="C41" i="16"/>
  <c r="C44" i="16" s="1"/>
  <c r="C63" i="16"/>
  <c r="E55" i="16"/>
  <c r="Y227" i="17" l="1"/>
  <c r="V227" i="17"/>
  <c r="W227" i="17"/>
  <c r="X227" i="17"/>
  <c r="C211" i="17"/>
  <c r="C213" i="17" s="1"/>
  <c r="D242" i="17"/>
  <c r="W242" i="17" s="1"/>
  <c r="D211" i="17"/>
  <c r="D213" i="17" s="1"/>
  <c r="E242" i="17"/>
  <c r="X242" i="17" s="1"/>
  <c r="G147" i="17"/>
  <c r="G207" i="17" s="1"/>
  <c r="G237" i="17"/>
  <c r="B97" i="17"/>
  <c r="B209" i="17"/>
  <c r="U209" i="17" s="1"/>
  <c r="U211" i="17" s="1"/>
  <c r="U213" i="17" s="1"/>
  <c r="E97" i="17"/>
  <c r="X127" i="17" s="1"/>
  <c r="E209" i="17"/>
  <c r="X209" i="17" s="1"/>
  <c r="X211" i="17" s="1"/>
  <c r="X213" i="17" s="1"/>
  <c r="F94" i="17"/>
  <c r="F95" i="17" s="1"/>
  <c r="F97" i="17" s="1"/>
  <c r="Y127" i="17" s="1"/>
  <c r="F209" i="17"/>
  <c r="Y209" i="17" s="1"/>
  <c r="Y211" i="17" s="1"/>
  <c r="Y213" i="17" s="1"/>
  <c r="G236" i="17"/>
  <c r="H140" i="17"/>
  <c r="I86" i="17"/>
  <c r="H204" i="17"/>
  <c r="I85" i="17"/>
  <c r="H203" i="17"/>
  <c r="C158" i="17"/>
  <c r="V158" i="17" s="1"/>
  <c r="V160" i="17" s="1"/>
  <c r="B158" i="17"/>
  <c r="U158" i="17" s="1"/>
  <c r="U160" i="17" s="1"/>
  <c r="I84" i="17"/>
  <c r="H202" i="17"/>
  <c r="T8" i="17"/>
  <c r="T11" i="17"/>
  <c r="U5" i="17"/>
  <c r="U8" i="17"/>
  <c r="U11" i="17"/>
  <c r="V8" i="17"/>
  <c r="V11" i="17"/>
  <c r="V5" i="17"/>
  <c r="E96" i="17"/>
  <c r="B96" i="17"/>
  <c r="G33" i="13"/>
  <c r="E68" i="17"/>
  <c r="C68" i="17"/>
  <c r="E33" i="13"/>
  <c r="D68" i="17"/>
  <c r="F33" i="13"/>
  <c r="H33" i="13"/>
  <c r="F68" i="17"/>
  <c r="B68" i="17"/>
  <c r="D33" i="13"/>
  <c r="D97" i="17"/>
  <c r="W127" i="17" s="1"/>
  <c r="D96" i="17"/>
  <c r="C96" i="17"/>
  <c r="C97" i="17"/>
  <c r="K121" i="17"/>
  <c r="G55" i="16"/>
  <c r="F67" i="16" s="1"/>
  <c r="E60" i="16"/>
  <c r="E63" i="16" s="1"/>
  <c r="H68" i="17" l="1"/>
  <c r="I68" i="17" s="1"/>
  <c r="J68" i="17" s="1"/>
  <c r="K68" i="17" s="1"/>
  <c r="F96" i="17"/>
  <c r="T91" i="17"/>
  <c r="T92" i="17" s="1"/>
  <c r="F211" i="17"/>
  <c r="F213" i="17" s="1"/>
  <c r="B211" i="17"/>
  <c r="B213" i="17" s="1"/>
  <c r="C242" i="17"/>
  <c r="V242" i="17" s="1"/>
  <c r="H143" i="17"/>
  <c r="H147" i="17" s="1"/>
  <c r="H207" i="17" s="1"/>
  <c r="E211" i="17"/>
  <c r="E213" i="17" s="1"/>
  <c r="F242" i="17"/>
  <c r="Y242" i="17" s="1"/>
  <c r="T6" i="17"/>
  <c r="H236" i="17"/>
  <c r="I235" i="17"/>
  <c r="H237" i="17"/>
  <c r="J85" i="17"/>
  <c r="I203" i="17"/>
  <c r="J84" i="17"/>
  <c r="I202" i="17"/>
  <c r="J86" i="17"/>
  <c r="I204" i="17"/>
  <c r="T12" i="17"/>
  <c r="T9" i="17"/>
  <c r="G67" i="16"/>
  <c r="F65" i="16"/>
  <c r="F42" i="13"/>
  <c r="F41" i="13"/>
  <c r="E42" i="13"/>
  <c r="E41" i="13"/>
  <c r="H42" i="13"/>
  <c r="H41" i="13"/>
  <c r="G42" i="13"/>
  <c r="G41" i="13"/>
  <c r="D42" i="13"/>
  <c r="D41" i="13"/>
  <c r="I140" i="17"/>
  <c r="I145" i="17"/>
  <c r="V127" i="17"/>
  <c r="G60" i="16"/>
  <c r="G65" i="16" l="1"/>
  <c r="C57" i="19"/>
  <c r="E79" i="19" s="1"/>
  <c r="I26" i="19"/>
  <c r="C54" i="19"/>
  <c r="H85" i="19"/>
  <c r="H17" i="19"/>
  <c r="I143" i="17"/>
  <c r="I147" i="17" s="1"/>
  <c r="J235" i="17"/>
  <c r="I237" i="17"/>
  <c r="I236" i="17"/>
  <c r="K86" i="17"/>
  <c r="K204" i="17" s="1"/>
  <c r="J204" i="17"/>
  <c r="K84" i="17"/>
  <c r="K202" i="17" s="1"/>
  <c r="J202" i="17"/>
  <c r="K85" i="17"/>
  <c r="K203" i="17" s="1"/>
  <c r="J203" i="17"/>
  <c r="G63" i="16"/>
  <c r="J140" i="17"/>
  <c r="J145" i="17"/>
  <c r="C15" i="11"/>
  <c r="I29" i="19" l="1"/>
  <c r="I17" i="19"/>
  <c r="J17" i="19" s="1"/>
  <c r="K17" i="19" s="1"/>
  <c r="H18" i="19"/>
  <c r="H86" i="19"/>
  <c r="H87" i="19" s="1"/>
  <c r="I85" i="19"/>
  <c r="I24" i="19"/>
  <c r="O17" i="19"/>
  <c r="E80" i="19"/>
  <c r="E74" i="19"/>
  <c r="N85" i="19" s="1"/>
  <c r="C17" i="11"/>
  <c r="C58" i="19"/>
  <c r="E118" i="19" s="1"/>
  <c r="K236" i="17"/>
  <c r="J236" i="17"/>
  <c r="J143" i="17"/>
  <c r="J147" i="17" s="1"/>
  <c r="I207" i="17"/>
  <c r="K237" i="17"/>
  <c r="J237" i="17"/>
  <c r="K235" i="17"/>
  <c r="K145" i="17"/>
  <c r="K140" i="17"/>
  <c r="M85" i="19" l="1"/>
  <c r="I86" i="19"/>
  <c r="I87" i="19" s="1"/>
  <c r="J85" i="19"/>
  <c r="E131" i="11"/>
  <c r="J131" i="11"/>
  <c r="I18" i="19"/>
  <c r="J18" i="19"/>
  <c r="I30" i="19"/>
  <c r="P17" i="19"/>
  <c r="E119" i="19"/>
  <c r="O85" i="19"/>
  <c r="L17" i="19"/>
  <c r="L18" i="19" s="1"/>
  <c r="K18" i="19"/>
  <c r="K143" i="17"/>
  <c r="K147" i="17" s="1"/>
  <c r="J207" i="17"/>
  <c r="J34" i="19" l="1"/>
  <c r="P85" i="19"/>
  <c r="K85" i="19"/>
  <c r="J86" i="19"/>
  <c r="J87" i="19" s="1"/>
  <c r="I31" i="19"/>
  <c r="M17" i="19" s="1"/>
  <c r="K207" i="17"/>
  <c r="G57" i="11"/>
  <c r="H57" i="11"/>
  <c r="I57" i="11"/>
  <c r="F57" i="11"/>
  <c r="G155" i="2"/>
  <c r="G145" i="2" s="1"/>
  <c r="G138" i="2" s="1"/>
  <c r="F155" i="2"/>
  <c r="F145" i="2" s="1"/>
  <c r="F138" i="2" s="1"/>
  <c r="E155" i="2"/>
  <c r="D155" i="2"/>
  <c r="D145" i="2" s="1"/>
  <c r="G135" i="2"/>
  <c r="F135" i="2"/>
  <c r="E135" i="2"/>
  <c r="D135" i="2"/>
  <c r="K86" i="19" l="1"/>
  <c r="K87" i="19" s="1"/>
  <c r="L85" i="19"/>
  <c r="N17" i="19"/>
  <c r="M18" i="19"/>
  <c r="E145" i="2"/>
  <c r="E138" i="2" s="1"/>
  <c r="D138" i="2"/>
  <c r="J255" i="1"/>
  <c r="J258" i="1" s="1"/>
  <c r="I255" i="1"/>
  <c r="I258" i="1" s="1"/>
  <c r="H255" i="1"/>
  <c r="H258" i="1" s="1"/>
  <c r="G255" i="1"/>
  <c r="G258" i="1" s="1"/>
  <c r="F255" i="1"/>
  <c r="F258" i="1" s="1"/>
  <c r="G244" i="1"/>
  <c r="G247" i="1" s="1"/>
  <c r="F244" i="1"/>
  <c r="F247" i="1" s="1"/>
  <c r="J242" i="1"/>
  <c r="J244" i="1" s="1"/>
  <c r="I242" i="1"/>
  <c r="I244" i="1" s="1"/>
  <c r="H242" i="1"/>
  <c r="H244" i="1" s="1"/>
  <c r="H247" i="1" s="1"/>
  <c r="G242" i="1"/>
  <c r="J235" i="1"/>
  <c r="I235" i="1"/>
  <c r="J222" i="1"/>
  <c r="J225" i="1" s="1"/>
  <c r="I222" i="1"/>
  <c r="I225" i="1" s="1"/>
  <c r="H222" i="1"/>
  <c r="H225" i="1" s="1"/>
  <c r="G222" i="1"/>
  <c r="G225" i="1" s="1"/>
  <c r="F222" i="1"/>
  <c r="F225" i="1" s="1"/>
  <c r="J212" i="1"/>
  <c r="J214" i="1" s="1"/>
  <c r="I212" i="1"/>
  <c r="I214" i="1" s="1"/>
  <c r="H212" i="1"/>
  <c r="H214" i="1" s="1"/>
  <c r="G212" i="1"/>
  <c r="G214" i="1" s="1"/>
  <c r="F212" i="1"/>
  <c r="F214" i="1" s="1"/>
  <c r="J203" i="1"/>
  <c r="J205" i="1" s="1"/>
  <c r="I203" i="1"/>
  <c r="I205" i="1" s="1"/>
  <c r="H203" i="1"/>
  <c r="H205" i="1" s="1"/>
  <c r="G203" i="1"/>
  <c r="G205" i="1" s="1"/>
  <c r="F203" i="1"/>
  <c r="F205" i="1" s="1"/>
  <c r="J196" i="1"/>
  <c r="J198" i="1" s="1"/>
  <c r="I196" i="1"/>
  <c r="I198" i="1" s="1"/>
  <c r="H196" i="1"/>
  <c r="H198" i="1" s="1"/>
  <c r="G196" i="1"/>
  <c r="G198" i="1" s="1"/>
  <c r="F196" i="1"/>
  <c r="F198" i="1" s="1"/>
  <c r="N18" i="19" l="1"/>
  <c r="O18" i="19"/>
  <c r="P18" i="19"/>
  <c r="J36" i="19" s="1"/>
  <c r="L86" i="19"/>
  <c r="L87" i="19" s="1"/>
  <c r="D90" i="19" s="1"/>
  <c r="M86" i="19"/>
  <c r="M87" i="19" s="1"/>
  <c r="N86" i="19"/>
  <c r="N87" i="19" s="1"/>
  <c r="O86" i="19"/>
  <c r="I216" i="1"/>
  <c r="I227" i="1" s="1"/>
  <c r="I249" i="1" s="1"/>
  <c r="I259" i="1" s="1"/>
  <c r="I262" i="1" s="1"/>
  <c r="I265" i="1" s="1"/>
  <c r="I247" i="1"/>
  <c r="J216" i="1"/>
  <c r="J247" i="1"/>
  <c r="F216" i="1"/>
  <c r="F227" i="1" s="1"/>
  <c r="F249" i="1" s="1"/>
  <c r="F259" i="1" s="1"/>
  <c r="F262" i="1" s="1"/>
  <c r="G216" i="1"/>
  <c r="G227" i="1" s="1"/>
  <c r="G249" i="1" s="1"/>
  <c r="G259" i="1" s="1"/>
  <c r="G262" i="1" s="1"/>
  <c r="H216" i="1"/>
  <c r="H227" i="1" s="1"/>
  <c r="H249" i="1" s="1"/>
  <c r="H259" i="1" s="1"/>
  <c r="H262" i="1" s="1"/>
  <c r="J227" i="1"/>
  <c r="J35" i="19" l="1"/>
  <c r="J37" i="19" s="1"/>
  <c r="P86" i="19"/>
  <c r="P87" i="19" s="1"/>
  <c r="D92" i="19" s="1"/>
  <c r="O87" i="19"/>
  <c r="D91" i="19" s="1"/>
  <c r="G7" i="13"/>
  <c r="J249" i="1"/>
  <c r="J259" i="1" s="1"/>
  <c r="J262" i="1" s="1"/>
  <c r="J265" i="1" s="1"/>
  <c r="E72" i="11"/>
  <c r="E70" i="11"/>
  <c r="F25" i="11"/>
  <c r="G53" i="11"/>
  <c r="I51" i="11"/>
  <c r="H51" i="11"/>
  <c r="I55" i="11"/>
  <c r="G55" i="11"/>
  <c r="H53" i="11"/>
  <c r="I53" i="11"/>
  <c r="G51" i="11"/>
  <c r="I49" i="11"/>
  <c r="G49" i="11"/>
  <c r="E21" i="11" s="1"/>
  <c r="F45" i="11"/>
  <c r="G45" i="11"/>
  <c r="H45" i="11"/>
  <c r="I45" i="11"/>
  <c r="D93" i="19" l="1"/>
  <c r="D96" i="19" s="1"/>
  <c r="F24" i="11"/>
  <c r="F23" i="11"/>
  <c r="J52" i="11" s="1"/>
  <c r="F22" i="11"/>
  <c r="J50" i="11" s="1"/>
  <c r="J54" i="11"/>
  <c r="K54" i="11" s="1"/>
  <c r="L54" i="11" s="1"/>
  <c r="M54" i="11" s="1"/>
  <c r="N54" i="11" s="1"/>
  <c r="O54" i="11" s="1"/>
  <c r="H7" i="13"/>
  <c r="J44" i="11"/>
  <c r="J37" i="11" l="1"/>
  <c r="J45" i="11"/>
  <c r="K44" i="11"/>
  <c r="K56" i="11"/>
  <c r="K45" i="11" l="1"/>
  <c r="K37" i="11"/>
  <c r="L44" i="11"/>
  <c r="L56" i="11"/>
  <c r="L45" i="11" l="1"/>
  <c r="L37" i="11"/>
  <c r="M44" i="11"/>
  <c r="M56" i="11"/>
  <c r="N56" i="11" l="1"/>
  <c r="M45" i="11"/>
  <c r="M37" i="11"/>
  <c r="N44" i="11"/>
  <c r="O44" i="11" l="1"/>
  <c r="O56" i="11"/>
  <c r="N45" i="11"/>
  <c r="N37" i="11"/>
  <c r="D152" i="12"/>
  <c r="E152" i="12"/>
  <c r="F152" i="12"/>
  <c r="C152" i="12"/>
  <c r="D158" i="12"/>
  <c r="E158" i="12"/>
  <c r="F158" i="12"/>
  <c r="C158" i="12"/>
  <c r="D151" i="12"/>
  <c r="E151" i="12"/>
  <c r="F151" i="12"/>
  <c r="D139" i="12"/>
  <c r="D135" i="12"/>
  <c r="E135" i="12"/>
  <c r="E139" i="12" s="1"/>
  <c r="F135" i="12"/>
  <c r="F139" i="12" s="1"/>
  <c r="C135" i="12"/>
  <c r="C139" i="12" s="1"/>
  <c r="D130" i="12"/>
  <c r="E130" i="12"/>
  <c r="F130" i="12"/>
  <c r="C130" i="12"/>
  <c r="D48" i="12"/>
  <c r="D50" i="12" s="1"/>
  <c r="E48" i="12"/>
  <c r="E50" i="12" s="1"/>
  <c r="F48" i="12"/>
  <c r="F50" i="12" s="1"/>
  <c r="G48" i="12"/>
  <c r="G50" i="12" s="1"/>
  <c r="C44" i="12"/>
  <c r="C151" i="12" s="1"/>
  <c r="D24" i="12"/>
  <c r="E24" i="12"/>
  <c r="F24" i="12"/>
  <c r="G24" i="12"/>
  <c r="C24" i="12"/>
  <c r="D16" i="12"/>
  <c r="E16" i="12"/>
  <c r="F16" i="12"/>
  <c r="G16" i="12"/>
  <c r="C16" i="12"/>
  <c r="D14" i="12"/>
  <c r="E14" i="12"/>
  <c r="F14" i="12"/>
  <c r="G14" i="12"/>
  <c r="G29" i="12" s="1"/>
  <c r="C14" i="12"/>
  <c r="C29" i="12" s="1"/>
  <c r="D9" i="12"/>
  <c r="E9" i="12"/>
  <c r="F9" i="12"/>
  <c r="G9" i="12"/>
  <c r="C9" i="12"/>
  <c r="G116" i="12"/>
  <c r="F116" i="12"/>
  <c r="E116" i="12"/>
  <c r="D116" i="12"/>
  <c r="C116" i="12"/>
  <c r="G112" i="12"/>
  <c r="G115" i="12" s="1"/>
  <c r="F112" i="12"/>
  <c r="F115" i="12" s="1"/>
  <c r="E112" i="12"/>
  <c r="E115" i="12" s="1"/>
  <c r="D112" i="12"/>
  <c r="D115" i="12" s="1"/>
  <c r="C112" i="12"/>
  <c r="C115" i="12" s="1"/>
  <c r="C102" i="12"/>
  <c r="C89" i="12" s="1"/>
  <c r="C105" i="12" s="1"/>
  <c r="G100" i="12"/>
  <c r="G102" i="12" s="1"/>
  <c r="F100" i="12"/>
  <c r="F102" i="12" s="1"/>
  <c r="E100" i="12"/>
  <c r="E102" i="12" s="1"/>
  <c r="E89" i="12" s="1"/>
  <c r="E105" i="12" s="1"/>
  <c r="D150" i="12" s="1"/>
  <c r="D100" i="12"/>
  <c r="D102" i="12" s="1"/>
  <c r="D89" i="12" s="1"/>
  <c r="D105" i="12" s="1"/>
  <c r="C150" i="12" s="1"/>
  <c r="G93" i="12"/>
  <c r="F93" i="12"/>
  <c r="G82" i="12"/>
  <c r="F82" i="12"/>
  <c r="E82" i="12"/>
  <c r="D82" i="12"/>
  <c r="C82" i="12"/>
  <c r="G78" i="12"/>
  <c r="F78" i="12"/>
  <c r="E78" i="12"/>
  <c r="D78" i="12"/>
  <c r="C78" i="12"/>
  <c r="G72" i="12"/>
  <c r="G67" i="12" s="1"/>
  <c r="G74" i="12" s="1"/>
  <c r="F72" i="12"/>
  <c r="F67" i="12" s="1"/>
  <c r="F74" i="12" s="1"/>
  <c r="E72" i="12"/>
  <c r="E67" i="12" s="1"/>
  <c r="E74" i="12" s="1"/>
  <c r="D72" i="12"/>
  <c r="D67" i="12" s="1"/>
  <c r="D74" i="12" s="1"/>
  <c r="C72" i="12"/>
  <c r="C67" i="12" s="1"/>
  <c r="C74" i="12" s="1"/>
  <c r="G61" i="12"/>
  <c r="G58" i="12" s="1"/>
  <c r="F61" i="12"/>
  <c r="F58" i="12" s="1"/>
  <c r="E61" i="12"/>
  <c r="E58" i="12" s="1"/>
  <c r="D61" i="12"/>
  <c r="D58" i="12" s="1"/>
  <c r="C61" i="12"/>
  <c r="C58" i="12" s="1"/>
  <c r="C76" i="12" s="1"/>
  <c r="F89" i="12" l="1"/>
  <c r="F105" i="12" s="1"/>
  <c r="E150" i="12" s="1"/>
  <c r="F29" i="12"/>
  <c r="F34" i="12" s="1"/>
  <c r="F51" i="12" s="1"/>
  <c r="C34" i="12"/>
  <c r="E29" i="12"/>
  <c r="E34" i="12" s="1"/>
  <c r="E51" i="12" s="1"/>
  <c r="F147" i="12"/>
  <c r="F148" i="12" s="1"/>
  <c r="G34" i="12"/>
  <c r="G51" i="12" s="1"/>
  <c r="D29" i="12"/>
  <c r="D34" i="12" s="1"/>
  <c r="D51" i="12" s="1"/>
  <c r="E147" i="12"/>
  <c r="E153" i="12" s="1"/>
  <c r="O45" i="11"/>
  <c r="O37" i="11"/>
  <c r="C147" i="12"/>
  <c r="C148" i="12" s="1"/>
  <c r="C48" i="12"/>
  <c r="C50" i="12" s="1"/>
  <c r="C51" i="12" s="1"/>
  <c r="D147" i="12"/>
  <c r="D76" i="12"/>
  <c r="D86" i="12" s="1"/>
  <c r="D107" i="12" s="1"/>
  <c r="D120" i="12" s="1"/>
  <c r="C156" i="12" s="1"/>
  <c r="G89" i="12"/>
  <c r="G105" i="12" s="1"/>
  <c r="F150" i="12" s="1"/>
  <c r="F153" i="12" s="1"/>
  <c r="G76" i="12"/>
  <c r="G86" i="12" s="1"/>
  <c r="C86" i="12"/>
  <c r="F76" i="12"/>
  <c r="F86" i="12" s="1"/>
  <c r="F107" i="12" s="1"/>
  <c r="F120" i="12" s="1"/>
  <c r="E156" i="12" s="1"/>
  <c r="C107" i="12"/>
  <c r="C120" i="12" s="1"/>
  <c r="E76" i="12"/>
  <c r="E86" i="12" s="1"/>
  <c r="E107" i="12" s="1"/>
  <c r="E120" i="12" s="1"/>
  <c r="D156" i="12" s="1"/>
  <c r="E148" i="12" l="1"/>
  <c r="F154" i="12"/>
  <c r="G107" i="12"/>
  <c r="G120" i="12" s="1"/>
  <c r="F156" i="12" s="1"/>
  <c r="F157" i="12" s="1"/>
  <c r="F164" i="12" s="1"/>
  <c r="C153" i="12"/>
  <c r="C157" i="12" s="1"/>
  <c r="C164" i="12" s="1"/>
  <c r="D153" i="12"/>
  <c r="D148" i="12"/>
  <c r="E157" i="12"/>
  <c r="E164" i="12" s="1"/>
  <c r="E154" i="12"/>
  <c r="C154" i="12" l="1"/>
  <c r="D154" i="12"/>
  <c r="D157" i="12"/>
  <c r="D164" i="12" s="1"/>
  <c r="C60" i="5"/>
  <c r="C66" i="5"/>
  <c r="C69" i="5"/>
  <c r="C53" i="5"/>
  <c r="D66" i="5"/>
  <c r="D69" i="5"/>
  <c r="D60" i="5"/>
  <c r="D53" i="5"/>
  <c r="E69" i="5"/>
  <c r="E66" i="5"/>
  <c r="E60" i="5"/>
  <c r="E53" i="5"/>
  <c r="F69" i="5"/>
  <c r="F66" i="5"/>
  <c r="F60" i="5"/>
  <c r="F53" i="5"/>
  <c r="G69" i="5"/>
  <c r="G66" i="5"/>
  <c r="G60" i="5"/>
  <c r="G53" i="5"/>
  <c r="D113" i="5"/>
  <c r="E113" i="5"/>
  <c r="E112" i="5"/>
  <c r="F112" i="5"/>
  <c r="F90" i="5"/>
  <c r="F86" i="5"/>
  <c r="D85" i="5"/>
  <c r="E85" i="5"/>
  <c r="F85" i="5"/>
  <c r="C86" i="5"/>
  <c r="C85" i="5"/>
  <c r="G41" i="5"/>
  <c r="F113" i="5" s="1"/>
  <c r="G38" i="5"/>
  <c r="G37" i="5"/>
  <c r="G35" i="5"/>
  <c r="F6" i="16" s="1"/>
  <c r="G30" i="5"/>
  <c r="G29" i="5"/>
  <c r="G28" i="5"/>
  <c r="G24" i="5"/>
  <c r="G23" i="5"/>
  <c r="G22" i="5"/>
  <c r="G12" i="5"/>
  <c r="G7" i="5"/>
  <c r="F38" i="5"/>
  <c r="F37" i="5"/>
  <c r="F35" i="5"/>
  <c r="F30" i="5"/>
  <c r="F12" i="5"/>
  <c r="F7" i="5"/>
  <c r="E38" i="5"/>
  <c r="E37" i="5"/>
  <c r="E35" i="5"/>
  <c r="E30" i="5"/>
  <c r="E29" i="5"/>
  <c r="E28" i="5"/>
  <c r="E24" i="5"/>
  <c r="E23" i="5"/>
  <c r="E22" i="5"/>
  <c r="E17" i="5"/>
  <c r="E90" i="5" s="1"/>
  <c r="E12" i="5"/>
  <c r="E87" i="5" s="1"/>
  <c r="E11" i="5"/>
  <c r="D86" i="5" s="1"/>
  <c r="E7" i="5"/>
  <c r="E5" i="5"/>
  <c r="D41" i="5"/>
  <c r="D112" i="5" s="1"/>
  <c r="D38" i="5"/>
  <c r="D37" i="5"/>
  <c r="D35" i="5"/>
  <c r="D30" i="5"/>
  <c r="D29" i="5"/>
  <c r="D28" i="5"/>
  <c r="D25" i="5"/>
  <c r="D24" i="5"/>
  <c r="D23" i="5"/>
  <c r="D20" i="5"/>
  <c r="D12" i="5"/>
  <c r="C7" i="5"/>
  <c r="D7" i="5"/>
  <c r="C30" i="5"/>
  <c r="C99" i="5" l="1"/>
  <c r="D90" i="5"/>
  <c r="F87" i="5"/>
  <c r="F99" i="5"/>
  <c r="D99" i="5"/>
  <c r="E99" i="5"/>
  <c r="D87" i="5"/>
  <c r="C87" i="5"/>
  <c r="E86" i="5"/>
  <c r="E114" i="5" l="1"/>
  <c r="F114" i="5"/>
  <c r="C113" i="5"/>
  <c r="C112" i="5"/>
  <c r="D98" i="5"/>
  <c r="E98" i="5"/>
  <c r="F98" i="5"/>
  <c r="C98" i="5"/>
  <c r="D97" i="5"/>
  <c r="E97" i="5"/>
  <c r="F97" i="5"/>
  <c r="C97" i="5"/>
  <c r="D96" i="5"/>
  <c r="E96" i="5"/>
  <c r="F96" i="5"/>
  <c r="C96" i="5"/>
  <c r="D91" i="5"/>
  <c r="E91" i="5"/>
  <c r="F91" i="5"/>
  <c r="C91" i="5"/>
  <c r="C90" i="5"/>
  <c r="C8" i="5"/>
  <c r="C39" i="5"/>
  <c r="C42" i="5" s="1"/>
  <c r="D39" i="5"/>
  <c r="D42" i="5" s="1"/>
  <c r="D44" i="5" s="1"/>
  <c r="D13" i="5"/>
  <c r="D26" i="5" s="1"/>
  <c r="E39" i="5"/>
  <c r="E42" i="5" s="1"/>
  <c r="E44" i="5" s="1"/>
  <c r="E8" i="5"/>
  <c r="F88" i="5" l="1"/>
  <c r="F92" i="5" s="1"/>
  <c r="E88" i="5"/>
  <c r="E92" i="5" s="1"/>
  <c r="D104" i="5"/>
  <c r="D88" i="5"/>
  <c r="D92" i="5" s="1"/>
  <c r="D114" i="5"/>
  <c r="C104" i="5"/>
  <c r="C88" i="5"/>
  <c r="C92" i="5" s="1"/>
  <c r="C114" i="5"/>
  <c r="F39" i="5"/>
  <c r="F13" i="5"/>
  <c r="F26" i="5" s="1"/>
  <c r="D8" i="5"/>
  <c r="D31" i="5" s="1"/>
  <c r="D46" i="5" s="1"/>
  <c r="F8" i="5"/>
  <c r="E13" i="5"/>
  <c r="E26" i="5" s="1"/>
  <c r="E31" i="5" s="1"/>
  <c r="E46" i="5" s="1"/>
  <c r="C13" i="5"/>
  <c r="C26" i="5" s="1"/>
  <c r="C31" i="5" s="1"/>
  <c r="C44" i="5"/>
  <c r="G39" i="5"/>
  <c r="G13" i="5"/>
  <c r="G26" i="5" s="1"/>
  <c r="G8" i="5"/>
  <c r="F42" i="5" l="1"/>
  <c r="F44" i="5" s="1"/>
  <c r="F104" i="5"/>
  <c r="E104" i="5"/>
  <c r="F31" i="5"/>
  <c r="G42" i="5"/>
  <c r="G44" i="5" s="1"/>
  <c r="G31" i="5"/>
  <c r="C46" i="5"/>
  <c r="F46" i="5" l="1"/>
  <c r="G46" i="5"/>
  <c r="E23" i="8"/>
  <c r="F23" i="8"/>
  <c r="G23" i="8"/>
  <c r="D23" i="8"/>
  <c r="E22" i="8"/>
  <c r="F22" i="8"/>
  <c r="G22" i="8"/>
  <c r="D22" i="8"/>
  <c r="E21" i="8"/>
  <c r="F21" i="8"/>
  <c r="G21" i="8"/>
  <c r="D21" i="8"/>
  <c r="E21" i="2"/>
  <c r="F21" i="2"/>
  <c r="G21" i="2"/>
  <c r="H21" i="2"/>
  <c r="F199" i="17" s="1"/>
  <c r="Y199" i="17" s="1"/>
  <c r="D21" i="2"/>
  <c r="H19" i="2"/>
  <c r="G19" i="2"/>
  <c r="F19" i="2"/>
  <c r="E19" i="2"/>
  <c r="D19" i="2"/>
  <c r="E230" i="17" l="1"/>
  <c r="X230" i="17" s="1"/>
  <c r="D199" i="17"/>
  <c r="W199" i="17" s="1"/>
  <c r="C199" i="17"/>
  <c r="V199" i="17" s="1"/>
  <c r="D230" i="17"/>
  <c r="W230" i="17" s="1"/>
  <c r="B199" i="17"/>
  <c r="U199" i="17" s="1"/>
  <c r="C230" i="17"/>
  <c r="V230" i="17" s="1"/>
  <c r="E199" i="17"/>
  <c r="X199" i="17" s="1"/>
  <c r="F230" i="17"/>
  <c r="Y230" i="17" s="1"/>
  <c r="E39" i="8"/>
  <c r="F39" i="8"/>
  <c r="G39" i="8"/>
  <c r="D39" i="8"/>
  <c r="E12" i="8"/>
  <c r="F12" i="8"/>
  <c r="G12" i="8"/>
  <c r="D12" i="8"/>
  <c r="E11" i="8"/>
  <c r="F11" i="8"/>
  <c r="G11" i="8"/>
  <c r="D11" i="8"/>
  <c r="F10" i="8"/>
  <c r="G10" i="8"/>
  <c r="E10" i="8"/>
  <c r="D10" i="8"/>
  <c r="H110" i="2"/>
  <c r="F180" i="17" s="1"/>
  <c r="Y180" i="17" s="1"/>
  <c r="G110" i="2"/>
  <c r="E180" i="17" s="1"/>
  <c r="X180" i="17" s="1"/>
  <c r="F110" i="2"/>
  <c r="D180" i="17" s="1"/>
  <c r="W180" i="17" s="1"/>
  <c r="E110" i="2"/>
  <c r="C180" i="17" s="1"/>
  <c r="V180" i="17" s="1"/>
  <c r="D110" i="2"/>
  <c r="B180" i="17" s="1"/>
  <c r="U180" i="17" s="1"/>
  <c r="H106" i="2"/>
  <c r="H109" i="2" s="1"/>
  <c r="G106" i="2"/>
  <c r="G109" i="2" s="1"/>
  <c r="E178" i="17" s="1"/>
  <c r="F106" i="2"/>
  <c r="F109" i="2" s="1"/>
  <c r="E106" i="2"/>
  <c r="E109" i="2" s="1"/>
  <c r="D106" i="2"/>
  <c r="D109" i="2" s="1"/>
  <c r="D96" i="2"/>
  <c r="H94" i="2"/>
  <c r="H96" i="2" s="1"/>
  <c r="F113" i="17" s="1"/>
  <c r="F114" i="17" s="1"/>
  <c r="G94" i="2"/>
  <c r="G96" i="2" s="1"/>
  <c r="E113" i="17" s="1"/>
  <c r="E114" i="17" s="1"/>
  <c r="G114" i="17" s="1"/>
  <c r="F94" i="2"/>
  <c r="F96" i="2" s="1"/>
  <c r="E94" i="2"/>
  <c r="E96" i="2" s="1"/>
  <c r="H87" i="2"/>
  <c r="G87" i="2"/>
  <c r="H76" i="2"/>
  <c r="F58" i="17" s="1"/>
  <c r="G76" i="2"/>
  <c r="E58" i="17" s="1"/>
  <c r="F76" i="2"/>
  <c r="D58" i="17" s="1"/>
  <c r="E76" i="2"/>
  <c r="C58" i="17" s="1"/>
  <c r="D76" i="2"/>
  <c r="B58" i="17" s="1"/>
  <c r="B171" i="17" s="1"/>
  <c r="U171" i="17" s="1"/>
  <c r="H72" i="2"/>
  <c r="G72" i="2"/>
  <c r="F72" i="2"/>
  <c r="E72" i="2"/>
  <c r="D72" i="2"/>
  <c r="H66" i="2"/>
  <c r="H61" i="2" s="1"/>
  <c r="F18" i="17" s="1"/>
  <c r="G66" i="2"/>
  <c r="G61" i="2" s="1"/>
  <c r="E18" i="17" s="1"/>
  <c r="F66" i="2"/>
  <c r="F61" i="2" s="1"/>
  <c r="D18" i="17" s="1"/>
  <c r="E66" i="2"/>
  <c r="E61" i="2" s="1"/>
  <c r="C18" i="17" s="1"/>
  <c r="C165" i="17" s="1"/>
  <c r="V165" i="17" s="1"/>
  <c r="V167" i="17" s="1"/>
  <c r="D66" i="2"/>
  <c r="D61" i="2" s="1"/>
  <c r="B18" i="17" s="1"/>
  <c r="B165" i="17" s="1"/>
  <c r="U165" i="17" s="1"/>
  <c r="U167" i="17" s="1"/>
  <c r="H55" i="2"/>
  <c r="G55" i="2"/>
  <c r="F55" i="2"/>
  <c r="F52" i="2" s="1"/>
  <c r="E52" i="5" s="1"/>
  <c r="E55" i="2"/>
  <c r="E52" i="2" s="1"/>
  <c r="D52" i="5" s="1"/>
  <c r="D55" i="2"/>
  <c r="X178" i="17" l="1"/>
  <c r="E220" i="17"/>
  <c r="X220" i="17" s="1"/>
  <c r="U168" i="17"/>
  <c r="U172" i="17"/>
  <c r="G64" i="5"/>
  <c r="F178" i="17"/>
  <c r="V172" i="17"/>
  <c r="V168" i="17"/>
  <c r="C64" i="5"/>
  <c r="B178" i="17"/>
  <c r="U178" i="17" s="1"/>
  <c r="E64" i="5"/>
  <c r="D81" i="5" s="1"/>
  <c r="D178" i="17"/>
  <c r="D64" i="5"/>
  <c r="C81" i="5" s="1"/>
  <c r="C178" i="17"/>
  <c r="F171" i="17"/>
  <c r="Y171" i="17" s="1"/>
  <c r="D171" i="17"/>
  <c r="W171" i="17" s="1"/>
  <c r="E171" i="17"/>
  <c r="X171" i="17" s="1"/>
  <c r="T14" i="17"/>
  <c r="D165" i="17"/>
  <c r="W165" i="17" s="1"/>
  <c r="W167" i="17" s="1"/>
  <c r="V14" i="17"/>
  <c r="F165" i="17"/>
  <c r="Y165" i="17" s="1"/>
  <c r="Y167" i="17" s="1"/>
  <c r="U14" i="17"/>
  <c r="E165" i="17"/>
  <c r="X165" i="17" s="1"/>
  <c r="X167" i="17" s="1"/>
  <c r="C171" i="17"/>
  <c r="V171" i="17" s="1"/>
  <c r="B19" i="17"/>
  <c r="B21" i="17" s="1"/>
  <c r="D19" i="17"/>
  <c r="G58" i="17"/>
  <c r="H114" i="17"/>
  <c r="C19" i="17"/>
  <c r="F19" i="17"/>
  <c r="E19" i="17"/>
  <c r="F83" i="2"/>
  <c r="D113" i="17"/>
  <c r="D114" i="17" s="1"/>
  <c r="E83" i="2"/>
  <c r="C113" i="17"/>
  <c r="C114" i="17" s="1"/>
  <c r="D83" i="2"/>
  <c r="B113" i="17"/>
  <c r="B114" i="17" s="1"/>
  <c r="G52" i="2"/>
  <c r="F52" i="5" s="1"/>
  <c r="E57" i="5"/>
  <c r="D94" i="5" s="1"/>
  <c r="D68" i="2"/>
  <c r="C54" i="5"/>
  <c r="E99" i="2"/>
  <c r="C117" i="17" s="1"/>
  <c r="F64" i="5"/>
  <c r="E81" i="5" s="1"/>
  <c r="F68" i="2"/>
  <c r="F70" i="2" s="1"/>
  <c r="F80" i="2" s="1"/>
  <c r="E54" i="5"/>
  <c r="E56" i="5" s="1"/>
  <c r="F99" i="2"/>
  <c r="D117" i="17" s="1"/>
  <c r="G68" i="2"/>
  <c r="F54" i="5"/>
  <c r="C57" i="5"/>
  <c r="E95" i="5"/>
  <c r="E94" i="5" s="1"/>
  <c r="F57" i="5"/>
  <c r="E68" i="2"/>
  <c r="E70" i="2" s="1"/>
  <c r="E80" i="2" s="1"/>
  <c r="D54" i="5"/>
  <c r="D56" i="5" s="1"/>
  <c r="F95" i="5"/>
  <c r="F94" i="5" s="1"/>
  <c r="G57" i="5"/>
  <c r="H68" i="2"/>
  <c r="G54" i="5"/>
  <c r="D57" i="5"/>
  <c r="D13" i="8"/>
  <c r="E13" i="8"/>
  <c r="G13" i="8"/>
  <c r="D28" i="8"/>
  <c r="F13" i="8"/>
  <c r="H83" i="2"/>
  <c r="D52" i="2"/>
  <c r="H52" i="2"/>
  <c r="G83" i="2"/>
  <c r="E39" i="2"/>
  <c r="F39" i="2"/>
  <c r="G39" i="2"/>
  <c r="H39" i="2"/>
  <c r="D39" i="2"/>
  <c r="E13" i="2"/>
  <c r="F13" i="2"/>
  <c r="G13" i="2"/>
  <c r="H13" i="2"/>
  <c r="D13" i="2"/>
  <c r="V173" i="17" l="1"/>
  <c r="V178" i="17"/>
  <c r="C220" i="17"/>
  <c r="V220" i="17" s="1"/>
  <c r="Y178" i="17"/>
  <c r="F220" i="17"/>
  <c r="Y220" i="17" s="1"/>
  <c r="Y172" i="17"/>
  <c r="Y168" i="17"/>
  <c r="W178" i="17"/>
  <c r="D220" i="17"/>
  <c r="W220" i="17" s="1"/>
  <c r="U173" i="17"/>
  <c r="W172" i="17"/>
  <c r="W168" i="17"/>
  <c r="X168" i="17"/>
  <c r="X172" i="17"/>
  <c r="T15" i="17"/>
  <c r="D175" i="17"/>
  <c r="C175" i="17"/>
  <c r="H58" i="17"/>
  <c r="G171" i="17"/>
  <c r="D42" i="2"/>
  <c r="D53" i="13"/>
  <c r="D48" i="13"/>
  <c r="G48" i="13"/>
  <c r="G51" i="13"/>
  <c r="G53" i="13"/>
  <c r="C61" i="5"/>
  <c r="C62" i="5" s="1"/>
  <c r="E48" i="13"/>
  <c r="E53" i="13"/>
  <c r="E51" i="13"/>
  <c r="E8" i="16"/>
  <c r="F8" i="16"/>
  <c r="H51" i="13"/>
  <c r="H48" i="13"/>
  <c r="H53" i="13"/>
  <c r="E25" i="17"/>
  <c r="E26" i="17" s="1"/>
  <c r="E21" i="17"/>
  <c r="F48" i="13"/>
  <c r="F53" i="13"/>
  <c r="F51" i="13"/>
  <c r="D99" i="2"/>
  <c r="B117" i="17" s="1"/>
  <c r="F25" i="17"/>
  <c r="F21" i="17"/>
  <c r="D25" i="17"/>
  <c r="D26" i="17" s="1"/>
  <c r="D21" i="17"/>
  <c r="G70" i="2"/>
  <c r="G80" i="2" s="1"/>
  <c r="G101" i="2" s="1"/>
  <c r="G114" i="2" s="1"/>
  <c r="C25" i="17"/>
  <c r="C21" i="17"/>
  <c r="B25" i="17"/>
  <c r="E61" i="5"/>
  <c r="E62" i="5" s="1"/>
  <c r="D103" i="5" s="1"/>
  <c r="I114" i="17"/>
  <c r="J114" i="17" s="1"/>
  <c r="K114" i="17" s="1"/>
  <c r="G61" i="5"/>
  <c r="G62" i="5" s="1"/>
  <c r="D61" i="5"/>
  <c r="D62" i="5" s="1"/>
  <c r="C103" i="5" s="1"/>
  <c r="F61" i="5"/>
  <c r="F62" i="5" s="1"/>
  <c r="F56" i="5"/>
  <c r="F59" i="5" s="1"/>
  <c r="E101" i="2"/>
  <c r="E114" i="2" s="1"/>
  <c r="E46" i="13"/>
  <c r="E5" i="13"/>
  <c r="E28" i="8"/>
  <c r="E59" i="5"/>
  <c r="F101" i="2"/>
  <c r="F114" i="2" s="1"/>
  <c r="F46" i="13"/>
  <c r="F5" i="13"/>
  <c r="D59" i="5"/>
  <c r="D95" i="5"/>
  <c r="H70" i="2"/>
  <c r="H80" i="2" s="1"/>
  <c r="G52" i="5"/>
  <c r="G56" i="5" s="1"/>
  <c r="G59" i="5" s="1"/>
  <c r="G63" i="5" s="1"/>
  <c r="G65" i="5" s="1"/>
  <c r="G68" i="5" s="1"/>
  <c r="G71" i="5" s="1"/>
  <c r="F109" i="5" s="1"/>
  <c r="G42" i="2"/>
  <c r="G29" i="8"/>
  <c r="D70" i="2"/>
  <c r="D80" i="2" s="1"/>
  <c r="C52" i="5"/>
  <c r="C56" i="5" s="1"/>
  <c r="C59" i="5" s="1"/>
  <c r="C63" i="5" s="1"/>
  <c r="C65" i="5" s="1"/>
  <c r="C68" i="5" s="1"/>
  <c r="C71" i="5" s="1"/>
  <c r="C94" i="5"/>
  <c r="C95" i="5"/>
  <c r="F42" i="2"/>
  <c r="F29" i="8"/>
  <c r="E42" i="2"/>
  <c r="E29" i="8"/>
  <c r="H99" i="2"/>
  <c r="F117" i="17" s="1"/>
  <c r="F118" i="17" s="1"/>
  <c r="G99" i="2"/>
  <c r="E117" i="17" s="1"/>
  <c r="E118" i="17" s="1"/>
  <c r="F16" i="8"/>
  <c r="E16" i="8"/>
  <c r="G16" i="8"/>
  <c r="H42" i="2"/>
  <c r="D133" i="19" s="1"/>
  <c r="D16" i="8"/>
  <c r="D44" i="2"/>
  <c r="D29" i="8"/>
  <c r="F9" i="19" l="1"/>
  <c r="F14" i="19"/>
  <c r="X173" i="17"/>
  <c r="Y173" i="17"/>
  <c r="W176" i="17"/>
  <c r="W173" i="17"/>
  <c r="D14" i="19"/>
  <c r="D9" i="19"/>
  <c r="C241" i="17"/>
  <c r="V241" i="17" s="1"/>
  <c r="V175" i="17"/>
  <c r="V176" i="17" s="1"/>
  <c r="D241" i="17"/>
  <c r="W241" i="17" s="1"/>
  <c r="W175" i="17"/>
  <c r="E14" i="19"/>
  <c r="E9" i="19"/>
  <c r="B175" i="17"/>
  <c r="U175" i="17" s="1"/>
  <c r="U176" i="17" s="1"/>
  <c r="E175" i="17"/>
  <c r="F175" i="17"/>
  <c r="I58" i="17"/>
  <c r="H171" i="17"/>
  <c r="E101" i="17"/>
  <c r="C101" i="17"/>
  <c r="C102" i="17" s="1"/>
  <c r="E7" i="8"/>
  <c r="D101" i="17"/>
  <c r="B26" i="17"/>
  <c r="D40" i="16"/>
  <c r="D43" i="16" s="1"/>
  <c r="J6" i="16"/>
  <c r="J7" i="16" s="1"/>
  <c r="G5" i="13"/>
  <c r="C26" i="17"/>
  <c r="F101" i="17"/>
  <c r="G46" i="13"/>
  <c r="G25" i="17"/>
  <c r="F26" i="17"/>
  <c r="G26" i="17" s="1"/>
  <c r="H26" i="17" s="1"/>
  <c r="I26" i="17" s="1"/>
  <c r="J26" i="17" s="1"/>
  <c r="B101" i="17"/>
  <c r="B102" i="17" s="1"/>
  <c r="D49" i="13"/>
  <c r="D63" i="5"/>
  <c r="C82" i="5" s="1"/>
  <c r="C105" i="5" s="1"/>
  <c r="E63" i="5"/>
  <c r="E65" i="5" s="1"/>
  <c r="E68" i="5" s="1"/>
  <c r="E71" i="5" s="1"/>
  <c r="D109" i="5" s="1"/>
  <c r="F63" i="5"/>
  <c r="F65" i="5" s="1"/>
  <c r="F68" i="5" s="1"/>
  <c r="F71" i="5" s="1"/>
  <c r="E80" i="5"/>
  <c r="E34" i="8"/>
  <c r="D34" i="8"/>
  <c r="D80" i="5"/>
  <c r="E123" i="2"/>
  <c r="D123" i="2"/>
  <c r="H101" i="2"/>
  <c r="H114" i="2" s="1"/>
  <c r="H46" i="13"/>
  <c r="H5" i="13"/>
  <c r="F28" i="8"/>
  <c r="F123" i="2"/>
  <c r="D7" i="8"/>
  <c r="D8" i="8" s="1"/>
  <c r="D101" i="2"/>
  <c r="D114" i="2" s="1"/>
  <c r="D46" i="13"/>
  <c r="F44" i="2"/>
  <c r="F49" i="13" s="1"/>
  <c r="G28" i="8"/>
  <c r="H44" i="2"/>
  <c r="H49" i="13" s="1"/>
  <c r="E44" i="2"/>
  <c r="E49" i="13" s="1"/>
  <c r="G44" i="2"/>
  <c r="G49" i="13" s="1"/>
  <c r="F34" i="8"/>
  <c r="C80" i="5"/>
  <c r="F80" i="5"/>
  <c r="D65" i="5"/>
  <c r="D68" i="5" s="1"/>
  <c r="D71" i="5" s="1"/>
  <c r="C109" i="5" s="1"/>
  <c r="E8" i="8"/>
  <c r="E30" i="8"/>
  <c r="E103" i="5"/>
  <c r="D30" i="8"/>
  <c r="F103" i="5"/>
  <c r="F7" i="8"/>
  <c r="E20" i="2"/>
  <c r="F20" i="2"/>
  <c r="G20" i="2"/>
  <c r="H20" i="2"/>
  <c r="D20" i="2"/>
  <c r="G52" i="1"/>
  <c r="H52" i="1"/>
  <c r="I52" i="1"/>
  <c r="J52" i="1"/>
  <c r="F52" i="1"/>
  <c r="G34" i="8" l="1"/>
  <c r="G9" i="19"/>
  <c r="G14" i="19"/>
  <c r="C9" i="19"/>
  <c r="C14" i="19"/>
  <c r="K26" i="17"/>
  <c r="F241" i="17"/>
  <c r="Y241" i="17" s="1"/>
  <c r="Y175" i="17"/>
  <c r="Y176" i="17" s="1"/>
  <c r="E241" i="17"/>
  <c r="X241" i="17" s="1"/>
  <c r="X175" i="17"/>
  <c r="X176" i="17" s="1"/>
  <c r="J58" i="17"/>
  <c r="I171" i="17"/>
  <c r="C103" i="17"/>
  <c r="G10" i="17"/>
  <c r="H25" i="17"/>
  <c r="B103" i="17"/>
  <c r="D102" i="17"/>
  <c r="D103" i="17"/>
  <c r="D82" i="5"/>
  <c r="D105" i="5" s="1"/>
  <c r="F102" i="17"/>
  <c r="F103" i="17"/>
  <c r="G103" i="17" s="1"/>
  <c r="H103" i="17" s="1"/>
  <c r="I103" i="17" s="1"/>
  <c r="J103" i="17" s="1"/>
  <c r="E102" i="17"/>
  <c r="G102" i="17" s="1"/>
  <c r="E103" i="17"/>
  <c r="G7" i="8"/>
  <c r="G123" i="2"/>
  <c r="G124" i="2" s="1"/>
  <c r="F146" i="2"/>
  <c r="F124" i="2"/>
  <c r="D144" i="2"/>
  <c r="D146" i="2"/>
  <c r="D124" i="2"/>
  <c r="E146" i="2"/>
  <c r="E124" i="2"/>
  <c r="E144" i="2"/>
  <c r="C83" i="5"/>
  <c r="C100" i="5" s="1"/>
  <c r="C106" i="5" s="1"/>
  <c r="C110" i="5" s="1"/>
  <c r="C116" i="5" s="1"/>
  <c r="D83" i="5"/>
  <c r="D100" i="5" s="1"/>
  <c r="D106" i="5" s="1"/>
  <c r="D110" i="5" s="1"/>
  <c r="D116" i="5" s="1"/>
  <c r="E82" i="5"/>
  <c r="E109" i="5"/>
  <c r="G8" i="8"/>
  <c r="G30" i="8"/>
  <c r="F8" i="8"/>
  <c r="F30" i="8"/>
  <c r="G158" i="17" l="1"/>
  <c r="G64" i="17"/>
  <c r="H102" i="17"/>
  <c r="I102" i="17" s="1"/>
  <c r="J102" i="17" s="1"/>
  <c r="K102" i="17" s="1"/>
  <c r="K58" i="17"/>
  <c r="K171" i="17" s="1"/>
  <c r="J171" i="17"/>
  <c r="G15" i="17"/>
  <c r="G162" i="17" s="1"/>
  <c r="G11" i="17"/>
  <c r="G159" i="17" s="1"/>
  <c r="G16" i="17"/>
  <c r="G163" i="17" s="1"/>
  <c r="G18" i="17"/>
  <c r="G165" i="17" s="1"/>
  <c r="I25" i="17"/>
  <c r="H10" i="17"/>
  <c r="H158" i="17" s="1"/>
  <c r="H101" i="17"/>
  <c r="G101" i="17"/>
  <c r="G144" i="2"/>
  <c r="G139" i="2" s="1"/>
  <c r="G146" i="2"/>
  <c r="G137" i="2" s="1"/>
  <c r="G132" i="2" s="1"/>
  <c r="D139" i="2"/>
  <c r="F144" i="2"/>
  <c r="D137" i="2"/>
  <c r="E137" i="2"/>
  <c r="E105" i="5"/>
  <c r="E83" i="5"/>
  <c r="E100" i="5" s="1"/>
  <c r="E91" i="3"/>
  <c r="E92" i="3" s="1"/>
  <c r="E93" i="3" s="1"/>
  <c r="F91" i="3"/>
  <c r="F92" i="3" s="1"/>
  <c r="F93" i="3" s="1"/>
  <c r="G91" i="3"/>
  <c r="G92" i="3" s="1"/>
  <c r="G93" i="3" s="1"/>
  <c r="H91" i="3"/>
  <c r="I91" i="3"/>
  <c r="T71" i="3"/>
  <c r="T68" i="3"/>
  <c r="T67" i="3"/>
  <c r="E67" i="3"/>
  <c r="E70" i="3" s="1"/>
  <c r="F67" i="3"/>
  <c r="F70" i="3" s="1"/>
  <c r="G67" i="3"/>
  <c r="G70" i="3" s="1"/>
  <c r="H67" i="3"/>
  <c r="H70" i="3" s="1"/>
  <c r="I67" i="3"/>
  <c r="I70" i="3" s="1"/>
  <c r="T65" i="3"/>
  <c r="T64" i="3"/>
  <c r="T63" i="3"/>
  <c r="T56" i="3"/>
  <c r="E56" i="3"/>
  <c r="E59" i="3" s="1"/>
  <c r="F54" i="3"/>
  <c r="F56" i="3" s="1"/>
  <c r="F59" i="3" s="1"/>
  <c r="G54" i="3"/>
  <c r="G56" i="3" s="1"/>
  <c r="G59" i="3" s="1"/>
  <c r="H54" i="3"/>
  <c r="H56" i="3" s="1"/>
  <c r="I54" i="3"/>
  <c r="I56" i="3" s="1"/>
  <c r="T52" i="3"/>
  <c r="T51" i="3"/>
  <c r="T50" i="3"/>
  <c r="T49" i="3"/>
  <c r="T48" i="3"/>
  <c r="H47" i="3"/>
  <c r="I47" i="3"/>
  <c r="T45" i="3"/>
  <c r="T40" i="3"/>
  <c r="T35" i="3"/>
  <c r="T34" i="3"/>
  <c r="E34" i="3"/>
  <c r="E37" i="3" s="1"/>
  <c r="F34" i="3"/>
  <c r="F37" i="3" s="1"/>
  <c r="G34" i="3"/>
  <c r="G37" i="3" s="1"/>
  <c r="H34" i="3"/>
  <c r="H37" i="3" s="1"/>
  <c r="I34" i="3"/>
  <c r="T32" i="3"/>
  <c r="T31" i="3"/>
  <c r="T30" i="3"/>
  <c r="T24" i="3"/>
  <c r="E24" i="3"/>
  <c r="E26" i="3" s="1"/>
  <c r="F24" i="3"/>
  <c r="F26" i="3" s="1"/>
  <c r="G24" i="3"/>
  <c r="G26" i="3" s="1"/>
  <c r="H24" i="3"/>
  <c r="H26" i="3" s="1"/>
  <c r="I24" i="3"/>
  <c r="I26" i="3" s="1"/>
  <c r="T22" i="3"/>
  <c r="T21" i="3"/>
  <c r="T20" i="3"/>
  <c r="T19" i="3"/>
  <c r="T16" i="3"/>
  <c r="E15" i="3"/>
  <c r="E17" i="3" s="1"/>
  <c r="F15" i="3"/>
  <c r="F17" i="3" s="1"/>
  <c r="G15" i="3"/>
  <c r="G17" i="3" s="1"/>
  <c r="H15" i="3"/>
  <c r="H17" i="3" s="1"/>
  <c r="I15" i="3"/>
  <c r="I17" i="3" s="1"/>
  <c r="T14" i="3"/>
  <c r="T13" i="3"/>
  <c r="T9" i="3"/>
  <c r="E8" i="3"/>
  <c r="E10" i="3" s="1"/>
  <c r="F8" i="3"/>
  <c r="F10" i="3" s="1"/>
  <c r="G8" i="3"/>
  <c r="G10" i="3" s="1"/>
  <c r="H8" i="3"/>
  <c r="I8" i="3"/>
  <c r="I10" i="3" s="1"/>
  <c r="T7" i="3"/>
  <c r="T6" i="3"/>
  <c r="F137" i="2" l="1"/>
  <c r="F132" i="2" s="1"/>
  <c r="H15" i="17"/>
  <c r="H162" i="17" s="1"/>
  <c r="H11" i="17"/>
  <c r="H159" i="17" s="1"/>
  <c r="H16" i="17"/>
  <c r="H163" i="17" s="1"/>
  <c r="H18" i="17"/>
  <c r="H165" i="17" s="1"/>
  <c r="F139" i="2"/>
  <c r="G99" i="17"/>
  <c r="H64" i="17"/>
  <c r="G65" i="17"/>
  <c r="G63" i="17"/>
  <c r="I101" i="17"/>
  <c r="J25" i="17"/>
  <c r="I10" i="17"/>
  <c r="I158" i="17" s="1"/>
  <c r="H99" i="17"/>
  <c r="H209" i="17" s="1"/>
  <c r="E132" i="2"/>
  <c r="E139" i="2"/>
  <c r="D132" i="2"/>
  <c r="E106" i="5"/>
  <c r="E110" i="5" s="1"/>
  <c r="E116" i="5" s="1"/>
  <c r="I59" i="3"/>
  <c r="T8" i="3"/>
  <c r="I28" i="3"/>
  <c r="T23" i="3"/>
  <c r="T46" i="3"/>
  <c r="T25" i="3"/>
  <c r="T33" i="3"/>
  <c r="F28" i="3"/>
  <c r="F39" i="3" s="1"/>
  <c r="H10" i="3"/>
  <c r="T10" i="3" s="1"/>
  <c r="T53" i="3"/>
  <c r="G28" i="3"/>
  <c r="G39" i="3" s="1"/>
  <c r="E28" i="3"/>
  <c r="E39" i="3" s="1"/>
  <c r="E61" i="3" s="1"/>
  <c r="E71" i="3" s="1"/>
  <c r="E74" i="3" s="1"/>
  <c r="H28" i="3"/>
  <c r="T17" i="3"/>
  <c r="H59" i="3"/>
  <c r="T55" i="3"/>
  <c r="T69" i="3"/>
  <c r="I37" i="3"/>
  <c r="T15" i="3"/>
  <c r="T66" i="3"/>
  <c r="G209" i="17" l="1"/>
  <c r="G118" i="17"/>
  <c r="H242" i="17"/>
  <c r="G242" i="17"/>
  <c r="I15" i="17"/>
  <c r="I162" i="17" s="1"/>
  <c r="I11" i="17"/>
  <c r="I159" i="17" s="1"/>
  <c r="I16" i="17"/>
  <c r="I163" i="17" s="1"/>
  <c r="I18" i="17"/>
  <c r="H92" i="17"/>
  <c r="H106" i="17"/>
  <c r="U94" i="17" s="1"/>
  <c r="V122" i="17" s="1"/>
  <c r="H96" i="17"/>
  <c r="H97" i="17" s="1"/>
  <c r="H111" i="17" s="1"/>
  <c r="I64" i="17"/>
  <c r="G92" i="17"/>
  <c r="G96" i="17"/>
  <c r="G97" i="17" s="1"/>
  <c r="G111" i="17" s="1"/>
  <c r="G106" i="17"/>
  <c r="T94" i="17" s="1"/>
  <c r="U122" i="17" s="1"/>
  <c r="U119" i="17" s="1"/>
  <c r="J10" i="17"/>
  <c r="J158" i="17" s="1"/>
  <c r="J101" i="17"/>
  <c r="K25" i="17"/>
  <c r="K10" i="17" s="1"/>
  <c r="H63" i="17"/>
  <c r="H65" i="17"/>
  <c r="I99" i="17"/>
  <c r="T58" i="3"/>
  <c r="I39" i="3"/>
  <c r="G61" i="3"/>
  <c r="G71" i="3" s="1"/>
  <c r="G74" i="3" s="1"/>
  <c r="F61" i="3"/>
  <c r="F71" i="3" s="1"/>
  <c r="F74" i="3" s="1"/>
  <c r="T27" i="3"/>
  <c r="H39" i="3"/>
  <c r="T36" i="3"/>
  <c r="H117" i="17" l="1"/>
  <c r="H118" i="17"/>
  <c r="I118" i="17" s="1"/>
  <c r="J118" i="17" s="1"/>
  <c r="K118" i="17" s="1"/>
  <c r="I209" i="17"/>
  <c r="I242" i="17" s="1"/>
  <c r="I117" i="17"/>
  <c r="I165" i="17"/>
  <c r="J11" i="17"/>
  <c r="J159" i="17" s="1"/>
  <c r="J15" i="17"/>
  <c r="J162" i="17" s="1"/>
  <c r="J16" i="17"/>
  <c r="J163" i="17" s="1"/>
  <c r="J18" i="17"/>
  <c r="J165" i="17" s="1"/>
  <c r="H12" i="17"/>
  <c r="H19" i="17" s="1"/>
  <c r="H21" i="17" s="1"/>
  <c r="G12" i="17"/>
  <c r="G19" i="17" s="1"/>
  <c r="V119" i="17"/>
  <c r="H110" i="17" s="1"/>
  <c r="H112" i="17" s="1"/>
  <c r="H113" i="17" s="1"/>
  <c r="H175" i="17" s="1"/>
  <c r="I12" i="17"/>
  <c r="I19" i="17" s="1"/>
  <c r="I17" i="17" s="1"/>
  <c r="J99" i="17"/>
  <c r="I96" i="17"/>
  <c r="I97" i="17" s="1"/>
  <c r="I111" i="17" s="1"/>
  <c r="I106" i="17"/>
  <c r="V94" i="17" s="1"/>
  <c r="W122" i="17" s="1"/>
  <c r="W119" i="17" s="1"/>
  <c r="I110" i="17" s="1"/>
  <c r="I92" i="17"/>
  <c r="J64" i="17"/>
  <c r="K101" i="17"/>
  <c r="K158" i="17"/>
  <c r="I65" i="17"/>
  <c r="I63" i="17"/>
  <c r="I61" i="3"/>
  <c r="I71" i="3" s="1"/>
  <c r="I74" i="3" s="1"/>
  <c r="I77" i="3" s="1"/>
  <c r="I92" i="3" s="1"/>
  <c r="I93" i="3" s="1"/>
  <c r="T38" i="3"/>
  <c r="H61" i="3"/>
  <c r="J209" i="17" l="1"/>
  <c r="J242" i="17" s="1"/>
  <c r="J117" i="17"/>
  <c r="I112" i="17"/>
  <c r="I113" i="17" s="1"/>
  <c r="I175" i="17" s="1"/>
  <c r="G110" i="17"/>
  <c r="G112" i="17" s="1"/>
  <c r="G113" i="17" s="1"/>
  <c r="G175" i="17" s="1"/>
  <c r="I164" i="17"/>
  <c r="H241" i="17"/>
  <c r="I241" i="17"/>
  <c r="K11" i="17"/>
  <c r="K15" i="17"/>
  <c r="K162" i="17" s="1"/>
  <c r="K16" i="17"/>
  <c r="K18" i="17"/>
  <c r="K165" i="17" s="1"/>
  <c r="H17" i="17"/>
  <c r="G17" i="17"/>
  <c r="G21" i="17"/>
  <c r="X37" i="17"/>
  <c r="X38" i="17" s="1"/>
  <c r="I21" i="17"/>
  <c r="J12" i="17"/>
  <c r="J19" i="17" s="1"/>
  <c r="J17" i="17" s="1"/>
  <c r="J63" i="17"/>
  <c r="J65" i="17"/>
  <c r="J92" i="17"/>
  <c r="J96" i="17"/>
  <c r="J97" i="17" s="1"/>
  <c r="J111" i="17" s="1"/>
  <c r="J106" i="17"/>
  <c r="W94" i="17" s="1"/>
  <c r="X122" i="17" s="1"/>
  <c r="X119" i="17" s="1"/>
  <c r="J110" i="17" s="1"/>
  <c r="K64" i="17"/>
  <c r="K99" i="17"/>
  <c r="T60" i="3"/>
  <c r="H71" i="3"/>
  <c r="K209" i="17" l="1"/>
  <c r="K242" i="17" s="1"/>
  <c r="K117" i="17"/>
  <c r="G241" i="17"/>
  <c r="G164" i="17"/>
  <c r="H164" i="17"/>
  <c r="K159" i="17"/>
  <c r="K163" i="17"/>
  <c r="J164" i="17"/>
  <c r="J112" i="17"/>
  <c r="J113" i="17" s="1"/>
  <c r="J175" i="17" s="1"/>
  <c r="J21" i="17"/>
  <c r="K12" i="17"/>
  <c r="K19" i="17" s="1"/>
  <c r="K63" i="17"/>
  <c r="K65" i="17"/>
  <c r="K106" i="17"/>
  <c r="X94" i="17" s="1"/>
  <c r="Y122" i="17" s="1"/>
  <c r="Y119" i="17" s="1"/>
  <c r="K92" i="17"/>
  <c r="K96" i="17"/>
  <c r="K97" i="17" s="1"/>
  <c r="K111" i="17" s="1"/>
  <c r="H74" i="3"/>
  <c r="T70" i="3"/>
  <c r="K17" i="17" l="1"/>
  <c r="K21" i="17"/>
  <c r="K110" i="17"/>
  <c r="K112" i="17" s="1"/>
  <c r="K113" i="17" s="1"/>
  <c r="K175" i="17" s="1"/>
  <c r="K164" i="17"/>
  <c r="H77" i="3"/>
  <c r="T73" i="3"/>
  <c r="J241" i="17" l="1"/>
  <c r="K241" i="17"/>
  <c r="H92" i="3"/>
  <c r="H93" i="3" s="1"/>
  <c r="T76" i="3"/>
  <c r="F175" i="1" l="1"/>
  <c r="F168" i="1"/>
  <c r="F143" i="1"/>
  <c r="F136" i="1"/>
  <c r="F132" i="1"/>
  <c r="F125" i="1"/>
  <c r="F121" i="1"/>
  <c r="F110" i="1"/>
  <c r="F87" i="1"/>
  <c r="F82" i="1"/>
  <c r="R68" i="1"/>
  <c r="Q68" i="1"/>
  <c r="P68" i="1"/>
  <c r="F62" i="1"/>
  <c r="F57" i="1"/>
  <c r="F42" i="1"/>
  <c r="D18" i="2" s="1"/>
  <c r="F29" i="1"/>
  <c r="D6" i="2" s="1"/>
  <c r="F18" i="1"/>
  <c r="R148" i="1"/>
  <c r="Q148" i="1"/>
  <c r="P149" i="1"/>
  <c r="R69" i="1"/>
  <c r="Q69" i="1"/>
  <c r="Q73" i="1"/>
  <c r="Q144" i="1"/>
  <c r="R144" i="1"/>
  <c r="Q143" i="1"/>
  <c r="R143" i="1"/>
  <c r="P171" i="1"/>
  <c r="T167" i="1"/>
  <c r="S166" i="1"/>
  <c r="R166" i="1"/>
  <c r="Q166" i="1"/>
  <c r="P166" i="1"/>
  <c r="J175" i="1"/>
  <c r="I175" i="1"/>
  <c r="H175" i="1"/>
  <c r="G175" i="1"/>
  <c r="R164" i="1"/>
  <c r="Q164" i="1"/>
  <c r="P164" i="1"/>
  <c r="R163" i="1"/>
  <c r="Q163" i="1"/>
  <c r="P163" i="1"/>
  <c r="R162" i="1"/>
  <c r="Q162" i="1"/>
  <c r="P162" i="1"/>
  <c r="R161" i="1"/>
  <c r="Q161" i="1"/>
  <c r="P161" i="1"/>
  <c r="R160" i="1"/>
  <c r="Q160" i="1"/>
  <c r="P160" i="1"/>
  <c r="J168" i="1"/>
  <c r="I168" i="1"/>
  <c r="H168" i="1"/>
  <c r="G168" i="1"/>
  <c r="R157" i="1"/>
  <c r="Q157" i="1"/>
  <c r="P157" i="1"/>
  <c r="R156" i="1"/>
  <c r="Q156" i="1"/>
  <c r="P156" i="1"/>
  <c r="R155" i="1"/>
  <c r="Q155" i="1"/>
  <c r="P155" i="1"/>
  <c r="R154" i="1"/>
  <c r="Q154" i="1"/>
  <c r="P154" i="1"/>
  <c r="R153" i="1"/>
  <c r="Q153" i="1"/>
  <c r="P153" i="1"/>
  <c r="R152" i="1"/>
  <c r="Q152" i="1"/>
  <c r="P152" i="1"/>
  <c r="R151" i="1"/>
  <c r="Q151" i="1"/>
  <c r="P151" i="1"/>
  <c r="R150" i="1"/>
  <c r="R149" i="1"/>
  <c r="P148" i="1"/>
  <c r="R147" i="1"/>
  <c r="Q147" i="1"/>
  <c r="P147" i="1"/>
  <c r="R146" i="1"/>
  <c r="Q146" i="1"/>
  <c r="P146" i="1"/>
  <c r="R145" i="1"/>
  <c r="Q145" i="1"/>
  <c r="P145" i="1"/>
  <c r="P144" i="1"/>
  <c r="P143" i="1"/>
  <c r="R142" i="1"/>
  <c r="Q142" i="1"/>
  <c r="P142" i="1"/>
  <c r="R141" i="1"/>
  <c r="Q141" i="1"/>
  <c r="P141" i="1"/>
  <c r="R140" i="1"/>
  <c r="Q140" i="1"/>
  <c r="P140" i="1"/>
  <c r="R139" i="1"/>
  <c r="Q139" i="1"/>
  <c r="P139" i="1"/>
  <c r="R138" i="1"/>
  <c r="Q138" i="1"/>
  <c r="P138" i="1"/>
  <c r="R137" i="1"/>
  <c r="Q137" i="1"/>
  <c r="P137" i="1"/>
  <c r="R136" i="1"/>
  <c r="Q136" i="1"/>
  <c r="P136" i="1"/>
  <c r="R135" i="1"/>
  <c r="Q135" i="1"/>
  <c r="P135" i="1"/>
  <c r="J143" i="1"/>
  <c r="I143" i="1"/>
  <c r="H143" i="1"/>
  <c r="G143" i="1"/>
  <c r="R132" i="1"/>
  <c r="Q132" i="1"/>
  <c r="P132" i="1"/>
  <c r="R131" i="1"/>
  <c r="Q131" i="1"/>
  <c r="P131" i="1"/>
  <c r="T127" i="1"/>
  <c r="J136" i="1"/>
  <c r="I136" i="1"/>
  <c r="H136" i="1"/>
  <c r="G136" i="1"/>
  <c r="R125" i="1"/>
  <c r="Q125" i="1"/>
  <c r="P125" i="1"/>
  <c r="R124" i="1"/>
  <c r="Q124" i="1"/>
  <c r="P124" i="1"/>
  <c r="J132" i="1"/>
  <c r="I132" i="1"/>
  <c r="H132" i="1"/>
  <c r="G132" i="1"/>
  <c r="R121" i="1"/>
  <c r="Q121" i="1"/>
  <c r="P121" i="1"/>
  <c r="R120" i="1"/>
  <c r="Q120" i="1"/>
  <c r="P120" i="1"/>
  <c r="R119" i="1"/>
  <c r="Q119" i="1"/>
  <c r="P119" i="1"/>
  <c r="R118" i="1"/>
  <c r="Q118" i="1"/>
  <c r="P118" i="1"/>
  <c r="R117" i="1"/>
  <c r="Q117" i="1"/>
  <c r="P117" i="1"/>
  <c r="J125" i="1"/>
  <c r="I125" i="1"/>
  <c r="H125" i="1"/>
  <c r="G125" i="1"/>
  <c r="R114" i="1"/>
  <c r="Q114" i="1"/>
  <c r="P114" i="1"/>
  <c r="R113" i="1"/>
  <c r="Q113" i="1"/>
  <c r="P113" i="1"/>
  <c r="J121" i="1"/>
  <c r="I121" i="1"/>
  <c r="H121" i="1"/>
  <c r="G121" i="1"/>
  <c r="R110" i="1"/>
  <c r="Q110" i="1"/>
  <c r="P110" i="1"/>
  <c r="R109" i="1"/>
  <c r="Q109" i="1"/>
  <c r="P109" i="1"/>
  <c r="R108" i="1"/>
  <c r="Q108" i="1"/>
  <c r="P108" i="1"/>
  <c r="R107" i="1"/>
  <c r="Q107" i="1"/>
  <c r="P107" i="1"/>
  <c r="S101" i="1"/>
  <c r="R101" i="1"/>
  <c r="Q101" i="1"/>
  <c r="P101" i="1"/>
  <c r="T100" i="1"/>
  <c r="T102" i="1" s="1"/>
  <c r="J110" i="1"/>
  <c r="I110" i="1"/>
  <c r="H110" i="1"/>
  <c r="G110" i="1"/>
  <c r="S99" i="1"/>
  <c r="R99" i="1"/>
  <c r="Q99" i="1"/>
  <c r="P99" i="1"/>
  <c r="J108" i="1"/>
  <c r="I108" i="1"/>
  <c r="H108" i="1"/>
  <c r="G108" i="1"/>
  <c r="R97" i="1"/>
  <c r="Q97" i="1"/>
  <c r="P97" i="1"/>
  <c r="R96" i="1"/>
  <c r="Q96" i="1"/>
  <c r="P96" i="1"/>
  <c r="J105" i="1"/>
  <c r="I105" i="1"/>
  <c r="H105" i="1"/>
  <c r="G105" i="1"/>
  <c r="R94" i="1"/>
  <c r="Q94" i="1"/>
  <c r="R93" i="1"/>
  <c r="Q93" i="1"/>
  <c r="P93" i="1"/>
  <c r="S91" i="1"/>
  <c r="R91" i="1"/>
  <c r="Q91" i="1"/>
  <c r="P91" i="1"/>
  <c r="S90" i="1"/>
  <c r="R90" i="1"/>
  <c r="Q90" i="1"/>
  <c r="P90" i="1"/>
  <c r="S89" i="1"/>
  <c r="R89" i="1"/>
  <c r="Q89" i="1"/>
  <c r="P89" i="1"/>
  <c r="R85" i="1"/>
  <c r="Q85" i="1"/>
  <c r="P85" i="1"/>
  <c r="T83" i="1"/>
  <c r="S82" i="1"/>
  <c r="R82" i="1"/>
  <c r="Q82" i="1"/>
  <c r="P82" i="1"/>
  <c r="S81" i="1"/>
  <c r="R81" i="1"/>
  <c r="Q81" i="1"/>
  <c r="P81" i="1"/>
  <c r="J87" i="1"/>
  <c r="I87" i="1"/>
  <c r="H87" i="1"/>
  <c r="G87" i="1"/>
  <c r="P79" i="1"/>
  <c r="R78" i="1"/>
  <c r="Q78" i="1"/>
  <c r="P78" i="1"/>
  <c r="R77" i="1"/>
  <c r="Q77" i="1"/>
  <c r="P77" i="1"/>
  <c r="J82" i="1"/>
  <c r="I82" i="1"/>
  <c r="H82" i="1"/>
  <c r="G82" i="1"/>
  <c r="R74" i="1"/>
  <c r="Q74" i="1"/>
  <c r="P74" i="1"/>
  <c r="P73" i="1"/>
  <c r="R72" i="1"/>
  <c r="Q72" i="1"/>
  <c r="P72" i="1"/>
  <c r="R71" i="1"/>
  <c r="Q71" i="1"/>
  <c r="P71" i="1"/>
  <c r="Q70" i="1"/>
  <c r="P70" i="1"/>
  <c r="P69" i="1"/>
  <c r="R67" i="1"/>
  <c r="Q67" i="1"/>
  <c r="P67" i="1"/>
  <c r="R66" i="1"/>
  <c r="Q66" i="1"/>
  <c r="R65" i="1"/>
  <c r="Q65" i="1"/>
  <c r="P65" i="1"/>
  <c r="R64" i="1"/>
  <c r="Q64" i="1"/>
  <c r="P64" i="1"/>
  <c r="R63" i="1"/>
  <c r="Q63" i="1"/>
  <c r="P63" i="1"/>
  <c r="R62" i="1"/>
  <c r="Q62" i="1"/>
  <c r="P62" i="1"/>
  <c r="R61" i="1"/>
  <c r="Q61" i="1"/>
  <c r="P61" i="1"/>
  <c r="R60" i="1"/>
  <c r="Q60" i="1"/>
  <c r="P60" i="1"/>
  <c r="R59" i="1"/>
  <c r="Q59" i="1"/>
  <c r="P59" i="1"/>
  <c r="R58" i="1"/>
  <c r="Q58" i="1"/>
  <c r="P58" i="1"/>
  <c r="R57" i="1"/>
  <c r="Q57" i="1"/>
  <c r="P57" i="1"/>
  <c r="J62" i="1"/>
  <c r="I62" i="1"/>
  <c r="H62" i="1"/>
  <c r="G62" i="1"/>
  <c r="R54" i="1"/>
  <c r="Q54" i="1"/>
  <c r="P54" i="1"/>
  <c r="R53" i="1"/>
  <c r="Q53" i="1"/>
  <c r="P53" i="1"/>
  <c r="R52" i="1"/>
  <c r="Q52" i="1"/>
  <c r="P52" i="1"/>
  <c r="R49" i="1"/>
  <c r="Q49" i="1"/>
  <c r="P49" i="1"/>
  <c r="H55" i="1"/>
  <c r="H57" i="1" s="1"/>
  <c r="G55" i="1"/>
  <c r="R47" i="1"/>
  <c r="Q47" i="1"/>
  <c r="P47" i="1"/>
  <c r="R46" i="1"/>
  <c r="Q46" i="1"/>
  <c r="P46" i="1"/>
  <c r="J55" i="1"/>
  <c r="J57" i="1" s="1"/>
  <c r="Q45" i="1"/>
  <c r="P45" i="1"/>
  <c r="R44" i="1"/>
  <c r="Q44" i="1"/>
  <c r="P44" i="1"/>
  <c r="R43" i="1"/>
  <c r="Q43" i="1"/>
  <c r="P43" i="1"/>
  <c r="J42" i="1"/>
  <c r="I42" i="1"/>
  <c r="G18" i="2" s="1"/>
  <c r="H42" i="1"/>
  <c r="F18" i="2" s="1"/>
  <c r="G42" i="1"/>
  <c r="E18" i="2" s="1"/>
  <c r="R37" i="1"/>
  <c r="Q37" i="1"/>
  <c r="P37" i="1"/>
  <c r="R36" i="1"/>
  <c r="P36" i="1"/>
  <c r="S34" i="1"/>
  <c r="R34" i="1"/>
  <c r="Q34" i="1"/>
  <c r="P34" i="1"/>
  <c r="T33" i="1"/>
  <c r="T39" i="1" s="1"/>
  <c r="S32" i="1"/>
  <c r="R32" i="1"/>
  <c r="Q32" i="1"/>
  <c r="P32" i="1"/>
  <c r="S31" i="1"/>
  <c r="R31" i="1"/>
  <c r="Q31" i="1"/>
  <c r="P31" i="1"/>
  <c r="J29" i="1"/>
  <c r="I29" i="1"/>
  <c r="G6" i="2" s="1"/>
  <c r="H29" i="1"/>
  <c r="F6" i="2" s="1"/>
  <c r="G29" i="1"/>
  <c r="E6" i="2" s="1"/>
  <c r="R28" i="1"/>
  <c r="Q28" i="1"/>
  <c r="P28" i="1"/>
  <c r="R27" i="1"/>
  <c r="Q27" i="1"/>
  <c r="P27" i="1"/>
  <c r="R26" i="1"/>
  <c r="Q26" i="1"/>
  <c r="P26" i="1"/>
  <c r="R25" i="1"/>
  <c r="Q25" i="1"/>
  <c r="P25" i="1"/>
  <c r="R24" i="1"/>
  <c r="Q24" i="1"/>
  <c r="P24" i="1"/>
  <c r="S22" i="1"/>
  <c r="R22" i="1"/>
  <c r="Q22" i="1"/>
  <c r="P22" i="1"/>
  <c r="S21" i="1"/>
  <c r="R21" i="1"/>
  <c r="Q21" i="1"/>
  <c r="P21" i="1"/>
  <c r="S20" i="1"/>
  <c r="R20" i="1"/>
  <c r="Q20" i="1"/>
  <c r="P20" i="1"/>
  <c r="J18" i="1"/>
  <c r="I18" i="1"/>
  <c r="G5" i="2" s="1"/>
  <c r="H18" i="1"/>
  <c r="F5" i="2" s="1"/>
  <c r="G18" i="1"/>
  <c r="E5" i="2" s="1"/>
  <c r="R17" i="1"/>
  <c r="Q17" i="1"/>
  <c r="P17" i="1"/>
  <c r="R16" i="1"/>
  <c r="Q16" i="1"/>
  <c r="P16" i="1"/>
  <c r="R15" i="1"/>
  <c r="Q15" i="1"/>
  <c r="P15" i="1"/>
  <c r="R14" i="1"/>
  <c r="Q14" i="1"/>
  <c r="P14" i="1"/>
  <c r="R13" i="1"/>
  <c r="Q13" i="1"/>
  <c r="P13" i="1"/>
  <c r="R12" i="1"/>
  <c r="Q12" i="1"/>
  <c r="P12" i="1"/>
  <c r="R11" i="1"/>
  <c r="Q11" i="1"/>
  <c r="P11" i="1"/>
  <c r="R10" i="1"/>
  <c r="Q10" i="1"/>
  <c r="P10" i="1"/>
  <c r="R9" i="1"/>
  <c r="Q9" i="1"/>
  <c r="P9" i="1"/>
  <c r="C32" i="17" l="1"/>
  <c r="C52" i="17" s="1"/>
  <c r="C189" i="17" s="1"/>
  <c r="V189" i="17" s="1"/>
  <c r="D32" i="17"/>
  <c r="D52" i="17" s="1"/>
  <c r="D189" i="17" s="1"/>
  <c r="W189" i="17" s="1"/>
  <c r="E32" i="17"/>
  <c r="E52" i="17" s="1"/>
  <c r="E189" i="17" s="1"/>
  <c r="X189" i="17" s="1"/>
  <c r="D30" i="17"/>
  <c r="D31" i="17"/>
  <c r="E30" i="17"/>
  <c r="E31" i="17"/>
  <c r="C31" i="17"/>
  <c r="C30" i="17"/>
  <c r="B32" i="17"/>
  <c r="B52" i="17" s="1"/>
  <c r="B189" i="17" s="1"/>
  <c r="U189" i="17" s="1"/>
  <c r="D17" i="2"/>
  <c r="F19" i="8"/>
  <c r="E19" i="8"/>
  <c r="F8" i="2"/>
  <c r="G8" i="2"/>
  <c r="E8" i="2"/>
  <c r="G17" i="2"/>
  <c r="S55" i="1"/>
  <c r="G16" i="2"/>
  <c r="S80" i="1"/>
  <c r="H17" i="2"/>
  <c r="S165" i="1"/>
  <c r="F177" i="1"/>
  <c r="D25" i="13" s="1"/>
  <c r="F16" i="2"/>
  <c r="S50" i="1"/>
  <c r="S29" i="1"/>
  <c r="H6" i="2"/>
  <c r="S75" i="1"/>
  <c r="H16" i="2"/>
  <c r="E17" i="2"/>
  <c r="S122" i="1"/>
  <c r="S158" i="1"/>
  <c r="D5" i="2"/>
  <c r="F91" i="1"/>
  <c r="D16" i="2"/>
  <c r="D15" i="2" s="1"/>
  <c r="S38" i="1"/>
  <c r="H18" i="2"/>
  <c r="S126" i="1"/>
  <c r="S18" i="1"/>
  <c r="H5" i="2"/>
  <c r="E16" i="2"/>
  <c r="F17" i="2"/>
  <c r="S115" i="1"/>
  <c r="S111" i="1"/>
  <c r="J112" i="1"/>
  <c r="I112" i="1"/>
  <c r="G9" i="13" s="1"/>
  <c r="F112" i="1"/>
  <c r="G112" i="1"/>
  <c r="E9" i="13" s="1"/>
  <c r="F137" i="1"/>
  <c r="H112" i="1"/>
  <c r="F9" i="13" s="1"/>
  <c r="Q158" i="1"/>
  <c r="H177" i="1"/>
  <c r="F25" i="13" s="1"/>
  <c r="Q126" i="1"/>
  <c r="Q133" i="1"/>
  <c r="P133" i="1"/>
  <c r="P158" i="1"/>
  <c r="R111" i="1"/>
  <c r="P115" i="1"/>
  <c r="P75" i="1"/>
  <c r="Q80" i="1"/>
  <c r="Q111" i="1"/>
  <c r="R55" i="1"/>
  <c r="Q75" i="1"/>
  <c r="P98" i="1"/>
  <c r="I177" i="1"/>
  <c r="G25" i="13" s="1"/>
  <c r="J177" i="1"/>
  <c r="S167" i="1" s="1"/>
  <c r="Q18" i="1"/>
  <c r="Q38" i="1"/>
  <c r="P55" i="1"/>
  <c r="R80" i="1"/>
  <c r="Q95" i="1"/>
  <c r="P111" i="1"/>
  <c r="Q115" i="1"/>
  <c r="R122" i="1"/>
  <c r="P126" i="1"/>
  <c r="Q165" i="1"/>
  <c r="R29" i="1"/>
  <c r="R98" i="1"/>
  <c r="I137" i="1"/>
  <c r="P165" i="1"/>
  <c r="T87" i="1"/>
  <c r="R126" i="1"/>
  <c r="T169" i="1"/>
  <c r="T173" i="1" s="1"/>
  <c r="H137" i="1"/>
  <c r="P29" i="1"/>
  <c r="R45" i="1"/>
  <c r="Q55" i="1"/>
  <c r="R75" i="1"/>
  <c r="P95" i="1"/>
  <c r="Q98" i="1"/>
  <c r="Q100" i="1"/>
  <c r="P122" i="1"/>
  <c r="R133" i="1"/>
  <c r="R158" i="1"/>
  <c r="R165" i="1"/>
  <c r="G177" i="1"/>
  <c r="E25" i="13" s="1"/>
  <c r="R18" i="1"/>
  <c r="P80" i="1"/>
  <c r="G137" i="1"/>
  <c r="P18" i="1"/>
  <c r="Q29" i="1"/>
  <c r="R38" i="1"/>
  <c r="S100" i="1"/>
  <c r="J137" i="1"/>
  <c r="S127" i="1" s="1"/>
  <c r="G57" i="1"/>
  <c r="P48" i="1"/>
  <c r="P38" i="1"/>
  <c r="I55" i="1"/>
  <c r="R95" i="1"/>
  <c r="R115" i="1"/>
  <c r="Q122" i="1"/>
  <c r="S133" i="1"/>
  <c r="H91" i="1"/>
  <c r="J91" i="1"/>
  <c r="P100" i="1"/>
  <c r="R100" i="1"/>
  <c r="B198" i="17" l="1"/>
  <c r="F32" i="17"/>
  <c r="F52" i="17" s="1"/>
  <c r="F55" i="17" s="1"/>
  <c r="D19" i="8"/>
  <c r="B30" i="17"/>
  <c r="B31" i="17"/>
  <c r="C55" i="17"/>
  <c r="C56" i="17"/>
  <c r="F56" i="17"/>
  <c r="F31" i="17"/>
  <c r="F30" i="17"/>
  <c r="E55" i="17"/>
  <c r="E56" i="17"/>
  <c r="D41" i="17"/>
  <c r="D188" i="17" s="1"/>
  <c r="D33" i="17"/>
  <c r="D34" i="17" s="1"/>
  <c r="C41" i="17"/>
  <c r="C188" i="17" s="1"/>
  <c r="C33" i="17"/>
  <c r="C34" i="17" s="1"/>
  <c r="B66" i="17"/>
  <c r="E6" i="16"/>
  <c r="H9" i="13"/>
  <c r="E41" i="17"/>
  <c r="E188" i="17" s="1"/>
  <c r="E33" i="17"/>
  <c r="D55" i="17"/>
  <c r="D56" i="17"/>
  <c r="D23" i="13"/>
  <c r="D22" i="13"/>
  <c r="D26" i="13"/>
  <c r="F26" i="13"/>
  <c r="F22" i="13"/>
  <c r="F23" i="13"/>
  <c r="E17" i="13"/>
  <c r="E19" i="13"/>
  <c r="F17" i="13"/>
  <c r="F19" i="13"/>
  <c r="D19" i="13"/>
  <c r="G19" i="13"/>
  <c r="G17" i="13"/>
  <c r="H26" i="13"/>
  <c r="H22" i="13"/>
  <c r="H23" i="13"/>
  <c r="S102" i="1"/>
  <c r="H17" i="13"/>
  <c r="H25" i="13"/>
  <c r="F44" i="11"/>
  <c r="E55" i="13"/>
  <c r="G44" i="11"/>
  <c r="F55" i="13"/>
  <c r="H44" i="11"/>
  <c r="G55" i="13"/>
  <c r="F179" i="1"/>
  <c r="F183" i="1" s="1"/>
  <c r="G19" i="8"/>
  <c r="D26" i="2"/>
  <c r="B76" i="17" s="1"/>
  <c r="G15" i="2"/>
  <c r="H8" i="2"/>
  <c r="E71" i="11" s="1"/>
  <c r="H15" i="2"/>
  <c r="F198" i="17" s="1"/>
  <c r="D8" i="2"/>
  <c r="F15" i="2"/>
  <c r="E15" i="2"/>
  <c r="Q102" i="1"/>
  <c r="P50" i="1"/>
  <c r="R102" i="1"/>
  <c r="P102" i="1"/>
  <c r="T174" i="1"/>
  <c r="Q127" i="1"/>
  <c r="I179" i="1"/>
  <c r="I183" i="1" s="1"/>
  <c r="R167" i="1"/>
  <c r="Q167" i="1"/>
  <c r="H179" i="1"/>
  <c r="P127" i="1"/>
  <c r="S83" i="1"/>
  <c r="I57" i="1"/>
  <c r="R48" i="1"/>
  <c r="Q48" i="1"/>
  <c r="R127" i="1"/>
  <c r="G179" i="1"/>
  <c r="P167" i="1"/>
  <c r="J179" i="1"/>
  <c r="G91" i="1"/>
  <c r="Y198" i="17" l="1"/>
  <c r="Y200" i="17" s="1"/>
  <c r="Y205" i="17" s="1"/>
  <c r="F200" i="17"/>
  <c r="E233" i="17"/>
  <c r="X233" i="17" s="1"/>
  <c r="D191" i="17"/>
  <c r="W188" i="17"/>
  <c r="E191" i="17"/>
  <c r="X188" i="17"/>
  <c r="D198" i="17"/>
  <c r="E229" i="17"/>
  <c r="E198" i="17"/>
  <c r="F229" i="17"/>
  <c r="C191" i="17"/>
  <c r="V188" i="17"/>
  <c r="U198" i="17"/>
  <c r="U200" i="17" s="1"/>
  <c r="U205" i="17" s="1"/>
  <c r="B200" i="17"/>
  <c r="C198" i="17"/>
  <c r="D229" i="17"/>
  <c r="C229" i="17"/>
  <c r="D233" i="17"/>
  <c r="W233" i="17" s="1"/>
  <c r="G48" i="17"/>
  <c r="F189" i="17"/>
  <c r="Y189" i="17" s="1"/>
  <c r="H26" i="2"/>
  <c r="F76" i="17" s="1"/>
  <c r="F66" i="17"/>
  <c r="E34" i="17"/>
  <c r="F45" i="17"/>
  <c r="E44" i="17"/>
  <c r="E45" i="17"/>
  <c r="G26" i="2"/>
  <c r="E76" i="17" s="1"/>
  <c r="E66" i="17"/>
  <c r="B41" i="17"/>
  <c r="B188" i="17" s="1"/>
  <c r="B33" i="17"/>
  <c r="B34" i="17" s="1"/>
  <c r="D45" i="17"/>
  <c r="D44" i="17"/>
  <c r="B78" i="17"/>
  <c r="I6" i="16"/>
  <c r="C40" i="16"/>
  <c r="C43" i="16" s="1"/>
  <c r="I7" i="16"/>
  <c r="B70" i="17"/>
  <c r="E26" i="2"/>
  <c r="C76" i="17" s="1"/>
  <c r="C80" i="17" s="1"/>
  <c r="C66" i="17"/>
  <c r="F33" i="17"/>
  <c r="F34" i="17" s="1"/>
  <c r="F41" i="17"/>
  <c r="G50" i="17"/>
  <c r="G53" i="17" s="1"/>
  <c r="G56" i="17" s="1"/>
  <c r="F26" i="2"/>
  <c r="D76" i="17" s="1"/>
  <c r="D66" i="17"/>
  <c r="E26" i="13"/>
  <c r="E22" i="13"/>
  <c r="E23" i="13"/>
  <c r="G47" i="11"/>
  <c r="G58" i="11"/>
  <c r="G46" i="11"/>
  <c r="I44" i="11"/>
  <c r="H55" i="13"/>
  <c r="G57" i="13" s="1"/>
  <c r="H58" i="11"/>
  <c r="H46" i="11"/>
  <c r="H47" i="11"/>
  <c r="F47" i="11"/>
  <c r="F58" i="11"/>
  <c r="F46" i="11"/>
  <c r="R169" i="1"/>
  <c r="H31" i="2"/>
  <c r="H45" i="2" s="1"/>
  <c r="D31" i="2"/>
  <c r="D45" i="2" s="1"/>
  <c r="F15" i="8"/>
  <c r="F17" i="8" s="1"/>
  <c r="F25" i="8" s="1"/>
  <c r="E15" i="8"/>
  <c r="E17" i="8" s="1"/>
  <c r="E25" i="8" s="1"/>
  <c r="G15" i="8"/>
  <c r="G17" i="8" s="1"/>
  <c r="D15" i="8"/>
  <c r="D17" i="8" s="1"/>
  <c r="D25" i="8" s="1"/>
  <c r="Q169" i="1"/>
  <c r="H183" i="1"/>
  <c r="R50" i="1"/>
  <c r="I91" i="1"/>
  <c r="Q50" i="1"/>
  <c r="G183" i="1"/>
  <c r="P169" i="1"/>
  <c r="P83" i="1"/>
  <c r="J183" i="1"/>
  <c r="S169" i="1"/>
  <c r="C233" i="17" l="1"/>
  <c r="V233" i="17" s="1"/>
  <c r="U188" i="17"/>
  <c r="B191" i="17"/>
  <c r="B205" i="17" s="1"/>
  <c r="Y229" i="17"/>
  <c r="Y231" i="17" s="1"/>
  <c r="F231" i="17"/>
  <c r="V198" i="17"/>
  <c r="V200" i="17" s="1"/>
  <c r="V205" i="17" s="1"/>
  <c r="C200" i="17"/>
  <c r="C205" i="17" s="1"/>
  <c r="V229" i="17"/>
  <c r="V231" i="17" s="1"/>
  <c r="C231" i="17"/>
  <c r="X198" i="17"/>
  <c r="X200" i="17" s="1"/>
  <c r="X205" i="17" s="1"/>
  <c r="E200" i="17"/>
  <c r="E205" i="17" s="1"/>
  <c r="W198" i="17"/>
  <c r="W200" i="17" s="1"/>
  <c r="W205" i="17" s="1"/>
  <c r="D200" i="17"/>
  <c r="D205" i="17" s="1"/>
  <c r="W229" i="17"/>
  <c r="W231" i="17" s="1"/>
  <c r="D231" i="17"/>
  <c r="X229" i="17"/>
  <c r="X231" i="17" s="1"/>
  <c r="E231" i="17"/>
  <c r="F44" i="17"/>
  <c r="F188" i="17"/>
  <c r="T42" i="17"/>
  <c r="T43" i="17" s="1"/>
  <c r="C45" i="17"/>
  <c r="C44" i="17"/>
  <c r="E72" i="17"/>
  <c r="D70" i="17"/>
  <c r="F72" i="17"/>
  <c r="E70" i="17"/>
  <c r="D72" i="17"/>
  <c r="C70" i="17"/>
  <c r="E80" i="17"/>
  <c r="D78" i="17"/>
  <c r="F80" i="17"/>
  <c r="E78" i="17"/>
  <c r="C62" i="16"/>
  <c r="G62" i="16"/>
  <c r="C53" i="19" s="1"/>
  <c r="D80" i="17"/>
  <c r="C78" i="17"/>
  <c r="F70" i="17"/>
  <c r="H70" i="17" s="1"/>
  <c r="I70" i="17" s="1"/>
  <c r="J70" i="17" s="1"/>
  <c r="K70" i="17" s="1"/>
  <c r="G37" i="17"/>
  <c r="G39" i="17" s="1"/>
  <c r="C72" i="17"/>
  <c r="F78" i="17"/>
  <c r="G78" i="17" s="1"/>
  <c r="H78" i="17" s="1"/>
  <c r="I78" i="17" s="1"/>
  <c r="J78" i="17" s="1"/>
  <c r="G26" i="13"/>
  <c r="G22" i="13"/>
  <c r="G23" i="13"/>
  <c r="I58" i="11"/>
  <c r="I46" i="11"/>
  <c r="H19" i="11" s="1"/>
  <c r="I47" i="11"/>
  <c r="G25" i="8"/>
  <c r="G26" i="8" s="1"/>
  <c r="G31" i="2"/>
  <c r="G45" i="2" s="1"/>
  <c r="E31" i="2"/>
  <c r="E45" i="2" s="1"/>
  <c r="F31" i="2"/>
  <c r="F45" i="2" s="1"/>
  <c r="D26" i="8"/>
  <c r="D31" i="8"/>
  <c r="D35" i="8" s="1"/>
  <c r="D41" i="8" s="1"/>
  <c r="E26" i="8"/>
  <c r="E31" i="8"/>
  <c r="E35" i="8" s="1"/>
  <c r="E41" i="8" s="1"/>
  <c r="F26" i="8"/>
  <c r="F31" i="8"/>
  <c r="F35" i="8" s="1"/>
  <c r="F41" i="8" s="1"/>
  <c r="P173" i="1"/>
  <c r="Q173" i="1"/>
  <c r="S173" i="1"/>
  <c r="R173" i="1"/>
  <c r="R83" i="1"/>
  <c r="Q83" i="1"/>
  <c r="F81" i="5"/>
  <c r="F82" i="5"/>
  <c r="H124" i="19" l="1"/>
  <c r="E113" i="19"/>
  <c r="F191" i="17"/>
  <c r="F205" i="17" s="1"/>
  <c r="Y188" i="17"/>
  <c r="F233" i="17"/>
  <c r="Y233" i="17" s="1"/>
  <c r="K78" i="17"/>
  <c r="J44" i="17"/>
  <c r="G44" i="17"/>
  <c r="X43" i="17"/>
  <c r="I44" i="17"/>
  <c r="K44" i="17"/>
  <c r="H44" i="17"/>
  <c r="X42" i="17"/>
  <c r="I38" i="17" s="1"/>
  <c r="G42" i="17"/>
  <c r="G170" i="17" s="1"/>
  <c r="G234" i="17" s="1"/>
  <c r="J35" i="11"/>
  <c r="J38" i="11" s="1"/>
  <c r="J40" i="11" s="1"/>
  <c r="F83" i="5"/>
  <c r="F100" i="5" s="1"/>
  <c r="G31" i="8"/>
  <c r="G35" i="8" s="1"/>
  <c r="G41" i="8" s="1"/>
  <c r="F105" i="5"/>
  <c r="H125" i="19" l="1"/>
  <c r="H126" i="19" s="1"/>
  <c r="I124" i="19"/>
  <c r="G76" i="17"/>
  <c r="G45" i="17"/>
  <c r="G66" i="17"/>
  <c r="G72" i="17" s="1"/>
  <c r="G49" i="17"/>
  <c r="I49" i="17"/>
  <c r="I55" i="17" s="1"/>
  <c r="H49" i="17"/>
  <c r="H55" i="17" s="1"/>
  <c r="K49" i="17"/>
  <c r="K55" i="17" s="1"/>
  <c r="J49" i="17"/>
  <c r="J55" i="17" s="1"/>
  <c r="K38" i="17"/>
  <c r="G38" i="17"/>
  <c r="J38" i="17"/>
  <c r="H38" i="17"/>
  <c r="H76" i="17"/>
  <c r="H200" i="17" s="1"/>
  <c r="K35" i="11"/>
  <c r="K38" i="11" s="1"/>
  <c r="J42" i="11"/>
  <c r="J58" i="11" s="1"/>
  <c r="J60" i="11" s="1"/>
  <c r="F106" i="5"/>
  <c r="F110" i="5" s="1"/>
  <c r="F116" i="5" s="1"/>
  <c r="I125" i="19" l="1"/>
  <c r="I126" i="19" s="1"/>
  <c r="J124" i="19"/>
  <c r="G80" i="17"/>
  <c r="G200" i="17"/>
  <c r="H80" i="17"/>
  <c r="G55" i="17"/>
  <c r="G52" i="17"/>
  <c r="G189" i="17" s="1"/>
  <c r="H37" i="17"/>
  <c r="H39" i="17" s="1"/>
  <c r="G41" i="17"/>
  <c r="G188" i="17" s="1"/>
  <c r="H66" i="17"/>
  <c r="I76" i="17"/>
  <c r="L35" i="11"/>
  <c r="L38" i="11" s="1"/>
  <c r="J125" i="19" l="1"/>
  <c r="J126" i="19" s="1"/>
  <c r="K124" i="19"/>
  <c r="H231" i="17"/>
  <c r="G231" i="17"/>
  <c r="I80" i="17"/>
  <c r="I200" i="17"/>
  <c r="G191" i="17"/>
  <c r="G205" i="17" s="1"/>
  <c r="G233" i="17"/>
  <c r="H42" i="17"/>
  <c r="H48" i="17"/>
  <c r="G32" i="17"/>
  <c r="G31" i="17"/>
  <c r="K76" i="17"/>
  <c r="J76" i="17"/>
  <c r="J200" i="17" s="1"/>
  <c r="I66" i="17"/>
  <c r="I72" i="17" s="1"/>
  <c r="H72" i="17"/>
  <c r="M35" i="11"/>
  <c r="M38" i="11" s="1"/>
  <c r="K125" i="19" l="1"/>
  <c r="K126" i="19" s="1"/>
  <c r="L124" i="19"/>
  <c r="K200" i="17"/>
  <c r="J231" i="17"/>
  <c r="I231" i="17"/>
  <c r="K231" i="17"/>
  <c r="H41" i="17"/>
  <c r="K80" i="17"/>
  <c r="J80" i="17"/>
  <c r="K66" i="17"/>
  <c r="J66" i="17"/>
  <c r="H50" i="17"/>
  <c r="H53" i="17" s="1"/>
  <c r="H56" i="17" s="1"/>
  <c r="I37" i="17"/>
  <c r="I39" i="17" s="1"/>
  <c r="G30" i="17"/>
  <c r="H45" i="17"/>
  <c r="O35" i="11"/>
  <c r="O38" i="11" s="1"/>
  <c r="N35" i="11"/>
  <c r="N38" i="11" s="1"/>
  <c r="M124" i="19" l="1"/>
  <c r="L125" i="19"/>
  <c r="L126" i="19" s="1"/>
  <c r="D129" i="19" s="1"/>
  <c r="H188" i="17"/>
  <c r="H170" i="17"/>
  <c r="H234" i="17" s="1"/>
  <c r="H31" i="17"/>
  <c r="K72" i="17"/>
  <c r="I42" i="17"/>
  <c r="J72" i="17"/>
  <c r="H52" i="17"/>
  <c r="H189" i="17" s="1"/>
  <c r="N124" i="19" l="1"/>
  <c r="M125" i="19"/>
  <c r="M126" i="19" s="1"/>
  <c r="H233" i="17"/>
  <c r="H191" i="17"/>
  <c r="H205" i="17" s="1"/>
  <c r="I48" i="17"/>
  <c r="H32" i="17"/>
  <c r="H30" i="17" s="1"/>
  <c r="I41" i="17"/>
  <c r="I188" i="17" s="1"/>
  <c r="I45" i="17"/>
  <c r="O124" i="19" l="1"/>
  <c r="N125" i="19"/>
  <c r="N126" i="19" s="1"/>
  <c r="I31" i="17"/>
  <c r="J37" i="17"/>
  <c r="J39" i="17" s="1"/>
  <c r="I50" i="17"/>
  <c r="I53" i="17" s="1"/>
  <c r="I170" i="17" s="1"/>
  <c r="I234" i="17" s="1"/>
  <c r="E67" i="11"/>
  <c r="K40" i="11"/>
  <c r="K42" i="11" s="1"/>
  <c r="K58" i="11" s="1"/>
  <c r="K60" i="11" s="1"/>
  <c r="P124" i="19" l="1"/>
  <c r="O125" i="19"/>
  <c r="I56" i="17"/>
  <c r="I52" i="17"/>
  <c r="I189" i="17" s="1"/>
  <c r="J42" i="17"/>
  <c r="L40" i="11"/>
  <c r="P125" i="19" l="1"/>
  <c r="P126" i="19" s="1"/>
  <c r="D131" i="19" s="1"/>
  <c r="O126" i="19"/>
  <c r="D130" i="19" s="1"/>
  <c r="D132" i="19" s="1"/>
  <c r="D134" i="19" s="1"/>
  <c r="D136" i="19" s="1"/>
  <c r="I191" i="17"/>
  <c r="I205" i="17" s="1"/>
  <c r="I233" i="17"/>
  <c r="J45" i="17"/>
  <c r="J41" i="17"/>
  <c r="J188" i="17" s="1"/>
  <c r="J48" i="17"/>
  <c r="I32" i="17"/>
  <c r="I30" i="17" s="1"/>
  <c r="M40" i="11"/>
  <c r="L42" i="11"/>
  <c r="L58" i="11" s="1"/>
  <c r="L60" i="11" s="1"/>
  <c r="J31" i="17" l="1"/>
  <c r="K37" i="17"/>
  <c r="K39" i="17" s="1"/>
  <c r="J50" i="17"/>
  <c r="J53" i="17" s="1"/>
  <c r="J170" i="17" s="1"/>
  <c r="J234" i="17" s="1"/>
  <c r="N40" i="11"/>
  <c r="M42" i="11"/>
  <c r="M58" i="11" s="1"/>
  <c r="M60" i="11" s="1"/>
  <c r="J52" i="17" l="1"/>
  <c r="J189" i="17" s="1"/>
  <c r="K42" i="17"/>
  <c r="J56" i="17"/>
  <c r="O40" i="11"/>
  <c r="D65" i="11" s="1"/>
  <c r="D66" i="11" s="1"/>
  <c r="N42" i="11"/>
  <c r="N58" i="11" s="1"/>
  <c r="N60" i="11" s="1"/>
  <c r="J191" i="17" l="1"/>
  <c r="J205" i="17" s="1"/>
  <c r="J233" i="17"/>
  <c r="K41" i="17"/>
  <c r="K45" i="17"/>
  <c r="J32" i="17"/>
  <c r="J30" i="17" s="1"/>
  <c r="K48" i="17"/>
  <c r="O42" i="11"/>
  <c r="O58" i="11" s="1"/>
  <c r="E69" i="11"/>
  <c r="E73" i="11" s="1"/>
  <c r="E74" i="11" s="1"/>
  <c r="K188" i="17" l="1"/>
  <c r="K31" i="17"/>
  <c r="K50" i="17"/>
  <c r="K53" i="17" s="1"/>
  <c r="K170" i="17" s="1"/>
  <c r="K234" i="17" s="1"/>
  <c r="J95" i="11"/>
  <c r="K56" i="17" l="1"/>
  <c r="J98" i="11"/>
  <c r="J102" i="11" s="1"/>
  <c r="J104" i="11" s="1"/>
  <c r="J106" i="11" s="1"/>
  <c r="J122" i="11" s="1"/>
  <c r="J124" i="11" s="1"/>
  <c r="K95" i="11"/>
  <c r="K52" i="17"/>
  <c r="K189" i="17" s="1"/>
  <c r="K233" i="17" s="1"/>
  <c r="K191" i="17" l="1"/>
  <c r="K205" i="17" s="1"/>
  <c r="K32" i="17"/>
  <c r="K30" i="17" s="1"/>
  <c r="L95" i="11"/>
  <c r="K98" i="11"/>
  <c r="K102" i="11" s="1"/>
  <c r="K104" i="11" s="1"/>
  <c r="K106" i="11" s="1"/>
  <c r="K122" i="11" s="1"/>
  <c r="K124" i="11" s="1"/>
  <c r="M95" i="11" l="1"/>
  <c r="L98" i="11"/>
  <c r="L102" i="11" s="1"/>
  <c r="L104" i="11" s="1"/>
  <c r="L106" i="11" s="1"/>
  <c r="L122" i="11" s="1"/>
  <c r="L124" i="11" s="1"/>
  <c r="M98" i="11" l="1"/>
  <c r="M102" i="11" s="1"/>
  <c r="M104" i="11" s="1"/>
  <c r="M106" i="11" s="1"/>
  <c r="M122" i="11" s="1"/>
  <c r="M124" i="11" s="1"/>
  <c r="N95" i="11"/>
  <c r="N98" i="11" l="1"/>
  <c r="N102" i="11" s="1"/>
  <c r="N104" i="11" s="1"/>
  <c r="N106" i="11" s="1"/>
  <c r="N122" i="11" s="1"/>
  <c r="N124" i="11" s="1"/>
  <c r="P95" i="11"/>
  <c r="P98" i="11" s="1"/>
  <c r="P102" i="11" s="1"/>
  <c r="P104" i="11" s="1"/>
  <c r="O95" i="11"/>
  <c r="O98" i="11" s="1"/>
  <c r="O102" i="11" s="1"/>
  <c r="O104" i="11" s="1"/>
  <c r="D129" i="11" l="1"/>
  <c r="D130" i="11" s="1"/>
  <c r="E133" i="11" s="1"/>
  <c r="E137" i="11" s="1"/>
  <c r="E138" i="11" s="1"/>
  <c r="O106" i="11"/>
  <c r="O122" i="11" s="1"/>
  <c r="O124" i="11" s="1"/>
  <c r="P106" i="11"/>
  <c r="I129" i="11"/>
  <c r="I130" i="11" s="1"/>
  <c r="J133" i="11" l="1"/>
  <c r="J137" i="11" s="1"/>
  <c r="J138" i="11" s="1"/>
  <c r="B160" i="17" l="1"/>
  <c r="H160" i="17"/>
  <c r="F160" i="17"/>
  <c r="G160" i="17"/>
  <c r="I160" i="17"/>
  <c r="E160" i="17"/>
  <c r="C160" i="17"/>
  <c r="J160" i="17"/>
  <c r="D160" i="17"/>
  <c r="K160" i="17"/>
  <c r="B167" i="17"/>
  <c r="B168" i="17" s="1"/>
  <c r="B172" i="17" l="1"/>
  <c r="B176" i="17" l="1"/>
  <c r="B179" i="17" s="1"/>
  <c r="G167" i="17"/>
  <c r="G168" i="17" s="1"/>
  <c r="F167" i="17"/>
  <c r="F168" i="17" s="1"/>
  <c r="E167" i="17"/>
  <c r="E172" i="17" s="1"/>
  <c r="E219" i="17" s="1"/>
  <c r="X219" i="17" s="1"/>
  <c r="C167" i="17"/>
  <c r="C172" i="17" s="1"/>
  <c r="C219" i="17" s="1"/>
  <c r="V219" i="17" s="1"/>
  <c r="K167" i="17"/>
  <c r="I167" i="17"/>
  <c r="D167" i="17"/>
  <c r="D168" i="17" s="1"/>
  <c r="H167" i="17"/>
  <c r="J167" i="17"/>
  <c r="J168" i="17" s="1"/>
  <c r="K172" i="17" l="1"/>
  <c r="K168" i="17"/>
  <c r="I172" i="17"/>
  <c r="I173" i="17" s="1"/>
  <c r="I168" i="17"/>
  <c r="U179" i="17"/>
  <c r="B181" i="17"/>
  <c r="H172" i="17"/>
  <c r="H168" i="17"/>
  <c r="K219" i="17"/>
  <c r="K124" i="17"/>
  <c r="K126" i="17" s="1"/>
  <c r="H219" i="17"/>
  <c r="H124" i="17"/>
  <c r="H126" i="17" s="1"/>
  <c r="G172" i="17"/>
  <c r="D172" i="17"/>
  <c r="C176" i="17"/>
  <c r="H176" i="17"/>
  <c r="H173" i="17"/>
  <c r="K173" i="17"/>
  <c r="K176" i="17"/>
  <c r="E176" i="17"/>
  <c r="F172" i="17"/>
  <c r="F219" i="17" s="1"/>
  <c r="Y219" i="17" s="1"/>
  <c r="C168" i="17"/>
  <c r="E168" i="17"/>
  <c r="J172" i="17"/>
  <c r="I124" i="17" l="1"/>
  <c r="I126" i="17" s="1"/>
  <c r="I176" i="17"/>
  <c r="I219" i="17"/>
  <c r="H120" i="17"/>
  <c r="K120" i="17"/>
  <c r="J219" i="17"/>
  <c r="J124" i="17"/>
  <c r="J126" i="17" s="1"/>
  <c r="G173" i="17"/>
  <c r="G124" i="17"/>
  <c r="G126" i="17" s="1"/>
  <c r="G219" i="17"/>
  <c r="I120" i="17"/>
  <c r="G176" i="17"/>
  <c r="E179" i="17"/>
  <c r="E221" i="17"/>
  <c r="X221" i="17" s="1"/>
  <c r="X222" i="17" s="1"/>
  <c r="X239" i="17" s="1"/>
  <c r="C179" i="17"/>
  <c r="C221" i="17"/>
  <c r="V221" i="17" s="1"/>
  <c r="V222" i="17" s="1"/>
  <c r="V239" i="17" s="1"/>
  <c r="D176" i="17"/>
  <c r="D219" i="17"/>
  <c r="W219" i="17" s="1"/>
  <c r="F176" i="17"/>
  <c r="F173" i="17"/>
  <c r="J176" i="17"/>
  <c r="J173" i="17"/>
  <c r="F107" i="19" l="1"/>
  <c r="E181" i="17"/>
  <c r="E246" i="17" s="1"/>
  <c r="X246" i="17" s="1"/>
  <c r="X179" i="17"/>
  <c r="C181" i="17"/>
  <c r="C246" i="17" s="1"/>
  <c r="V246" i="17" s="1"/>
  <c r="V179" i="17"/>
  <c r="V244" i="17"/>
  <c r="D68" i="19" s="1"/>
  <c r="D107" i="19"/>
  <c r="J120" i="17"/>
  <c r="G120" i="17"/>
  <c r="K130" i="17"/>
  <c r="K122" i="17"/>
  <c r="K128" i="17" s="1"/>
  <c r="I130" i="17"/>
  <c r="I122" i="17"/>
  <c r="I128" i="17" s="1"/>
  <c r="H130" i="17"/>
  <c r="H122" i="17"/>
  <c r="H128" i="17" s="1"/>
  <c r="C222" i="17"/>
  <c r="C239" i="17" s="1"/>
  <c r="C243" i="17"/>
  <c r="V243" i="17" s="1"/>
  <c r="E222" i="17"/>
  <c r="E239" i="17" s="1"/>
  <c r="E244" i="17" s="1"/>
  <c r="E247" i="17" s="1"/>
  <c r="X247" i="17" s="1"/>
  <c r="E243" i="17"/>
  <c r="X243" i="17" s="1"/>
  <c r="X244" i="17" s="1"/>
  <c r="F68" i="19" s="1"/>
  <c r="D179" i="17"/>
  <c r="D221" i="17"/>
  <c r="F179" i="17"/>
  <c r="F221" i="17"/>
  <c r="Y221" i="17" s="1"/>
  <c r="Y222" i="17" s="1"/>
  <c r="Y239" i="17" s="1"/>
  <c r="F181" i="17" l="1"/>
  <c r="F246" i="17" s="1"/>
  <c r="Y246" i="17" s="1"/>
  <c r="Y179" i="17"/>
  <c r="D243" i="17"/>
  <c r="W243" i="17" s="1"/>
  <c r="W221" i="17"/>
  <c r="W222" i="17" s="1"/>
  <c r="W239" i="17" s="1"/>
  <c r="D181" i="17"/>
  <c r="D246" i="17" s="1"/>
  <c r="W246" i="17" s="1"/>
  <c r="W179" i="17"/>
  <c r="G107" i="19"/>
  <c r="I178" i="17"/>
  <c r="I131" i="17"/>
  <c r="K178" i="17"/>
  <c r="K131" i="17"/>
  <c r="G122" i="17"/>
  <c r="G128" i="17" s="1"/>
  <c r="G130" i="17"/>
  <c r="J130" i="17"/>
  <c r="J122" i="17"/>
  <c r="J128" i="17" s="1"/>
  <c r="H178" i="17"/>
  <c r="H131" i="17"/>
  <c r="D222" i="17"/>
  <c r="D239" i="17" s="1"/>
  <c r="D244" i="17" s="1"/>
  <c r="D247" i="17" s="1"/>
  <c r="W247" i="17" s="1"/>
  <c r="F222" i="17"/>
  <c r="F239" i="17" s="1"/>
  <c r="F243" i="17"/>
  <c r="Y243" i="17" s="1"/>
  <c r="Y244" i="17" s="1"/>
  <c r="G68" i="19" s="1"/>
  <c r="H69" i="19" s="1"/>
  <c r="C244" i="17"/>
  <c r="C247" i="17" s="1"/>
  <c r="V247" i="17" s="1"/>
  <c r="W244" i="17" l="1"/>
  <c r="E68" i="19" s="1"/>
  <c r="F69" i="19" s="1"/>
  <c r="E107" i="19"/>
  <c r="G108" i="19"/>
  <c r="H108" i="19"/>
  <c r="J178" i="17"/>
  <c r="J131" i="17"/>
  <c r="G178" i="17"/>
  <c r="G131" i="17"/>
  <c r="K220" i="17"/>
  <c r="K179" i="17"/>
  <c r="K180" i="17" s="1"/>
  <c r="K181" i="17" s="1"/>
  <c r="K246" i="17" s="1"/>
  <c r="H220" i="17"/>
  <c r="H179" i="17"/>
  <c r="H180" i="17" s="1"/>
  <c r="H181" i="17" s="1"/>
  <c r="H246" i="17" s="1"/>
  <c r="I220" i="17"/>
  <c r="I179" i="17"/>
  <c r="I180" i="17" s="1"/>
  <c r="I181" i="17" s="1"/>
  <c r="I246" i="17" s="1"/>
  <c r="F244" i="17"/>
  <c r="F247" i="17" s="1"/>
  <c r="Y247" i="17" s="1"/>
  <c r="E108" i="19" l="1"/>
  <c r="F108" i="19"/>
  <c r="G220" i="17"/>
  <c r="G179" i="17"/>
  <c r="G180" i="17" s="1"/>
  <c r="G181" i="17" s="1"/>
  <c r="G246" i="17" s="1"/>
  <c r="H221" i="17"/>
  <c r="H243" i="17" s="1"/>
  <c r="K221" i="17"/>
  <c r="K243" i="17" s="1"/>
  <c r="I221" i="17"/>
  <c r="I243" i="17" s="1"/>
  <c r="J220" i="17"/>
  <c r="J179" i="17"/>
  <c r="J180" i="17" s="1"/>
  <c r="J181" i="17" s="1"/>
  <c r="J246" i="17" s="1"/>
  <c r="H222" i="17" l="1"/>
  <c r="H239" i="17" s="1"/>
  <c r="H244" i="17" s="1"/>
  <c r="H247" i="17" s="1"/>
  <c r="K222" i="17"/>
  <c r="K239" i="17" s="1"/>
  <c r="K244" i="17" s="1"/>
  <c r="K247" i="17" s="1"/>
  <c r="I222" i="17"/>
  <c r="I239" i="17" s="1"/>
  <c r="I244" i="17" s="1"/>
  <c r="I247" i="17" s="1"/>
  <c r="J221" i="17"/>
  <c r="J243" i="17" s="1"/>
  <c r="G221" i="17"/>
  <c r="G243" i="17" s="1"/>
  <c r="J222" i="17" l="1"/>
  <c r="J239" i="17" s="1"/>
  <c r="J244" i="17" s="1"/>
  <c r="J247" i="17" s="1"/>
  <c r="G222" i="17"/>
  <c r="G239" i="17" s="1"/>
  <c r="G244" i="17" s="1"/>
  <c r="G247" i="17" s="1"/>
  <c r="G252" i="17" s="1"/>
  <c r="G210" i="17" l="1"/>
  <c r="G211" i="17" s="1"/>
  <c r="G213" i="17" s="1"/>
  <c r="H251" i="17"/>
  <c r="H252" i="17" s="1"/>
  <c r="I251" i="17" l="1"/>
  <c r="I252" i="17" s="1"/>
  <c r="H210" i="17"/>
  <c r="H211" i="17" s="1"/>
  <c r="H213" i="17" s="1"/>
  <c r="I210" i="17" l="1"/>
  <c r="I211" i="17" s="1"/>
  <c r="I213" i="17" s="1"/>
  <c r="J251" i="17"/>
  <c r="J252" i="17" s="1"/>
  <c r="J210" i="17" l="1"/>
  <c r="J211" i="17" s="1"/>
  <c r="J213" i="17" s="1"/>
  <c r="K251" i="17"/>
  <c r="K252" i="17" s="1"/>
  <c r="K210" i="17" s="1"/>
  <c r="K211" i="17" s="1"/>
  <c r="K213" i="17" s="1"/>
  <c r="F127" i="2"/>
  <c r="S39" i="1"/>
  <c r="J184" i="1"/>
  <c r="E142" i="2"/>
  <c r="D127" i="2"/>
  <c r="D157" i="2"/>
  <c r="D147" i="2"/>
  <c r="D151" i="2"/>
  <c r="D150" i="2"/>
  <c r="G128" i="2"/>
  <c r="G127" i="2"/>
  <c r="P33" i="1"/>
  <c r="P174" i="1"/>
  <c r="P87" i="1"/>
  <c r="D128" i="2"/>
  <c r="G131" i="2"/>
  <c r="Q174" i="1"/>
  <c r="Q87" i="1"/>
  <c r="D131" i="2"/>
  <c r="I184" i="1"/>
  <c r="H95" i="1"/>
  <c r="H184" i="1"/>
  <c r="H46" i="1"/>
  <c r="Q39" i="1"/>
  <c r="R33" i="1"/>
  <c r="F131" i="2"/>
  <c r="P39" i="1"/>
  <c r="G33" i="1"/>
  <c r="G46" i="1"/>
  <c r="G95" i="1"/>
  <c r="G184" i="1"/>
  <c r="F33" i="1"/>
  <c r="F46" i="1"/>
  <c r="F95" i="1"/>
  <c r="F184" i="1"/>
  <c r="I95" i="1"/>
  <c r="R87" i="1"/>
  <c r="R174" i="1"/>
  <c r="S33" i="1"/>
  <c r="F128" i="2"/>
  <c r="E150" i="2"/>
  <c r="E126" i="2"/>
  <c r="E129" i="2"/>
  <c r="E133" i="2"/>
  <c r="E141" i="2"/>
  <c r="E147" i="2"/>
  <c r="E151" i="2"/>
  <c r="E157" i="2"/>
  <c r="E131" i="2"/>
  <c r="D126" i="2"/>
  <c r="D129" i="2"/>
  <c r="D133" i="2"/>
  <c r="D141" i="2"/>
  <c r="D142" i="2"/>
  <c r="E127" i="2"/>
  <c r="G157" i="2"/>
  <c r="G147" i="2"/>
  <c r="G151" i="2"/>
  <c r="G150" i="2"/>
  <c r="F142" i="2"/>
  <c r="H33" i="1"/>
  <c r="Q33" i="1"/>
  <c r="G126" i="2"/>
  <c r="G129" i="2"/>
  <c r="G133" i="2"/>
  <c r="G141" i="2"/>
  <c r="G142" i="2"/>
  <c r="F150" i="2"/>
  <c r="F126" i="2"/>
  <c r="F129" i="2"/>
  <c r="F133" i="2"/>
  <c r="F141" i="2"/>
  <c r="F147" i="2"/>
  <c r="F151" i="2"/>
  <c r="F157" i="2"/>
  <c r="I33" i="1"/>
  <c r="I46" i="1"/>
  <c r="R39" i="1"/>
  <c r="J33" i="1"/>
  <c r="J46" i="1"/>
  <c r="J95" i="1"/>
  <c r="S87" i="1"/>
  <c r="S174" i="1"/>
  <c r="E128" i="2"/>
</calcChain>
</file>

<file path=xl/sharedStrings.xml><?xml version="1.0" encoding="utf-8"?>
<sst xmlns="http://schemas.openxmlformats.org/spreadsheetml/2006/main" count="1512" uniqueCount="812">
  <si>
    <t>BALANCE SHEET</t>
  </si>
  <si>
    <t>(EUR m)</t>
  </si>
  <si>
    <t>ASSET:</t>
  </si>
  <si>
    <t>NON-CURRENT ASSETS</t>
  </si>
  <si>
    <t>ATTIVITÀ NON CORRENTI</t>
  </si>
  <si>
    <t>Tangible assets:</t>
  </si>
  <si>
    <t>Immobilizzazioni materiali</t>
  </si>
  <si>
    <t>Land</t>
  </si>
  <si>
    <t>Buildings</t>
  </si>
  <si>
    <t>Plant and machinery</t>
  </si>
  <si>
    <t>Industrial and commercial equipment</t>
  </si>
  <si>
    <t>Other assets</t>
  </si>
  <si>
    <t>Landfills</t>
  </si>
  <si>
    <t>Construction in progress and advances</t>
  </si>
  <si>
    <t>Leasehold improvements</t>
  </si>
  <si>
    <t>Assets for rights of use</t>
  </si>
  <si>
    <t>Total</t>
  </si>
  <si>
    <t>of which:</t>
  </si>
  <si>
    <t>Historical cost</t>
  </si>
  <si>
    <t>Accumulated amortization</t>
  </si>
  <si>
    <t>Write-downs</t>
  </si>
  <si>
    <t>Intangible assets:</t>
  </si>
  <si>
    <t>Immobilizzazioni immateriali</t>
  </si>
  <si>
    <t>Industrial patents and intellectual property rights</t>
  </si>
  <si>
    <t>Concessions, licences, trademarks and similar rights</t>
  </si>
  <si>
    <t>Goodwill</t>
  </si>
  <si>
    <t>Assets in progress</t>
  </si>
  <si>
    <t>Other intangible assets</t>
  </si>
  <si>
    <t>Shareholdings and other non-current financial assets:</t>
  </si>
  <si>
    <t>Shareholdings carried according to equity method:</t>
  </si>
  <si>
    <t>Partecipazioni valutate col metodo del Patrimonio netto</t>
  </si>
  <si>
    <t>Other non-current financial assets</t>
  </si>
  <si>
    <t>Altre attività finanziarie non correnti</t>
  </si>
  <si>
    <t>Deferred tax assets</t>
  </si>
  <si>
    <t>Attività per imposte anticipate</t>
  </si>
  <si>
    <t>Other non-current financial assets:</t>
  </si>
  <si>
    <t>Non-current derivatives</t>
  </si>
  <si>
    <t>Other non-current assets</t>
  </si>
  <si>
    <t>TOTAL NON-CURRENT ASSETS</t>
  </si>
  <si>
    <t>CURRENT ASSETS</t>
  </si>
  <si>
    <t>Inventories:</t>
  </si>
  <si>
    <t>Materials</t>
  </si>
  <si>
    <t>Material obsolescence provision</t>
  </si>
  <si>
    <t>Total material</t>
  </si>
  <si>
    <t>Fuel</t>
  </si>
  <si>
    <t>Other</t>
  </si>
  <si>
    <t>Raw and ancillary materials and consumables</t>
  </si>
  <si>
    <t>Third-party fuel</t>
  </si>
  <si>
    <t>Trade receivables:</t>
  </si>
  <si>
    <t>Trade receivables - invoices issued</t>
  </si>
  <si>
    <t>Trade receivables - invoices to be issued</t>
  </si>
  <si>
    <t>(Bad debts provision)</t>
  </si>
  <si>
    <t>Other current assets:</t>
  </si>
  <si>
    <t>Current derivatives (commodity derivatives)</t>
  </si>
  <si>
    <t xml:space="preserve">DEBT/ EQUITY RATIO (p.7) </t>
  </si>
  <si>
    <t>Other current assets of which:</t>
  </si>
  <si>
    <t>receivables from Cassa per i Servizi Energetici e Ambientali</t>
  </si>
  <si>
    <t>advances to suppliers</t>
  </si>
  <si>
    <t>receivables from employees</t>
  </si>
  <si>
    <t>tax receivables</t>
  </si>
  <si>
    <t>receivables related to future years</t>
  </si>
  <si>
    <t>receivables from Ergosud</t>
  </si>
  <si>
    <t>receivables from social security entities</t>
  </si>
  <si>
    <t>stamp office</t>
  </si>
  <si>
    <t>receivables for damage compensation</t>
  </si>
  <si>
    <t>other recivables EPCG</t>
  </si>
  <si>
    <t>receivables for COSAP advances</t>
  </si>
  <si>
    <t>receivables for security deposits</t>
  </si>
  <si>
    <t>receivables for RAI fee</t>
  </si>
  <si>
    <t>sundry receivables for hedging</t>
  </si>
  <si>
    <t>other sundry receivables</t>
  </si>
  <si>
    <t>Current financial assets:</t>
  </si>
  <si>
    <t>Other financial assets</t>
  </si>
  <si>
    <t>Other financial assets from related parties</t>
  </si>
  <si>
    <t>Other financial assets from assets held for sale</t>
  </si>
  <si>
    <t>Current tax assets</t>
  </si>
  <si>
    <t>Attività per imposte correnti</t>
  </si>
  <si>
    <t>Cash and cash equivalents</t>
  </si>
  <si>
    <t>Disponibilità liquide e mezzi equivalenti</t>
  </si>
  <si>
    <t>TOTAL CURRENT ASSETS</t>
  </si>
  <si>
    <t>NON-CURRENT ASSETS HELD FOR SALE</t>
  </si>
  <si>
    <t>ATTIVITÀ NON CORRENTI DESTINATE ALLA VENDITA</t>
  </si>
  <si>
    <t>TOTAL ASSETS</t>
  </si>
  <si>
    <t>TOTALE ATTIVO</t>
  </si>
  <si>
    <t>EQUITY AND LIABILITIES:</t>
  </si>
  <si>
    <t>EQUITY</t>
  </si>
  <si>
    <t>PATRIMONIO NETTO</t>
  </si>
  <si>
    <t>Share capital</t>
  </si>
  <si>
    <t>Capitale sociale</t>
  </si>
  <si>
    <t>(Azioni proprie)</t>
  </si>
  <si>
    <t>Riserve</t>
  </si>
  <si>
    <t>Change in the fair value of cash flow hedge derivatives and fair value bonds</t>
  </si>
  <si>
    <t>Tax effect</t>
  </si>
  <si>
    <t>Cash flow hedge reserves</t>
  </si>
  <si>
    <t>Change in the IAS 19 Revised reserve - Employee Benefits</t>
  </si>
  <si>
    <t>IAS 19 Revised reserve - Employee Benefits</t>
  </si>
  <si>
    <t>Result of the year(period)</t>
  </si>
  <si>
    <t>Risultato d’esercizio</t>
  </si>
  <si>
    <t>Equity pertaining to the Group</t>
  </si>
  <si>
    <t xml:space="preserve">Patrimonio netto di gruppo </t>
  </si>
  <si>
    <t>Minority interests</t>
  </si>
  <si>
    <t>Interessi di minoranze</t>
  </si>
  <si>
    <t>TOTAL EQUITY</t>
  </si>
  <si>
    <t>LIABILITIES</t>
  </si>
  <si>
    <t>NON-CURRENT LIABILITIES</t>
  </si>
  <si>
    <t>Non-current financial liabilities:</t>
  </si>
  <si>
    <t>Non-convertible bonds</t>
  </si>
  <si>
    <t>Payables to banks</t>
  </si>
  <si>
    <t>Non-current financial payables for rights of use</t>
  </si>
  <si>
    <t>Payables to other lenders</t>
  </si>
  <si>
    <t xml:space="preserve">Total </t>
  </si>
  <si>
    <t>Employee benefits:</t>
  </si>
  <si>
    <t>Employee leaving entitlement (TFR)</t>
  </si>
  <si>
    <t>Employee benefits</t>
  </si>
  <si>
    <t>Provisions for risks, charges and liabilities for landfills:</t>
  </si>
  <si>
    <t>Decommissioning provisions</t>
  </si>
  <si>
    <t>Landfill closing and post-closing expense provisions</t>
  </si>
  <si>
    <t>Tax provisions</t>
  </si>
  <si>
    <t>Personnel lawsuits and disputes provisions</t>
  </si>
  <si>
    <t>Other risk provisions</t>
  </si>
  <si>
    <t>Other non-current liabilities:</t>
  </si>
  <si>
    <t>Other non-current liabilities</t>
  </si>
  <si>
    <t>TOTAL NON-CURRENT LIABILITIES</t>
  </si>
  <si>
    <t xml:space="preserve">CURRENT LIABILITIES </t>
  </si>
  <si>
    <t>Trade payables:</t>
  </si>
  <si>
    <t>Advances</t>
  </si>
  <si>
    <t>Payables to suppliers</t>
  </si>
  <si>
    <t>Other current liabilities:</t>
  </si>
  <si>
    <t>Payables to pension and social security institutions</t>
  </si>
  <si>
    <t>Other current liabilities of which:</t>
  </si>
  <si>
    <t>Payables to personnel</t>
  </si>
  <si>
    <t>Payables to Cassa per i Servizi Energetici e Ambientali</t>
  </si>
  <si>
    <t>Tax payables</t>
  </si>
  <si>
    <t>Payables for tax transparency</t>
  </si>
  <si>
    <t>Payables for energy tariff components</t>
  </si>
  <si>
    <t>Payables for LGH</t>
  </si>
  <si>
    <t>Payables for EPCG</t>
  </si>
  <si>
    <t>Payables for A.T.O.</t>
  </si>
  <si>
    <t>Payables to customers for work to be performed</t>
  </si>
  <si>
    <t>Payables to customers for interest on security deposits</t>
  </si>
  <si>
    <t xml:space="preserve">debt for next period </t>
  </si>
  <si>
    <t>Payables to third-party shareholders</t>
  </si>
  <si>
    <t>Payables for the purchase of equity investments</t>
  </si>
  <si>
    <t>Payables for auxiliary services</t>
  </si>
  <si>
    <t>Payables for collections to be allocated</t>
  </si>
  <si>
    <t>Payables to insurance companies</t>
  </si>
  <si>
    <t>Payables for excise compensation</t>
  </si>
  <si>
    <t>Payables for environmental compensation</t>
  </si>
  <si>
    <t>Payables for RAI fee</t>
  </si>
  <si>
    <t>Sundry payables</t>
  </si>
  <si>
    <t>Current financial liabilities:</t>
  </si>
  <si>
    <t>Current financial payables for rights of use</t>
  </si>
  <si>
    <t>Financial payables to related parties</t>
  </si>
  <si>
    <t>Tax liabilities</t>
  </si>
  <si>
    <t>TOTAL CURRENT LIABILITIES</t>
  </si>
  <si>
    <t xml:space="preserve">TOTAL LIABILITIES  </t>
  </si>
  <si>
    <t>LIABILITIES DIRECTLY ASSOCIATED WITH NON-CURRENT ASSETS HELD FOR SALE</t>
  </si>
  <si>
    <t>TOTAL EQUITY AND LIABILITIES</t>
  </si>
  <si>
    <t xml:space="preserve">Historical data </t>
  </si>
  <si>
    <t>(check )</t>
  </si>
  <si>
    <t>Reserves</t>
  </si>
  <si>
    <t>Treasury shares</t>
  </si>
  <si>
    <t>water derivation fee recivables</t>
  </si>
  <si>
    <t xml:space="preserve">Historical results </t>
  </si>
  <si>
    <t xml:space="preserve">Changes % </t>
  </si>
  <si>
    <t>Revenues</t>
  </si>
  <si>
    <t>Ricavi</t>
  </si>
  <si>
    <t>Revenues from the sale of goods</t>
  </si>
  <si>
    <t xml:space="preserve">Ricavi di vendita </t>
  </si>
  <si>
    <t xml:space="preserve">Revenues from services </t>
  </si>
  <si>
    <t xml:space="preserve">Ricavi da prestazioni </t>
  </si>
  <si>
    <t xml:space="preserve">Total revenues from sale of goods and serv </t>
  </si>
  <si>
    <t xml:space="preserve">Totale ricavi di vendita e da prestazioni </t>
  </si>
  <si>
    <t>Other operating revenues</t>
  </si>
  <si>
    <t>Altri ricavi operativi</t>
  </si>
  <si>
    <t>Totale ricavi</t>
  </si>
  <si>
    <t>Costi operativi</t>
  </si>
  <si>
    <t xml:space="preserve">Expenses for raw materials </t>
  </si>
  <si>
    <t xml:space="preserve">Costi per materie prime </t>
  </si>
  <si>
    <t>Expenses for  services</t>
  </si>
  <si>
    <t xml:space="preserve">Costi per servizi </t>
  </si>
  <si>
    <t xml:space="preserve">Total for raw materials and services </t>
  </si>
  <si>
    <t xml:space="preserve">Costi per materie prime e servizi </t>
  </si>
  <si>
    <t>Other operating expenses</t>
  </si>
  <si>
    <t>Altri costi operativi</t>
  </si>
  <si>
    <t>Totale costi operativi</t>
  </si>
  <si>
    <t>Costi per il personale</t>
  </si>
  <si>
    <t xml:space="preserve">Wages and salaries </t>
  </si>
  <si>
    <t xml:space="preserve">Salari e stipendi </t>
  </si>
  <si>
    <t xml:space="preserve">Social security charges </t>
  </si>
  <si>
    <t xml:space="preserve">Oneri sociali </t>
  </si>
  <si>
    <t>TFR</t>
  </si>
  <si>
    <t xml:space="preserve">Other costs </t>
  </si>
  <si>
    <t xml:space="preserve">Altri costi   </t>
  </si>
  <si>
    <t>Total labour costs before capitalizations</t>
  </si>
  <si>
    <t xml:space="preserve">Totale costi per il personale prima della capitalizzazione </t>
  </si>
  <si>
    <t xml:space="preserve">Capitalized labour costs </t>
  </si>
  <si>
    <t xml:space="preserve">Costi per il personale capitalizzati </t>
  </si>
  <si>
    <t>Gross operating income - (EBITDA)</t>
  </si>
  <si>
    <t>Margine operativo lordo</t>
  </si>
  <si>
    <t>Depreciation, amortization, provisions and write-downs</t>
  </si>
  <si>
    <t>Ammortamenti, accantonamenti e svalutazioni</t>
  </si>
  <si>
    <t xml:space="preserve">Amortization of intangible assets </t>
  </si>
  <si>
    <t xml:space="preserve">Ammortamento immobilizzazioni immateriali </t>
  </si>
  <si>
    <t xml:space="preserve">Depreciation of tangible assets </t>
  </si>
  <si>
    <t xml:space="preserve">Ammortamento immobilizzazioni materiali </t>
  </si>
  <si>
    <t xml:space="preserve">Net-write downs of fixed assets </t>
  </si>
  <si>
    <t xml:space="preserve">Svalutazioni nette nelle immobilizzazioni </t>
  </si>
  <si>
    <t xml:space="preserve">Total amortization, depr and write downs </t>
  </si>
  <si>
    <t xml:space="preserve">Totale ammortamenti e svalutazioni </t>
  </si>
  <si>
    <t xml:space="preserve">Provisions for risks </t>
  </si>
  <si>
    <t xml:space="preserve">Accantonamento per rischi </t>
  </si>
  <si>
    <t xml:space="preserve">Bad debt provision on receivables recog as current assets </t>
  </si>
  <si>
    <t xml:space="preserve">Accantonamento per rischi su crediti nell'attivo circolante </t>
  </si>
  <si>
    <t xml:space="preserve">Totale ammortamenti, accantonamenti e svalutazioni </t>
  </si>
  <si>
    <t>Net operating income - (EBIT)</t>
  </si>
  <si>
    <t>Risultato operativo netto</t>
  </si>
  <si>
    <t>Result from non-recur. Transactions</t>
  </si>
  <si>
    <t>Risultato da transazioni non ricorrenti</t>
  </si>
  <si>
    <t>Financial balance</t>
  </si>
  <si>
    <t>Gestione finanziaria</t>
  </si>
  <si>
    <t>Financial income of which:</t>
  </si>
  <si>
    <t>Proventi finanziari</t>
  </si>
  <si>
    <t>Gains on disposals of financial assets</t>
  </si>
  <si>
    <t xml:space="preserve">Other financial income </t>
  </si>
  <si>
    <t xml:space="preserve">Total financial income </t>
  </si>
  <si>
    <t>Financial expenses of which:</t>
  </si>
  <si>
    <t>Oneri finanziari</t>
  </si>
  <si>
    <t xml:space="preserve">Interest on bond loans </t>
  </si>
  <si>
    <t xml:space="preserve">Interessi su prestiti obbligazionari </t>
  </si>
  <si>
    <t xml:space="preserve">Interest charged by banks </t>
  </si>
  <si>
    <t xml:space="preserve">Interessi verso istituti di credito </t>
  </si>
  <si>
    <t xml:space="preserve">Realized on financial derivatives </t>
  </si>
  <si>
    <t xml:space="preserve">Realized su derivari finanziari </t>
  </si>
  <si>
    <t xml:space="preserve">Decommisioning costs </t>
  </si>
  <si>
    <t>Oneri da decommisioning</t>
  </si>
  <si>
    <t>Other financial expenses</t>
  </si>
  <si>
    <t xml:space="preserve">Altri oneri finanziari </t>
  </si>
  <si>
    <t xml:space="preserve">Total before capitalization </t>
  </si>
  <si>
    <t xml:space="preserve">Totale prima della capitalizzazione </t>
  </si>
  <si>
    <t xml:space="preserve">Capitalized financial expenses </t>
  </si>
  <si>
    <t xml:space="preserve">Oneri finanziari capitalizzati </t>
  </si>
  <si>
    <t xml:space="preserve">Total financial expenses </t>
  </si>
  <si>
    <t xml:space="preserve">Totale oneri finanziari </t>
  </si>
  <si>
    <t>Affiliates</t>
  </si>
  <si>
    <t>Quota dei proventi e degli oneri derivanti dalla valutazione secondo il Patrimonio netto delle partecipazioni</t>
  </si>
  <si>
    <t>Result from disposal of other shareholdings</t>
  </si>
  <si>
    <t>Risultato da cessione di altre partecipazioni (AFS)</t>
  </si>
  <si>
    <t>Total financial balance</t>
  </si>
  <si>
    <t>Totale gestione finanziaria</t>
  </si>
  <si>
    <t>Result before taxes (EBT)</t>
  </si>
  <si>
    <t>Risultato al lordo delle imposte</t>
  </si>
  <si>
    <t>Income taxes</t>
  </si>
  <si>
    <t>Oneri/Proventi per imposte sui redditi</t>
  </si>
  <si>
    <t>Current IRES</t>
  </si>
  <si>
    <t>IRES</t>
  </si>
  <si>
    <t>Current IRAP</t>
  </si>
  <si>
    <t>IRAP</t>
  </si>
  <si>
    <t xml:space="preserve">Effect of differences- taxes of previous years </t>
  </si>
  <si>
    <t xml:space="preserve">Effetto differenze imposte esercizi precedenti </t>
  </si>
  <si>
    <t>Total current taxes</t>
  </si>
  <si>
    <t xml:space="preserve">Totale tasse correnti </t>
  </si>
  <si>
    <t xml:space="preserve">Imposte anticipate </t>
  </si>
  <si>
    <t xml:space="preserve">Deferred tax liabilities </t>
  </si>
  <si>
    <t xml:space="preserve">Imposte differite </t>
  </si>
  <si>
    <t xml:space="preserve">Total losses/gains for income taxes </t>
  </si>
  <si>
    <t xml:space="preserve">Totale oneri/proventi per imposte sui redditi </t>
  </si>
  <si>
    <t>Result after taxes from operating activities</t>
  </si>
  <si>
    <t>Risultato di attività operative in esercizio al netto delle imposte</t>
  </si>
  <si>
    <t>Net result from discontinued operations</t>
  </si>
  <si>
    <t>Risultato netto da attività operative cessate/destinate alla vendita</t>
  </si>
  <si>
    <t>Net result</t>
  </si>
  <si>
    <t>Risultato netto</t>
  </si>
  <si>
    <t>Minorities</t>
  </si>
  <si>
    <t>Risultato di pertinenza di terzi</t>
  </si>
  <si>
    <t>Group result of the year</t>
  </si>
  <si>
    <t>Risultato d’esercizio di pertinenza del Gruppo</t>
  </si>
  <si>
    <t>Result per share (in euro):</t>
  </si>
  <si>
    <t>Risultato per azione (in euro):</t>
  </si>
  <si>
    <t>basic</t>
  </si>
  <si>
    <t xml:space="preserve"> di base</t>
  </si>
  <si>
    <t xml:space="preserve"> basic from continuing operations</t>
  </si>
  <si>
    <t>di base da attività di funzionamento</t>
  </si>
  <si>
    <t>basic from assets held for sale</t>
  </si>
  <si>
    <t>di base da attività destinate alla vendita</t>
  </si>
  <si>
    <t>diluted</t>
  </si>
  <si>
    <t>diluito</t>
  </si>
  <si>
    <t>diluted from continuing operations</t>
  </si>
  <si>
    <t>diluito da attività di funzionamento</t>
  </si>
  <si>
    <t>diluted from assets held for sale</t>
  </si>
  <si>
    <t>diluito da attività destinate alla vendita</t>
  </si>
  <si>
    <t xml:space="preserve">Dividends information </t>
  </si>
  <si>
    <t>Year 2019</t>
  </si>
  <si>
    <t xml:space="preserve">Year 2018 </t>
  </si>
  <si>
    <t>Year 2017</t>
  </si>
  <si>
    <t>Year 2016</t>
  </si>
  <si>
    <t xml:space="preserve">Year 2015 </t>
  </si>
  <si>
    <t xml:space="preserve">Dividend per share </t>
  </si>
  <si>
    <t xml:space="preserve">Total amount of dividend </t>
  </si>
  <si>
    <t xml:space="preserve">Dividend Payout ratio </t>
  </si>
  <si>
    <t xml:space="preserve">Retention ratio </t>
  </si>
  <si>
    <t xml:space="preserve">Weighted average number of outstanding shares for calculation of earnings per share </t>
  </si>
  <si>
    <t xml:space="preserve">REORGANIZED INCOME STATEMENT </t>
  </si>
  <si>
    <t>EBIT</t>
  </si>
  <si>
    <t>EBT</t>
  </si>
  <si>
    <t xml:space="preserve">Total  income taxes </t>
  </si>
  <si>
    <t>EBITDA</t>
  </si>
  <si>
    <t>Ebit(1-t) / Total assets</t>
  </si>
  <si>
    <t>INCOME STATEMENT</t>
  </si>
  <si>
    <t>Operating expenses</t>
  </si>
  <si>
    <t>Labour costs</t>
  </si>
  <si>
    <t>∆% 16</t>
  </si>
  <si>
    <t>∆% 17</t>
  </si>
  <si>
    <t>∆% 18</t>
  </si>
  <si>
    <t>∆% 19</t>
  </si>
  <si>
    <t>REORGANIZED BALANCE SHEET</t>
  </si>
  <si>
    <t>of which included in NPF</t>
  </si>
  <si>
    <t>Inventories</t>
  </si>
  <si>
    <t>Trade receivables</t>
  </si>
  <si>
    <t>Other current assets</t>
  </si>
  <si>
    <t>Current financial assets</t>
  </si>
  <si>
    <t>Non-current asset held for sale</t>
  </si>
  <si>
    <t>Shareholdings and other non-current financial assets</t>
  </si>
  <si>
    <t>Trade payables</t>
  </si>
  <si>
    <t>Other current liabilities</t>
  </si>
  <si>
    <t>Provisions for risks, charges and liabilities for landfills</t>
  </si>
  <si>
    <t>Tangible asset</t>
  </si>
  <si>
    <t>Intangible assets</t>
  </si>
  <si>
    <t>FIXED ASSETS</t>
  </si>
  <si>
    <t xml:space="preserve">OPERATING WORKING CAITAL </t>
  </si>
  <si>
    <t xml:space="preserve">NET WORKING CAPITAL </t>
  </si>
  <si>
    <t>NET INVESTED CAPITAL</t>
  </si>
  <si>
    <t>NET DEBT</t>
  </si>
  <si>
    <t>labour costs</t>
  </si>
  <si>
    <t>Depreciation &amp; Amortization</t>
  </si>
  <si>
    <t xml:space="preserve">other minor </t>
  </si>
  <si>
    <t>NET PROFIT/LOSS</t>
  </si>
  <si>
    <t>Total debt</t>
  </si>
  <si>
    <t xml:space="preserve">Equity </t>
  </si>
  <si>
    <t>Tax assets</t>
  </si>
  <si>
    <t xml:space="preserve">Tax liabilities </t>
  </si>
  <si>
    <t xml:space="preserve">Other liabilities </t>
  </si>
  <si>
    <t>TOTAL EXPENSES</t>
  </si>
  <si>
    <t>REVENUES</t>
  </si>
  <si>
    <t>(check)</t>
  </si>
  <si>
    <t>Revenues from sale of goods and service</t>
  </si>
  <si>
    <t xml:space="preserve">CASH FLOW STATEMENT </t>
  </si>
  <si>
    <t>Reported taxes</t>
  </si>
  <si>
    <t>NOPAT</t>
  </si>
  <si>
    <t xml:space="preserve">∆ Trade recivables </t>
  </si>
  <si>
    <t xml:space="preserve">∆ Other asset </t>
  </si>
  <si>
    <t xml:space="preserve">∆ Other liabilities </t>
  </si>
  <si>
    <t xml:space="preserve">Net Capital Expenditures </t>
  </si>
  <si>
    <t xml:space="preserve">Depreciation &amp; Ammortization </t>
  </si>
  <si>
    <t xml:space="preserve">∆ Provision </t>
  </si>
  <si>
    <t xml:space="preserve">∆ Employees leaving entitlment </t>
  </si>
  <si>
    <t xml:space="preserve">Other minor </t>
  </si>
  <si>
    <t>FCFF</t>
  </si>
  <si>
    <t>%</t>
  </si>
  <si>
    <t xml:space="preserve">Financial items </t>
  </si>
  <si>
    <t>Financial debt issue/(repayment)</t>
  </si>
  <si>
    <t>FCFE</t>
  </si>
  <si>
    <t xml:space="preserve">% </t>
  </si>
  <si>
    <t xml:space="preserve">Equity movements </t>
  </si>
  <si>
    <t>NCF</t>
  </si>
  <si>
    <t>Cash and cash equivalents at Begin of Period</t>
  </si>
  <si>
    <t xml:space="preserve">Cash and cash equivalents at End of Period </t>
  </si>
  <si>
    <t xml:space="preserve"> ∆ Cash </t>
  </si>
  <si>
    <t>∆ TAX asset</t>
  </si>
  <si>
    <t xml:space="preserve">∆ Trade paylables </t>
  </si>
  <si>
    <t xml:space="preserve">∆ Inventory </t>
  </si>
  <si>
    <t xml:space="preserve">∆ WORKING CAPITAL </t>
  </si>
  <si>
    <t xml:space="preserve">∆  NET WORKING CAPITAL </t>
  </si>
  <si>
    <t>Financial items</t>
  </si>
  <si>
    <t xml:space="preserve">Net deferred tax </t>
  </si>
  <si>
    <t xml:space="preserve">Liabilities directly associated with non current assets held for sale </t>
  </si>
  <si>
    <t xml:space="preserve">Shield on financial items </t>
  </si>
  <si>
    <t>Shield on financial items</t>
  </si>
  <si>
    <r>
      <t xml:space="preserve">Check NCF = </t>
    </r>
    <r>
      <rPr>
        <sz val="11"/>
        <color theme="1"/>
        <rFont val="Symbol"/>
        <family val="1"/>
        <charset val="2"/>
      </rPr>
      <t>D</t>
    </r>
    <r>
      <rPr>
        <sz val="11"/>
        <color theme="1"/>
        <rFont val="Biome"/>
        <family val="2"/>
      </rPr>
      <t xml:space="preserve"> Cash? </t>
    </r>
  </si>
  <si>
    <t xml:space="preserve">Approach 1 </t>
  </si>
  <si>
    <t xml:space="preserve">Approach 2 </t>
  </si>
  <si>
    <t xml:space="preserve">Approach 3 </t>
  </si>
  <si>
    <t xml:space="preserve">Risk free rate  (German bunds 10 Y spot rates, daily obs over past two years) </t>
  </si>
  <si>
    <t>Risk free rate</t>
  </si>
  <si>
    <t xml:space="preserve">Default spread on debt (A2A BBB) </t>
  </si>
  <si>
    <t>Spread on debt</t>
  </si>
  <si>
    <t xml:space="preserve">Cost of debt </t>
  </si>
  <si>
    <t xml:space="preserve">Tax Rate </t>
  </si>
  <si>
    <t>Net of taxes cost of debt</t>
  </si>
  <si>
    <t xml:space="preserve">Net of taxes cost of debt </t>
  </si>
  <si>
    <t>Risk free rate (A)</t>
  </si>
  <si>
    <t xml:space="preserve">Stable market risk premium </t>
  </si>
  <si>
    <t xml:space="preserve">Country risk premium </t>
  </si>
  <si>
    <t>Equity risk premium (B)</t>
  </si>
  <si>
    <t>Regression (levered Beta) (C)</t>
  </si>
  <si>
    <t>Bottom up levered beta (C )</t>
  </si>
  <si>
    <t xml:space="preserve">Cost of equity </t>
  </si>
  <si>
    <t>WACC (book value)</t>
  </si>
  <si>
    <t xml:space="preserve">WACC (market value) </t>
  </si>
  <si>
    <t xml:space="preserve">Approach 1: risk free rate, default spread, regression beta </t>
  </si>
  <si>
    <t xml:space="preserve">Approach 3: average cost of debt, regression beta </t>
  </si>
  <si>
    <t>At 31/12/19</t>
  </si>
  <si>
    <t>Equity (bv)</t>
  </si>
  <si>
    <t xml:space="preserve">Equity pertaining to group </t>
  </si>
  <si>
    <t xml:space="preserve">Equity market </t>
  </si>
  <si>
    <t>Market cap (at 31/12/19)</t>
  </si>
  <si>
    <t xml:space="preserve">Debt (Bv) </t>
  </si>
  <si>
    <t xml:space="preserve">Debt( Fair value) </t>
  </si>
  <si>
    <t xml:space="preserve">Fair value of bonds an bank debt </t>
  </si>
  <si>
    <t xml:space="preserve">Non curr fin payables for rights of use </t>
  </si>
  <si>
    <t>Yield to maturity</t>
  </si>
  <si>
    <t>Outstanding bonds</t>
  </si>
  <si>
    <t>Bond2022</t>
  </si>
  <si>
    <t>Bond2025</t>
  </si>
  <si>
    <t>bond2027</t>
  </si>
  <si>
    <t>bond2029</t>
  </si>
  <si>
    <t xml:space="preserve">WACC (book value ) </t>
  </si>
  <si>
    <t xml:space="preserve">Wacc (book value) </t>
  </si>
  <si>
    <t xml:space="preserve">Average Cost of Debt </t>
  </si>
  <si>
    <t xml:space="preserve">Computational references </t>
  </si>
  <si>
    <t xml:space="preserve">For what about cost of Debt in approach 3 </t>
  </si>
  <si>
    <t xml:space="preserve">Average Cost of debt </t>
  </si>
  <si>
    <t xml:space="preserve">Equity to capital (bv) </t>
  </si>
  <si>
    <t>Debt to capital (bv)</t>
  </si>
  <si>
    <t xml:space="preserve">Equity to capital (mv) </t>
  </si>
  <si>
    <t xml:space="preserve">Debt to capital (mv) </t>
  </si>
  <si>
    <t xml:space="preserve">Current value (At 01/04) </t>
  </si>
  <si>
    <t xml:space="preserve">Total Debt </t>
  </si>
  <si>
    <t xml:space="preserve">Bottom up unlevered beta computation </t>
  </si>
  <si>
    <t>Percentage</t>
  </si>
  <si>
    <t xml:space="preserve">Adj Unlev Beta </t>
  </si>
  <si>
    <t xml:space="preserve">Weighted Unlevered Beta </t>
  </si>
  <si>
    <t>Utility (general)</t>
  </si>
  <si>
    <t>Utility (water)</t>
  </si>
  <si>
    <t>Green and renewable energy (25%)</t>
  </si>
  <si>
    <t xml:space="preserve">Environmental and Waste </t>
  </si>
  <si>
    <t xml:space="preserve">Oil/gas distribution </t>
  </si>
  <si>
    <t>Investment &amp; Asset management</t>
  </si>
  <si>
    <t>TOTAL</t>
  </si>
  <si>
    <t xml:space="preserve">Financial balance </t>
  </si>
  <si>
    <t xml:space="preserve">Result after taxes from operating activities </t>
  </si>
  <si>
    <t xml:space="preserve">Net result from discounted operations </t>
  </si>
  <si>
    <t xml:space="preserve">Operating expenses  </t>
  </si>
  <si>
    <t xml:space="preserve">Labour cost </t>
  </si>
  <si>
    <t>Trailing 01/04/15-16</t>
  </si>
  <si>
    <t>01/04/16-17</t>
  </si>
  <si>
    <t>01/04/17-18</t>
  </si>
  <si>
    <t>01/04/18-19</t>
  </si>
  <si>
    <t>01/04/19-20</t>
  </si>
  <si>
    <t xml:space="preserve">Depreciation amortization and write downs </t>
  </si>
  <si>
    <t>Net Result from non-recur. Transactions</t>
  </si>
  <si>
    <t xml:space="preserve">Income taxes </t>
  </si>
  <si>
    <t xml:space="preserve">Net Income </t>
  </si>
  <si>
    <t xml:space="preserve">Minorities </t>
  </si>
  <si>
    <t>Other assets:</t>
  </si>
  <si>
    <t xml:space="preserve">CHECK NET INVESTED CAPITAL </t>
  </si>
  <si>
    <t>Accruals</t>
  </si>
  <si>
    <t xml:space="preserve">Revenues </t>
  </si>
  <si>
    <t xml:space="preserve">Bottom up levered beta computation </t>
  </si>
  <si>
    <t>Current values</t>
  </si>
  <si>
    <t xml:space="preserve">Unlevered Beta </t>
  </si>
  <si>
    <t>Debt to equity ratio (book value)</t>
  </si>
  <si>
    <t xml:space="preserve">Debt to equity ratio market value </t>
  </si>
  <si>
    <t xml:space="preserve">Marginal taxes </t>
  </si>
  <si>
    <t xml:space="preserve">Levered Beta book value </t>
  </si>
  <si>
    <t xml:space="preserve">Levered Beta market value </t>
  </si>
  <si>
    <t xml:space="preserve">Approach 2: risk free rate, default spread, bottom up beta (at market values) </t>
  </si>
  <si>
    <t xml:space="preserve">Total Debt (mv) </t>
  </si>
  <si>
    <t xml:space="preserve">Capital ratios </t>
  </si>
  <si>
    <t>Residual Coupons</t>
  </si>
  <si>
    <t xml:space="preserve">Bond class </t>
  </si>
  <si>
    <t xml:space="preserve">Historicals </t>
  </si>
  <si>
    <t xml:space="preserve">(Values included in NPF) </t>
  </si>
  <si>
    <t xml:space="preserve">Non current derivatives </t>
  </si>
  <si>
    <t>Total medium long term financial receivables</t>
  </si>
  <si>
    <t xml:space="preserve">Current financial assets </t>
  </si>
  <si>
    <t xml:space="preserve"> ∆ Current financial assets </t>
  </si>
  <si>
    <t>Bond2023 private</t>
  </si>
  <si>
    <t xml:space="preserve">Bond2024 private </t>
  </si>
  <si>
    <t>Bond 2021 (partial)</t>
  </si>
  <si>
    <t xml:space="preserve">A2A Dividend policy </t>
  </si>
  <si>
    <t>Distributed</t>
  </si>
  <si>
    <t>DPS</t>
  </si>
  <si>
    <t xml:space="preserve">Dividend payout ratio </t>
  </si>
  <si>
    <t xml:space="preserve">EPS </t>
  </si>
  <si>
    <t>Outstanding shares</t>
  </si>
  <si>
    <t xml:space="preserve">Steady payout ratio: </t>
  </si>
  <si>
    <t xml:space="preserve">Stable dividend growth: ROE (utility sectore) * Steady retention ratio </t>
  </si>
  <si>
    <t xml:space="preserve">Present Value of future dividends </t>
  </si>
  <si>
    <t xml:space="preserve">Present value of terminal value </t>
  </si>
  <si>
    <t xml:space="preserve">Expected price per share </t>
  </si>
  <si>
    <t xml:space="preserve">Sales Forecasts </t>
  </si>
  <si>
    <t>Revenues from  goods</t>
  </si>
  <si>
    <t xml:space="preserve">Operational costs forecasts </t>
  </si>
  <si>
    <t>Operational costs</t>
  </si>
  <si>
    <t xml:space="preserve">Present value of transition phase </t>
  </si>
  <si>
    <t xml:space="preserve">Transition phase assumptions </t>
  </si>
  <si>
    <t xml:space="preserve">Starting cost of equity </t>
  </si>
  <si>
    <t xml:space="preserve">Starting div. growth </t>
  </si>
  <si>
    <t xml:space="preserve">Terminal cost of equity </t>
  </si>
  <si>
    <t xml:space="preserve">Year step </t>
  </si>
  <si>
    <t>Terminal div. Growth</t>
  </si>
  <si>
    <t xml:space="preserve">Year Step </t>
  </si>
  <si>
    <t xml:space="preserve">Steady Phase </t>
  </si>
  <si>
    <t>RATIOS</t>
  </si>
  <si>
    <t>Profitability analysis</t>
  </si>
  <si>
    <t>ROA (decomposed)</t>
  </si>
  <si>
    <t xml:space="preserve">(NI + Int exp(1-t) )/ Tot assets </t>
  </si>
  <si>
    <t xml:space="preserve">ROIC </t>
  </si>
  <si>
    <t>Ebit(1-t)/ (Bv Debt + Bv equity)</t>
  </si>
  <si>
    <t>ROIC (decomposed)</t>
  </si>
  <si>
    <t>ROE</t>
  </si>
  <si>
    <t>Liquidity analysis</t>
  </si>
  <si>
    <t>Current ratio</t>
  </si>
  <si>
    <t xml:space="preserve">Quick ratio </t>
  </si>
  <si>
    <r>
      <rPr>
        <b/>
        <sz val="16"/>
        <color theme="1"/>
        <rFont val="Biome"/>
        <family val="2"/>
      </rPr>
      <t>Financing analy</t>
    </r>
    <r>
      <rPr>
        <b/>
        <sz val="14"/>
        <color theme="1"/>
        <rFont val="Biome"/>
        <family val="2"/>
      </rPr>
      <t>sis</t>
    </r>
  </si>
  <si>
    <t>Interest coverage ratio</t>
  </si>
  <si>
    <t xml:space="preserve">Debt to capital </t>
  </si>
  <si>
    <t>Debt to equity ratio</t>
  </si>
  <si>
    <t>Assumption:</t>
  </si>
  <si>
    <t>Reinvestment rate</t>
  </si>
  <si>
    <t>average =</t>
  </si>
  <si>
    <t>=</t>
  </si>
  <si>
    <t xml:space="preserve">WACC = </t>
  </si>
  <si>
    <t xml:space="preserve">Present value </t>
  </si>
  <si>
    <t>D&amp;A</t>
  </si>
  <si>
    <t xml:space="preserve">CAPEX </t>
  </si>
  <si>
    <t>D&amp;A as a % of CAPEX</t>
  </si>
  <si>
    <t>Forecast</t>
  </si>
  <si>
    <t>CAPEX as a % of revenues</t>
  </si>
  <si>
    <t>∆ NWC</t>
  </si>
  <si>
    <t>changes %</t>
  </si>
  <si>
    <t>compounded WACC</t>
  </si>
  <si>
    <t>TOTAL VALUE =</t>
  </si>
  <si>
    <t>Terminal value =</t>
  </si>
  <si>
    <t xml:space="preserve">value of equity in commo stock </t>
  </si>
  <si>
    <t>FINANCIAL STATEMENTS</t>
  </si>
  <si>
    <t xml:space="preserve"> INCOME STATEMENT (Trailing 12 Months) </t>
  </si>
  <si>
    <t xml:space="preserve">BALANCE SHEET (Trailing 12 Months) </t>
  </si>
  <si>
    <t xml:space="preserve">cash and marketable securityes </t>
  </si>
  <si>
    <t xml:space="preserve">Debt and non-operating asset </t>
  </si>
  <si>
    <t xml:space="preserve">Minority interest </t>
  </si>
  <si>
    <t xml:space="preserve">WACC according to Python development </t>
  </si>
  <si>
    <t>Explicit forecast</t>
  </si>
  <si>
    <t>Decreasing growth phase (3Y)</t>
  </si>
  <si>
    <t xml:space="preserve">Other operating revenues as % of sales </t>
  </si>
  <si>
    <t>Sales</t>
  </si>
  <si>
    <t xml:space="preserve">Raw materials as % of sales </t>
  </si>
  <si>
    <t>Services as % of sales</t>
  </si>
  <si>
    <t xml:space="preserve">Labour cost as % of sales </t>
  </si>
  <si>
    <t xml:space="preserve">EBITDA </t>
  </si>
  <si>
    <t xml:space="preserve">EBITDA margin </t>
  </si>
  <si>
    <t xml:space="preserve">Capex Computation </t>
  </si>
  <si>
    <t>Fixed Assets</t>
  </si>
  <si>
    <t>Tangibles</t>
  </si>
  <si>
    <t>Intangibles</t>
  </si>
  <si>
    <t xml:space="preserve">%Tangibles </t>
  </si>
  <si>
    <t>%Intangibles</t>
  </si>
  <si>
    <t>Evolution of Tangibles</t>
  </si>
  <si>
    <t>Cumulative sales</t>
  </si>
  <si>
    <t xml:space="preserve"> + Capex</t>
  </si>
  <si>
    <t xml:space="preserve">Splitted per year </t>
  </si>
  <si>
    <t>Capex for 1 u. sales</t>
  </si>
  <si>
    <t xml:space="preserve"> - D&amp;A</t>
  </si>
  <si>
    <t xml:space="preserve">Tangibles </t>
  </si>
  <si>
    <t xml:space="preserve">D&amp;A (also write downs in fixed assets) </t>
  </si>
  <si>
    <t xml:space="preserve">Tangible part </t>
  </si>
  <si>
    <t>Tangible part</t>
  </si>
  <si>
    <t xml:space="preserve">Intangible part </t>
  </si>
  <si>
    <t xml:space="preserve">Tangible Capex </t>
  </si>
  <si>
    <t>D&amp;A as % EOP Tangibles</t>
  </si>
  <si>
    <t xml:space="preserve">Evolution of Intangibles </t>
  </si>
  <si>
    <t xml:space="preserve"> - D&amp;A </t>
  </si>
  <si>
    <t xml:space="preserve">Intangibles </t>
  </si>
  <si>
    <t xml:space="preserve">Intangible Capex </t>
  </si>
  <si>
    <t xml:space="preserve">Accruals </t>
  </si>
  <si>
    <t xml:space="preserve">OWC forecast </t>
  </si>
  <si>
    <t xml:space="preserve">Trade payables </t>
  </si>
  <si>
    <t xml:space="preserve">Inventory </t>
  </si>
  <si>
    <t xml:space="preserve">NWC forecasts </t>
  </si>
  <si>
    <t xml:space="preserve">As % of sales </t>
  </si>
  <si>
    <t xml:space="preserve">Other items in Restated BS </t>
  </si>
  <si>
    <t xml:space="preserve">1) Net deferred tax </t>
  </si>
  <si>
    <t xml:space="preserve">2) Employee benefits </t>
  </si>
  <si>
    <t>3) Provisions for risks</t>
  </si>
  <si>
    <t xml:space="preserve">Debt Forecast </t>
  </si>
  <si>
    <t xml:space="preserve">Computational reference </t>
  </si>
  <si>
    <t xml:space="preserve">Short term financial debt </t>
  </si>
  <si>
    <t xml:space="preserve">Bank loans and Bonds (M/L) </t>
  </si>
  <si>
    <t xml:space="preserve">Of which: </t>
  </si>
  <si>
    <t xml:space="preserve">Bonds/Total Debt </t>
  </si>
  <si>
    <t xml:space="preserve">New Bonds </t>
  </si>
  <si>
    <t xml:space="preserve">Other financing /Total debt </t>
  </si>
  <si>
    <t xml:space="preserve">Bonds   </t>
  </si>
  <si>
    <t xml:space="preserve">Other financing   </t>
  </si>
  <si>
    <t xml:space="preserve">Net Debt </t>
  </si>
  <si>
    <t xml:space="preserve">NFP / Total debt </t>
  </si>
  <si>
    <t xml:space="preserve">NFP/ EBITDA </t>
  </si>
  <si>
    <t xml:space="preserve">Debt Repayment (+) </t>
  </si>
  <si>
    <t xml:space="preserve">Debt Issue (-) </t>
  </si>
  <si>
    <t xml:space="preserve">Interests </t>
  </si>
  <si>
    <t xml:space="preserve">Nominal </t>
  </si>
  <si>
    <t xml:space="preserve">Term </t>
  </si>
  <si>
    <t xml:space="preserve">Interest expenses </t>
  </si>
  <si>
    <t xml:space="preserve">Interest expenses as % of total </t>
  </si>
  <si>
    <t xml:space="preserve">Financial Items </t>
  </si>
  <si>
    <t xml:space="preserve">Additional </t>
  </si>
  <si>
    <t xml:space="preserve">Average Interest </t>
  </si>
  <si>
    <t xml:space="preserve">IRES Tax Base = EBT </t>
  </si>
  <si>
    <t xml:space="preserve">IRES tax rate </t>
  </si>
  <si>
    <t xml:space="preserve">IRES </t>
  </si>
  <si>
    <t xml:space="preserve">Additional Bond evolution </t>
  </si>
  <si>
    <t xml:space="preserve">IRAP Tax Base = EBIT </t>
  </si>
  <si>
    <t xml:space="preserve">IRAP Tax rate </t>
  </si>
  <si>
    <t xml:space="preserve">Other interests / Other financing </t>
  </si>
  <si>
    <t xml:space="preserve">IRAP </t>
  </si>
  <si>
    <t xml:space="preserve">Total taxes </t>
  </si>
  <si>
    <t xml:space="preserve">Taxable Income </t>
  </si>
  <si>
    <t xml:space="preserve">Effective tax rate </t>
  </si>
  <si>
    <t xml:space="preserve">Equity forecast </t>
  </si>
  <si>
    <t xml:space="preserve">Total Net Income </t>
  </si>
  <si>
    <t xml:space="preserve">Dividends </t>
  </si>
  <si>
    <t xml:space="preserve">DPS </t>
  </si>
  <si>
    <t xml:space="preserve">Outstanding Shares </t>
  </si>
  <si>
    <t xml:space="preserve">Payout ratio </t>
  </si>
  <si>
    <t xml:space="preserve">Evolution of equity </t>
  </si>
  <si>
    <t xml:space="preserve">Begin of period equity </t>
  </si>
  <si>
    <t xml:space="preserve">"+" Net Income </t>
  </si>
  <si>
    <t xml:space="preserve">"-" Dividends </t>
  </si>
  <si>
    <t xml:space="preserve">End of period equity </t>
  </si>
  <si>
    <t xml:space="preserve">Sales </t>
  </si>
  <si>
    <t>Other revenues</t>
  </si>
  <si>
    <t xml:space="preserve">Cost of services </t>
  </si>
  <si>
    <t>Other expenses</t>
  </si>
  <si>
    <t xml:space="preserve">Margin </t>
  </si>
  <si>
    <t xml:space="preserve">D&amp;A </t>
  </si>
  <si>
    <t xml:space="preserve">EBIT </t>
  </si>
  <si>
    <t xml:space="preserve">EBT </t>
  </si>
  <si>
    <t xml:space="preserve">Income Taxes </t>
  </si>
  <si>
    <t xml:space="preserve">After tax result </t>
  </si>
  <si>
    <t xml:space="preserve">N I </t>
  </si>
  <si>
    <t xml:space="preserve">Balance Sheet </t>
  </si>
  <si>
    <t xml:space="preserve">Tangible </t>
  </si>
  <si>
    <t xml:space="preserve">Intangible </t>
  </si>
  <si>
    <t xml:space="preserve">Financial </t>
  </si>
  <si>
    <t xml:space="preserve">Trade receivables </t>
  </si>
  <si>
    <t xml:space="preserve">OWC </t>
  </si>
  <si>
    <t>Other liabilities</t>
  </si>
  <si>
    <t xml:space="preserve">NWC </t>
  </si>
  <si>
    <t xml:space="preserve">NDA/NDL </t>
  </si>
  <si>
    <t xml:space="preserve">Employees </t>
  </si>
  <si>
    <t xml:space="preserve">Provisions </t>
  </si>
  <si>
    <t xml:space="preserve">NIC </t>
  </si>
  <si>
    <t xml:space="preserve">Debt </t>
  </si>
  <si>
    <t>Excess cash</t>
  </si>
  <si>
    <t xml:space="preserve">NFP </t>
  </si>
  <si>
    <t xml:space="preserve">TCE </t>
  </si>
  <si>
    <t xml:space="preserve">Cash Flow </t>
  </si>
  <si>
    <t>steady state</t>
  </si>
  <si>
    <t>NWC as a % of revenues</t>
  </si>
  <si>
    <t>∆ Employees benefit</t>
  </si>
  <si>
    <t>Average of "capex as a % of revenues" to forecast capex =</t>
  </si>
  <si>
    <t>Average of "D&amp;A as % of CAPEX" but not considering the outlier in 2017 to forecast D&amp;A =</t>
  </si>
  <si>
    <t>Average of "changes%" of Provision =</t>
  </si>
  <si>
    <t>Average of "changes%" of Employees Benefit =</t>
  </si>
  <si>
    <t>Average of "changes%" of TAX Asset =</t>
  </si>
  <si>
    <t>Average of "changes%" of Other minor=</t>
  </si>
  <si>
    <t>Average of "NWC as a % of revenues" of  =</t>
  </si>
  <si>
    <t>reinvestment rate in steady state=</t>
  </si>
  <si>
    <t>Firm valuation model - The cost of capital approach</t>
  </si>
  <si>
    <t>Outputs</t>
  </si>
  <si>
    <t>discounted value=</t>
  </si>
  <si>
    <t>(low ebit)</t>
  </si>
  <si>
    <t>ROA</t>
  </si>
  <si>
    <t>Ebit(1-t)/ (Bv Debt + Bv Equity) [Average]</t>
  </si>
  <si>
    <t xml:space="preserve">(Ebit(1-t)/Sales )x (Salex/BV of capital) </t>
  </si>
  <si>
    <t xml:space="preserve">NI/ Book Value Of Common Equity  </t>
  </si>
  <si>
    <t xml:space="preserve">NI/ Book value of common equity [Average] </t>
  </si>
  <si>
    <t>Current Asset/Current Liabilities</t>
  </si>
  <si>
    <t xml:space="preserve">(Cash + Marketable Securities )/ Current Liabilities </t>
  </si>
  <si>
    <t xml:space="preserve">Ebit/Interest expenses </t>
  </si>
  <si>
    <t>Debt/ (Debt + Equity)</t>
  </si>
  <si>
    <t>Debt / Equity</t>
  </si>
  <si>
    <t>(Current asset-Inventories)/Current liabilities</t>
  </si>
  <si>
    <t>(Net Capex + Change in Wc)/ Ebit(1-t)</t>
  </si>
  <si>
    <t>Net Debt/Net Invested Capital</t>
  </si>
  <si>
    <t xml:space="preserve">Equity to capital </t>
  </si>
  <si>
    <t xml:space="preserve">Equity/ (Debt + Equity) </t>
  </si>
  <si>
    <t>Working Capital Analysis</t>
  </si>
  <si>
    <t xml:space="preserve"> </t>
  </si>
  <si>
    <t xml:space="preserve">Other assets and liabilities </t>
  </si>
  <si>
    <t xml:space="preserve">Changes in NWC </t>
  </si>
  <si>
    <t xml:space="preserve">Days trade inventory (Raw) </t>
  </si>
  <si>
    <t xml:space="preserve">Days receivables (Sales) </t>
  </si>
  <si>
    <t xml:space="preserve">Days for other A&amp;L (Sales) </t>
  </si>
  <si>
    <t>Days payables (Op. expenses)</t>
  </si>
  <si>
    <t xml:space="preserve">DSO </t>
  </si>
  <si>
    <t xml:space="preserve">DIO </t>
  </si>
  <si>
    <t xml:space="preserve">DPO </t>
  </si>
  <si>
    <t xml:space="preserve">Current year Inventory * 365 / Expenses for raw </t>
  </si>
  <si>
    <t xml:space="preserve"> Current year TR * 365 / Current year sales </t>
  </si>
  <si>
    <t xml:space="preserve">Current Year TP * 365/ Operational expenses </t>
  </si>
  <si>
    <t xml:space="preserve">Cash Conversion Cycle </t>
  </si>
  <si>
    <t xml:space="preserve">DSO + DIO - DPO </t>
  </si>
  <si>
    <t xml:space="preserve">Current Year TP * 365/ Expenses for raw </t>
  </si>
  <si>
    <t xml:space="preserve">DPO* (raw materials) </t>
  </si>
  <si>
    <t xml:space="preserve">Cash Conversion Cycle* </t>
  </si>
  <si>
    <t>DSO + DIO - DPO*</t>
  </si>
  <si>
    <t>Formula</t>
  </si>
  <si>
    <t>ROE (decomposed)</t>
  </si>
  <si>
    <t xml:space="preserve">ROE (based on averages) </t>
  </si>
  <si>
    <t>ROIC(based on averages)</t>
  </si>
  <si>
    <t xml:space="preserve">Acid test </t>
  </si>
  <si>
    <t xml:space="preserve">P&amp;L </t>
  </si>
  <si>
    <t xml:space="preserve">High Growth Forecasts </t>
  </si>
  <si>
    <t xml:space="preserve">Stable Cost of Equity (B = 0,65) </t>
  </si>
  <si>
    <t xml:space="preserve">EBIT*(1-t) </t>
  </si>
  <si>
    <t xml:space="preserve">EBIT*(1-t)    </t>
  </si>
  <si>
    <t xml:space="preserve">NOPAT </t>
  </si>
  <si>
    <t xml:space="preserve">tax shield </t>
  </si>
  <si>
    <t>growth rate%</t>
  </si>
  <si>
    <t>Assumptions:</t>
  </si>
  <si>
    <t>growth rate for EBITDA euquals to which one was declared by managment =</t>
  </si>
  <si>
    <t>Expected growth rate for EBITDA =</t>
  </si>
  <si>
    <t>Tax rate =</t>
  </si>
  <si>
    <t>Stable Cost of Equity (B = 1)</t>
  </si>
  <si>
    <t>EBITDA(no accurals)</t>
  </si>
  <si>
    <t>WACC (stable)  =</t>
  </si>
  <si>
    <t>WACC (stable) =</t>
  </si>
  <si>
    <t>Since we have used a different way to compute FCFF and FCFE, I've must modified a little Damodaran's model. I'm going to consider, in addition to tax in EBIT, also the tax shild generated by financial items (pratically NOPAT)  and changes in provision, employee benefit, tax ansset and other minor to forecast consistently FCFF</t>
  </si>
  <si>
    <t>EPS</t>
  </si>
  <si>
    <t xml:space="preserve">cash and marketable securities </t>
  </si>
  <si>
    <t xml:space="preserve">Second scenario </t>
  </si>
  <si>
    <t xml:space="preserve">First scenario </t>
  </si>
  <si>
    <t>Growth rate for Revenues equals to the average of historical values =</t>
  </si>
  <si>
    <t xml:space="preserve">Constant Accurals equal to the average of historical value= </t>
  </si>
  <si>
    <t xml:space="preserve">same assumption for WACC,Revenues, Accurals, D&amp;A, provision, tax rate, employee benefit, other minors, net working capital </t>
  </si>
  <si>
    <t>growth rate in steady sate for EBITDA equals to the growth Rate of the economy=</t>
  </si>
  <si>
    <t>EBITDA(no Accurals)</t>
  </si>
  <si>
    <t xml:space="preserve">initial value of CAPEX given by : </t>
  </si>
  <si>
    <t xml:space="preserve">Outputs 2 </t>
  </si>
  <si>
    <t>steady state2</t>
  </si>
  <si>
    <t>growth rate in steady sate 2 for EBITDA given by the average o historicals and which one that was declared by managment =</t>
  </si>
  <si>
    <t xml:space="preserve">Stable cost of equity (Beta = 0,865) </t>
  </si>
  <si>
    <t>Terminal Value assumptions</t>
  </si>
  <si>
    <t xml:space="preserve">Dividend growth </t>
  </si>
  <si>
    <t xml:space="preserve">Simone  Luca Lucchesi's explicit forecasts section: assumptions and outputs for valuation. </t>
  </si>
  <si>
    <t xml:space="preserve">Explicit forecasts </t>
  </si>
  <si>
    <t xml:space="preserve">Comment and  assumptions section </t>
  </si>
  <si>
    <t xml:space="preserve">Mean value (past 2 years) </t>
  </si>
  <si>
    <t xml:space="preserve">Mean value (past 3 years) </t>
  </si>
  <si>
    <t xml:space="preserve">Computational references supporting assumptions </t>
  </si>
  <si>
    <t xml:space="preserve">Cumulative Capex for 2024 </t>
  </si>
  <si>
    <t xml:space="preserve">References for Capex </t>
  </si>
  <si>
    <t xml:space="preserve">% Bonds (past 5 years) </t>
  </si>
  <si>
    <t xml:space="preserve">% Other financing (past 5 years </t>
  </si>
  <si>
    <t xml:space="preserve">Year </t>
  </si>
  <si>
    <t xml:space="preserve">Reorganized statements with explicit forecasts, according to above forecasts </t>
  </si>
  <si>
    <t xml:space="preserve">Cash BOP </t>
  </si>
  <si>
    <t xml:space="preserve">Cash EOP </t>
  </si>
  <si>
    <t>∆ Other assets</t>
  </si>
  <si>
    <t xml:space="preserve">Comments and some modifications  </t>
  </si>
  <si>
    <t xml:space="preserve">Output (Case terminal Beta = 1) </t>
  </si>
  <si>
    <t xml:space="preserve">Output#2 (Case terminal Beta = 0,868) </t>
  </si>
  <si>
    <t xml:space="preserve">Reorganized statements with explicit forecasts after modifications </t>
  </si>
  <si>
    <t xml:space="preserve">BOP </t>
  </si>
  <si>
    <t>As Percentage of revenues</t>
  </si>
  <si>
    <t>Financial Items as % of total debt</t>
  </si>
  <si>
    <t xml:space="preserve">FCFE </t>
  </si>
  <si>
    <t xml:space="preserve">Stable cost of equity </t>
  </si>
  <si>
    <t xml:space="preserve">Terminal value assumptions </t>
  </si>
  <si>
    <t xml:space="preserve">Stable equity reinvestment rate </t>
  </si>
  <si>
    <t xml:space="preserve">Discount factor </t>
  </si>
  <si>
    <t xml:space="preserve">Stable growth rate </t>
  </si>
  <si>
    <t xml:space="preserve">Explicit forecasts present value </t>
  </si>
  <si>
    <t xml:space="preserve">Transitional phase present value </t>
  </si>
  <si>
    <t xml:space="preserve">Steady phase present value </t>
  </si>
  <si>
    <t xml:space="preserve">Equity value forecast </t>
  </si>
  <si>
    <t xml:space="preserve">Outstanding shares </t>
  </si>
  <si>
    <t xml:space="preserve">Stable reinvestment rate </t>
  </si>
  <si>
    <t>Net Debt (2019)</t>
  </si>
  <si>
    <t xml:space="preserve">DCF EQUITY SIDE (FCFE) </t>
  </si>
  <si>
    <t xml:space="preserve">FREE CASH FLOW DISCOUNTING MODELS  </t>
  </si>
  <si>
    <t xml:space="preserve">DIVIDEND DISCOUNT MODEL </t>
  </si>
  <si>
    <t xml:space="preserve">Assumptions table </t>
  </si>
  <si>
    <t xml:space="preserve">WACC (book values) </t>
  </si>
  <si>
    <t xml:space="preserve">Cost of equity (levered beta) </t>
  </si>
  <si>
    <t xml:space="preserve">Stable growth rate of economy </t>
  </si>
  <si>
    <t xml:space="preserve">Stable cost of equity (Beta = 1) </t>
  </si>
  <si>
    <t xml:space="preserve">Stable Wacc (Beta = 1) </t>
  </si>
  <si>
    <t>A2A FCFE</t>
  </si>
  <si>
    <t xml:space="preserve">% change </t>
  </si>
  <si>
    <t xml:space="preserve">NaN </t>
  </si>
  <si>
    <t xml:space="preserve">Transition Phase Assumptions (3 Years) </t>
  </si>
  <si>
    <t xml:space="preserve">Linear drop in FCFE growth rate (from 17% to 1%) </t>
  </si>
  <si>
    <t xml:space="preserve">Linear increase in cost of equity (from 7,08% to 8,11%) </t>
  </si>
  <si>
    <t xml:space="preserve">Transitional phase (3Y) </t>
  </si>
  <si>
    <t xml:space="preserve">Equity valuation output </t>
  </si>
  <si>
    <t xml:space="preserve">DCF ASSET SIDE (FCFF) </t>
  </si>
  <si>
    <t>A2A FCFF</t>
  </si>
  <si>
    <t xml:space="preserve">Linear drop in FCFF growth rate (from 19% to 1%) </t>
  </si>
  <si>
    <t>Stable cost of capital</t>
  </si>
  <si>
    <t xml:space="preserve">Linear increase in cost of capital (from 4,34% to 5,28%) </t>
  </si>
  <si>
    <t xml:space="preserve">Asset valuation output </t>
  </si>
  <si>
    <t xml:space="preserve">Enterprise value forecast </t>
  </si>
  <si>
    <t xml:space="preserve">Expected equity value </t>
  </si>
  <si>
    <t>Growing CAPEX with the same growth rate of revenues=</t>
  </si>
  <si>
    <t xml:space="preserve">Comment section </t>
  </si>
  <si>
    <t xml:space="preserve">NWC   </t>
  </si>
  <si>
    <t xml:space="preserve">Sensitivity analysis: empirical way to encapsulate COVID-19 effects. </t>
  </si>
  <si>
    <t>ROIC + D/E * (ROIC - i(1-t))</t>
  </si>
  <si>
    <t xml:space="preserve">Net debt to net invested capital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</si>
</sst>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quot;-&quot;??_);_(@_)"/>
    <numFmt numFmtId="165" formatCode="yyyy"/>
    <numFmt numFmtId="166" formatCode="0.000%"/>
    <numFmt numFmtId="167" formatCode="0.000"/>
    <numFmt numFmtId="168" formatCode="0_);\(0\)"/>
    <numFmt numFmtId="169" formatCode="_(* #,##0_);_(* \(#,##0\);_(* &quot;-&quot;??_);_(@_)"/>
    <numFmt numFmtId="170" formatCode="0.000000%"/>
    <numFmt numFmtId="171" formatCode="0.00000%"/>
    <numFmt numFmtId="172" formatCode="_-* #,##0.00_-;\-* #,##0.00_-;_-* &quot;-&quot;??_-;_-@_-"/>
    <numFmt numFmtId="173" formatCode="0.0%"/>
    <numFmt numFmtId="174" formatCode="0.0000"/>
    <numFmt numFmtId="175" formatCode="_(* #,##0_);_(* \(#,##0\);_(* &quot;-&quot;?_);_(@_)"/>
  </numFmts>
  <fonts count="67">
    <font>
      <sz val="11"/>
      <color theme="1"/>
      <name val="Calibri"/>
      <family val="2"/>
      <scheme val="minor"/>
    </font>
    <font>
      <sz val="11"/>
      <color theme="1"/>
      <name val="Calibri"/>
      <family val="2"/>
      <scheme val="minor"/>
    </font>
    <font>
      <b/>
      <sz val="11"/>
      <color theme="1"/>
      <name val="Calibri"/>
      <family val="2"/>
      <scheme val="minor"/>
    </font>
    <font>
      <b/>
      <i/>
      <sz val="18"/>
      <color rgb="FF002060"/>
      <name val="Biome"/>
      <family val="2"/>
    </font>
    <font>
      <sz val="20"/>
      <color rgb="FFFF0000"/>
      <name val="Biome"/>
      <family val="2"/>
    </font>
    <font>
      <b/>
      <sz val="18"/>
      <color rgb="FF002060"/>
      <name val="Biome"/>
      <family val="2"/>
    </font>
    <font>
      <sz val="11"/>
      <color theme="1"/>
      <name val="Biome"/>
      <family val="2"/>
    </font>
    <font>
      <b/>
      <i/>
      <sz val="11"/>
      <color theme="1"/>
      <name val="Biome"/>
      <family val="2"/>
    </font>
    <font>
      <b/>
      <sz val="11"/>
      <color theme="0"/>
      <name val="Biome"/>
      <family val="2"/>
    </font>
    <font>
      <b/>
      <sz val="14"/>
      <color theme="1"/>
      <name val="Biome"/>
      <family val="2"/>
    </font>
    <font>
      <b/>
      <u/>
      <sz val="11"/>
      <color theme="1"/>
      <name val="Biome"/>
      <family val="2"/>
    </font>
    <font>
      <b/>
      <sz val="11"/>
      <color theme="1"/>
      <name val="Biome"/>
      <family val="2"/>
    </font>
    <font>
      <i/>
      <u/>
      <sz val="11"/>
      <color theme="1"/>
      <name val="Biome"/>
      <family val="2"/>
    </font>
    <font>
      <u/>
      <sz val="11"/>
      <color theme="1"/>
      <name val="Biome"/>
      <family val="2"/>
    </font>
    <font>
      <i/>
      <sz val="11"/>
      <color theme="1"/>
      <name val="Biome"/>
      <family val="2"/>
    </font>
    <font>
      <sz val="11"/>
      <name val="Biome"/>
      <family val="2"/>
    </font>
    <font>
      <b/>
      <sz val="16"/>
      <color theme="1"/>
      <name val="Biome"/>
      <family val="2"/>
    </font>
    <font>
      <sz val="11"/>
      <color theme="0" tint="-0.499984740745262"/>
      <name val="Biome"/>
      <family val="2"/>
    </font>
    <font>
      <sz val="12"/>
      <color rgb="FF222222"/>
      <name val="Biome"/>
      <family val="2"/>
    </font>
    <font>
      <sz val="18"/>
      <color theme="1"/>
      <name val="Biome"/>
      <family val="2"/>
    </font>
    <font>
      <b/>
      <i/>
      <sz val="11"/>
      <color theme="8" tint="-0.499984740745262"/>
      <name val="Biome"/>
      <family val="2"/>
    </font>
    <font>
      <sz val="11"/>
      <color theme="8" tint="-0.499984740745262"/>
      <name val="Biome"/>
      <family val="2"/>
    </font>
    <font>
      <sz val="11"/>
      <color theme="0"/>
      <name val="Biome"/>
      <family val="2"/>
    </font>
    <font>
      <b/>
      <sz val="11"/>
      <color rgb="FF002060"/>
      <name val="Biome"/>
      <family val="2"/>
    </font>
    <font>
      <b/>
      <sz val="12"/>
      <color theme="1"/>
      <name val="Biome"/>
      <family val="2"/>
    </font>
    <font>
      <b/>
      <sz val="11"/>
      <name val="Biome"/>
      <family val="2"/>
    </font>
    <font>
      <b/>
      <u/>
      <sz val="16"/>
      <color theme="1"/>
      <name val="Biome"/>
      <family val="2"/>
    </font>
    <font>
      <sz val="8"/>
      <color theme="0"/>
      <name val="Biome"/>
      <family val="2"/>
    </font>
    <font>
      <sz val="11"/>
      <color theme="0" tint="-0.249977111117893"/>
      <name val="Biome"/>
      <family val="2"/>
    </font>
    <font>
      <i/>
      <sz val="11"/>
      <color theme="1"/>
      <name val="Calibri"/>
      <family val="2"/>
      <scheme val="minor"/>
    </font>
    <font>
      <b/>
      <u val="singleAccounting"/>
      <sz val="11"/>
      <color theme="1"/>
      <name val="Biome"/>
      <family val="2"/>
    </font>
    <font>
      <sz val="11"/>
      <color theme="0"/>
      <name val="Calibri"/>
      <family val="2"/>
      <scheme val="minor"/>
    </font>
    <font>
      <sz val="11"/>
      <color theme="1"/>
      <name val="Symbol"/>
      <family val="1"/>
      <charset val="2"/>
    </font>
    <font>
      <sz val="12"/>
      <color theme="1"/>
      <name val="Calibri"/>
      <family val="2"/>
      <scheme val="minor"/>
    </font>
    <font>
      <sz val="11"/>
      <color rgb="FFFF0000"/>
      <name val="Calibri"/>
      <family val="2"/>
      <scheme val="minor"/>
    </font>
    <font>
      <i/>
      <sz val="11"/>
      <color theme="0"/>
      <name val="Biome"/>
      <family val="2"/>
    </font>
    <font>
      <sz val="11"/>
      <color rgb="FF000000"/>
      <name val="Biome"/>
      <family val="2"/>
    </font>
    <font>
      <sz val="14"/>
      <color theme="1"/>
      <name val="Biome"/>
      <family val="2"/>
    </font>
    <font>
      <sz val="20"/>
      <color rgb="FF002060"/>
      <name val="Biome"/>
      <family val="2"/>
    </font>
    <font>
      <b/>
      <sz val="19"/>
      <color rgb="FF002060"/>
      <name val="Biome"/>
      <family val="2"/>
    </font>
    <font>
      <b/>
      <i/>
      <sz val="11"/>
      <color rgb="FF002060"/>
      <name val="Biome"/>
      <family val="2"/>
    </font>
    <font>
      <sz val="11"/>
      <color theme="0" tint="-0.14999847407452621"/>
      <name val="Biome"/>
      <family val="2"/>
    </font>
    <font>
      <b/>
      <i/>
      <sz val="20"/>
      <color rgb="FF002060"/>
      <name val="Biome"/>
      <family val="2"/>
    </font>
    <font>
      <sz val="11"/>
      <color theme="1"/>
      <name val="Calibri   "/>
    </font>
    <font>
      <sz val="11"/>
      <color theme="1"/>
      <name val="Calibri Light"/>
      <family val="2"/>
      <scheme val="major"/>
    </font>
    <font>
      <i/>
      <sz val="10"/>
      <color indexed="8"/>
      <name val="Calibri"/>
      <family val="2"/>
    </font>
    <font>
      <i/>
      <sz val="10"/>
      <color theme="1"/>
      <name val="Calibri"/>
      <family val="2"/>
      <scheme val="minor"/>
    </font>
    <font>
      <sz val="11"/>
      <color theme="2"/>
      <name val="Biome"/>
      <family val="2"/>
    </font>
    <font>
      <sz val="11"/>
      <color rgb="FFFFFF00"/>
      <name val="Biome"/>
      <family val="2"/>
    </font>
    <font>
      <sz val="11"/>
      <color theme="2" tint="-0.249977111117893"/>
      <name val="Calibri"/>
      <family val="2"/>
      <scheme val="minor"/>
    </font>
    <font>
      <sz val="11"/>
      <color theme="1"/>
      <name val="Biome   "/>
    </font>
    <font>
      <b/>
      <sz val="11"/>
      <color rgb="FF000000"/>
      <name val="Biome"/>
      <family val="2"/>
    </font>
    <font>
      <sz val="26"/>
      <color theme="1"/>
      <name val="Biome"/>
      <family val="2"/>
    </font>
    <font>
      <sz val="11"/>
      <color theme="0" tint="-0.34998626667073579"/>
      <name val="Biome"/>
      <family val="2"/>
    </font>
    <font>
      <sz val="11"/>
      <color theme="2" tint="-0.499984740745262"/>
      <name val="Calibri"/>
      <family val="2"/>
      <scheme val="minor"/>
    </font>
    <font>
      <sz val="11"/>
      <color theme="2" tint="-0.499984740745262"/>
      <name val="Biome"/>
      <family val="2"/>
    </font>
    <font>
      <sz val="11"/>
      <color theme="2" tint="-0.249977111117893"/>
      <name val="Biome"/>
      <family val="2"/>
    </font>
    <font>
      <sz val="11"/>
      <color theme="4" tint="0.59999389629810485"/>
      <name val="Biome"/>
      <family val="2"/>
    </font>
    <font>
      <sz val="11"/>
      <color theme="4" tint="0.79998168889431442"/>
      <name val="Biome"/>
      <family val="2"/>
    </font>
    <font>
      <sz val="8"/>
      <name val="Calibri"/>
      <family val="2"/>
      <scheme val="minor"/>
    </font>
    <font>
      <sz val="11"/>
      <name val="Calibri"/>
      <family val="2"/>
      <scheme val="minor"/>
    </font>
    <font>
      <sz val="11"/>
      <color theme="1"/>
      <name val="Arial Black"/>
      <family val="2"/>
    </font>
    <font>
      <sz val="14"/>
      <color theme="1"/>
      <name val="Arial Black"/>
      <family val="2"/>
    </font>
    <font>
      <b/>
      <sz val="14"/>
      <color theme="0"/>
      <name val="Arial Black"/>
      <family val="2"/>
    </font>
    <font>
      <sz val="14"/>
      <color theme="0"/>
      <name val="Arial Black"/>
      <family val="2"/>
    </font>
    <font>
      <b/>
      <sz val="18"/>
      <color theme="0"/>
      <name val="Arial Black"/>
      <family val="2"/>
    </font>
    <font>
      <sz val="18"/>
      <color theme="0"/>
      <name val="Arial Black"/>
      <family val="2"/>
    </font>
  </fonts>
  <fills count="2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bgColor indexed="64"/>
      </patternFill>
    </fill>
    <fill>
      <patternFill patternType="solid">
        <fgColor rgb="FF0070C0"/>
        <bgColor indexed="64"/>
      </patternFill>
    </fill>
    <fill>
      <patternFill patternType="solid">
        <fgColor theme="9" tint="-0.249977111117893"/>
        <bgColor indexed="64"/>
      </patternFill>
    </fill>
    <fill>
      <patternFill patternType="solid">
        <fgColor theme="8"/>
        <bgColor indexed="64"/>
      </patternFill>
    </fill>
    <fill>
      <patternFill patternType="solid">
        <fgColor theme="7" tint="0.59999389629810485"/>
        <bgColor indexed="64"/>
      </patternFill>
    </fill>
    <fill>
      <patternFill patternType="solid">
        <fgColor theme="0" tint="-0.249977111117893"/>
        <bgColor indexed="64"/>
      </patternFill>
    </fill>
  </fills>
  <borders count="77">
    <border>
      <left/>
      <right/>
      <top/>
      <bottom/>
      <diagonal/>
    </border>
    <border>
      <left/>
      <right/>
      <top style="medium">
        <color auto="1"/>
      </top>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auto="1"/>
      </left>
      <right style="medium">
        <color auto="1"/>
      </right>
      <top/>
      <bottom style="medium">
        <color auto="1"/>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hair">
        <color auto="1"/>
      </left>
      <right style="medium">
        <color indexed="64"/>
      </right>
      <top/>
      <bottom/>
      <diagonal/>
    </border>
    <border>
      <left/>
      <right style="hair">
        <color auto="1"/>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hair">
        <color auto="1"/>
      </left>
      <right style="medium">
        <color indexed="64"/>
      </right>
      <top/>
      <bottom style="medium">
        <color indexed="64"/>
      </bottom>
      <diagonal/>
    </border>
    <border>
      <left style="medium">
        <color indexed="64"/>
      </left>
      <right/>
      <top style="medium">
        <color auto="1"/>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auto="1"/>
      </top>
      <bottom/>
      <diagonal/>
    </border>
    <border>
      <left style="thin">
        <color indexed="64"/>
      </left>
      <right style="thin">
        <color indexed="64"/>
      </right>
      <top/>
      <bottom style="medium">
        <color indexed="64"/>
      </bottom>
      <diagonal/>
    </border>
    <border>
      <left style="hair">
        <color auto="1"/>
      </left>
      <right style="hair">
        <color auto="1"/>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medium">
        <color indexed="64"/>
      </bottom>
      <diagonal/>
    </border>
    <border>
      <left style="thick">
        <color auto="1"/>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hair">
        <color auto="1"/>
      </left>
      <right style="hair">
        <color auto="1"/>
      </right>
      <top/>
      <bottom style="thin">
        <color indexed="64"/>
      </bottom>
      <diagonal/>
    </border>
    <border>
      <left style="medium">
        <color indexed="64"/>
      </left>
      <right style="thin">
        <color indexed="64"/>
      </right>
      <top/>
      <bottom style="medium">
        <color indexed="64"/>
      </bottom>
      <diagonal/>
    </border>
    <border>
      <left/>
      <right style="thick">
        <color auto="1"/>
      </right>
      <top/>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0" fontId="33" fillId="0" borderId="0"/>
  </cellStyleXfs>
  <cellXfs count="937">
    <xf numFmtId="0" fontId="0" fillId="0" borderId="0" xfId="0"/>
    <xf numFmtId="0" fontId="0" fillId="2" borderId="0" xfId="0" applyFill="1"/>
    <xf numFmtId="0" fontId="6" fillId="2" borderId="0" xfId="0" applyFont="1" applyFill="1" applyBorder="1"/>
    <xf numFmtId="0" fontId="9" fillId="2" borderId="0" xfId="0" applyFont="1" applyFill="1" applyBorder="1"/>
    <xf numFmtId="14" fontId="6" fillId="2" borderId="0" xfId="0" applyNumberFormat="1" applyFont="1" applyFill="1" applyBorder="1"/>
    <xf numFmtId="0" fontId="11" fillId="2" borderId="0" xfId="0" applyFont="1" applyFill="1" applyBorder="1"/>
    <xf numFmtId="0" fontId="6" fillId="0" borderId="0" xfId="0" applyFont="1" applyBorder="1"/>
    <xf numFmtId="0" fontId="12" fillId="4" borderId="0" xfId="0" applyFont="1" applyFill="1" applyBorder="1"/>
    <xf numFmtId="0" fontId="6" fillId="4" borderId="0" xfId="0" applyFont="1" applyFill="1" applyBorder="1"/>
    <xf numFmtId="0" fontId="13" fillId="4" borderId="0" xfId="0" applyFont="1" applyFill="1" applyBorder="1"/>
    <xf numFmtId="0" fontId="10" fillId="4" borderId="0" xfId="0" applyFont="1" applyFill="1" applyBorder="1"/>
    <xf numFmtId="0" fontId="14" fillId="2" borderId="0" xfId="0" applyFont="1" applyFill="1" applyBorder="1"/>
    <xf numFmtId="0" fontId="11" fillId="6" borderId="0" xfId="0" applyFont="1" applyFill="1" applyBorder="1"/>
    <xf numFmtId="0" fontId="6" fillId="6" borderId="0" xfId="0" applyFont="1" applyFill="1" applyBorder="1"/>
    <xf numFmtId="0" fontId="6" fillId="0" borderId="0" xfId="0" applyFont="1"/>
    <xf numFmtId="0" fontId="11" fillId="7" borderId="0" xfId="0" applyFont="1" applyFill="1" applyBorder="1"/>
    <xf numFmtId="0" fontId="15" fillId="7" borderId="0" xfId="0" applyFont="1" applyFill="1" applyBorder="1"/>
    <xf numFmtId="0" fontId="6" fillId="7" borderId="0" xfId="0" applyFont="1" applyFill="1" applyBorder="1"/>
    <xf numFmtId="0" fontId="15" fillId="2" borderId="0" xfId="0" applyFont="1" applyFill="1" applyBorder="1"/>
    <xf numFmtId="0" fontId="16" fillId="2" borderId="0" xfId="0" applyFont="1" applyFill="1" applyBorder="1"/>
    <xf numFmtId="0" fontId="14" fillId="2" borderId="0" xfId="0" applyFont="1" applyFill="1" applyBorder="1" applyAlignment="1">
      <alignment wrapText="1"/>
    </xf>
    <xf numFmtId="0" fontId="11" fillId="5" borderId="0" xfId="0" applyFont="1" applyFill="1" applyBorder="1"/>
    <xf numFmtId="0" fontId="6" fillId="5" borderId="0" xfId="0" applyFont="1" applyFill="1" applyBorder="1"/>
    <xf numFmtId="0" fontId="11" fillId="2" borderId="0" xfId="0" applyFont="1" applyFill="1" applyBorder="1" applyAlignment="1">
      <alignment wrapText="1"/>
    </xf>
    <xf numFmtId="0" fontId="17" fillId="2" borderId="0" xfId="0" applyFont="1" applyFill="1"/>
    <xf numFmtId="14" fontId="6" fillId="2" borderId="3" xfId="0" applyNumberFormat="1" applyFont="1" applyFill="1" applyBorder="1"/>
    <xf numFmtId="0" fontId="6" fillId="2" borderId="3" xfId="0" applyFont="1" applyFill="1" applyBorder="1"/>
    <xf numFmtId="0" fontId="6" fillId="2" borderId="4" xfId="0" applyFont="1" applyFill="1" applyBorder="1"/>
    <xf numFmtId="0" fontId="6" fillId="2" borderId="2" xfId="0" applyFont="1" applyFill="1" applyBorder="1"/>
    <xf numFmtId="166" fontId="6" fillId="2" borderId="3" xfId="1" applyNumberFormat="1" applyFont="1" applyFill="1" applyBorder="1"/>
    <xf numFmtId="0" fontId="6" fillId="0" borderId="4" xfId="0" applyFont="1" applyBorder="1"/>
    <xf numFmtId="166" fontId="10" fillId="4" borderId="3" xfId="1" applyNumberFormat="1" applyFont="1" applyFill="1" applyBorder="1"/>
    <xf numFmtId="3" fontId="10" fillId="4" borderId="4" xfId="0" applyNumberFormat="1" applyFont="1" applyFill="1" applyBorder="1"/>
    <xf numFmtId="166" fontId="14" fillId="2" borderId="3" xfId="1" applyNumberFormat="1" applyFont="1" applyFill="1" applyBorder="1"/>
    <xf numFmtId="0" fontId="14" fillId="2" borderId="4" xfId="0" applyFont="1" applyFill="1" applyBorder="1"/>
    <xf numFmtId="0" fontId="10" fillId="4" borderId="4" xfId="0" applyFont="1" applyFill="1" applyBorder="1"/>
    <xf numFmtId="166" fontId="11" fillId="6" borderId="3" xfId="1" applyNumberFormat="1" applyFont="1" applyFill="1" applyBorder="1"/>
    <xf numFmtId="0" fontId="11" fillId="6" borderId="4" xfId="0" applyFont="1" applyFill="1" applyBorder="1"/>
    <xf numFmtId="166" fontId="11" fillId="7" borderId="3" xfId="1" applyNumberFormat="1" applyFont="1" applyFill="1" applyBorder="1"/>
    <xf numFmtId="0" fontId="11" fillId="7" borderId="4" xfId="0" applyFont="1" applyFill="1" applyBorder="1"/>
    <xf numFmtId="166" fontId="11" fillId="5" borderId="3" xfId="1" applyNumberFormat="1" applyFont="1" applyFill="1" applyBorder="1"/>
    <xf numFmtId="0" fontId="11" fillId="5" borderId="4" xfId="0" applyFont="1" applyFill="1" applyBorder="1"/>
    <xf numFmtId="0" fontId="17" fillId="2" borderId="2" xfId="0" applyFont="1" applyFill="1" applyBorder="1"/>
    <xf numFmtId="0" fontId="17" fillId="2" borderId="3" xfId="0" applyFont="1" applyFill="1" applyBorder="1"/>
    <xf numFmtId="0" fontId="17" fillId="2" borderId="4" xfId="0" applyFont="1" applyFill="1" applyBorder="1"/>
    <xf numFmtId="0" fontId="0" fillId="2" borderId="2" xfId="0" applyFill="1" applyBorder="1"/>
    <xf numFmtId="0" fontId="0" fillId="2" borderId="3" xfId="0" applyFill="1" applyBorder="1"/>
    <xf numFmtId="0" fontId="0" fillId="2" borderId="4" xfId="0" applyFill="1" applyBorder="1"/>
    <xf numFmtId="0" fontId="0" fillId="0" borderId="2" xfId="0" applyBorder="1"/>
    <xf numFmtId="0" fontId="0" fillId="0" borderId="3" xfId="0" applyBorder="1"/>
    <xf numFmtId="0" fontId="0" fillId="0" borderId="4" xfId="0" applyBorder="1"/>
    <xf numFmtId="0" fontId="17" fillId="2" borderId="0" xfId="0" applyFont="1" applyFill="1" applyBorder="1"/>
    <xf numFmtId="0" fontId="0" fillId="2" borderId="0" xfId="0" applyFill="1" applyBorder="1"/>
    <xf numFmtId="166" fontId="11" fillId="2" borderId="3" xfId="1" applyNumberFormat="1" applyFont="1" applyFill="1" applyBorder="1"/>
    <xf numFmtId="3" fontId="11" fillId="2" borderId="4" xfId="0" applyNumberFormat="1" applyFont="1" applyFill="1" applyBorder="1"/>
    <xf numFmtId="0" fontId="18" fillId="0" borderId="0" xfId="0" applyFont="1"/>
    <xf numFmtId="0" fontId="11" fillId="2" borderId="4" xfId="0" applyFont="1" applyFill="1" applyBorder="1"/>
    <xf numFmtId="0" fontId="3" fillId="8" borderId="0" xfId="0" applyFont="1" applyFill="1" applyBorder="1"/>
    <xf numFmtId="0" fontId="4" fillId="8" borderId="1" xfId="0" applyFont="1" applyFill="1" applyBorder="1"/>
    <xf numFmtId="0" fontId="0" fillId="8" borderId="0" xfId="0" applyFill="1"/>
    <xf numFmtId="0" fontId="6" fillId="8" borderId="0" xfId="0" applyFont="1" applyFill="1" applyBorder="1"/>
    <xf numFmtId="0" fontId="6" fillId="3" borderId="0" xfId="0" applyFont="1" applyFill="1" applyBorder="1"/>
    <xf numFmtId="0" fontId="0" fillId="3" borderId="0" xfId="0" applyFill="1"/>
    <xf numFmtId="0" fontId="0" fillId="10" borderId="6" xfId="0" applyFill="1" applyBorder="1"/>
    <xf numFmtId="14" fontId="0" fillId="5" borderId="1" xfId="0" applyNumberFormat="1" applyFill="1" applyBorder="1"/>
    <xf numFmtId="0" fontId="0" fillId="2" borderId="8" xfId="0" applyFill="1" applyBorder="1"/>
    <xf numFmtId="0" fontId="0" fillId="2" borderId="10" xfId="0" applyFill="1" applyBorder="1"/>
    <xf numFmtId="166" fontId="0" fillId="2" borderId="10" xfId="1" applyNumberFormat="1" applyFont="1" applyFill="1" applyBorder="1"/>
    <xf numFmtId="0" fontId="0" fillId="0" borderId="10" xfId="0" applyBorder="1"/>
    <xf numFmtId="0" fontId="0" fillId="0" borderId="11" xfId="0" applyBorder="1"/>
    <xf numFmtId="166" fontId="0" fillId="2" borderId="12" xfId="1" applyNumberFormat="1" applyFont="1" applyFill="1" applyBorder="1"/>
    <xf numFmtId="0" fontId="2" fillId="2" borderId="14" xfId="0" applyFont="1" applyFill="1" applyBorder="1"/>
    <xf numFmtId="0" fontId="0" fillId="0" borderId="9" xfId="0"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2" xfId="0" applyFill="1" applyBorder="1"/>
    <xf numFmtId="0" fontId="0" fillId="0" borderId="13" xfId="0" applyBorder="1"/>
    <xf numFmtId="0" fontId="0" fillId="13" borderId="19" xfId="0" applyFill="1" applyBorder="1"/>
    <xf numFmtId="0" fontId="0" fillId="0" borderId="1" xfId="0" applyBorder="1"/>
    <xf numFmtId="14" fontId="0" fillId="0" borderId="8" xfId="0" applyNumberFormat="1" applyBorder="1"/>
    <xf numFmtId="0" fontId="0" fillId="0" borderId="8" xfId="0" applyBorder="1"/>
    <xf numFmtId="0" fontId="0" fillId="0" borderId="20" xfId="0" applyBorder="1"/>
    <xf numFmtId="14" fontId="0" fillId="0" borderId="0" xfId="0" applyNumberFormat="1"/>
    <xf numFmtId="167" fontId="0" fillId="0" borderId="10" xfId="0" applyNumberFormat="1" applyBorder="1"/>
    <xf numFmtId="166" fontId="0" fillId="0" borderId="10" xfId="1" applyNumberFormat="1" applyFont="1" applyBorder="1"/>
    <xf numFmtId="0" fontId="0" fillId="0" borderId="21" xfId="0" applyBorder="1"/>
    <xf numFmtId="0" fontId="0" fillId="0" borderId="22" xfId="0" applyBorder="1"/>
    <xf numFmtId="166" fontId="0" fillId="0" borderId="12" xfId="0" applyNumberFormat="1" applyBorder="1"/>
    <xf numFmtId="0" fontId="0" fillId="10" borderId="5" xfId="0" applyFill="1" applyBorder="1"/>
    <xf numFmtId="0" fontId="0" fillId="10" borderId="23" xfId="0" applyFill="1" applyBorder="1"/>
    <xf numFmtId="0" fontId="0" fillId="10" borderId="24" xfId="0" applyFill="1" applyBorder="1"/>
    <xf numFmtId="0" fontId="0" fillId="0" borderId="19" xfId="0" applyBorder="1"/>
    <xf numFmtId="4" fontId="0" fillId="0" borderId="25" xfId="0" applyNumberFormat="1" applyBorder="1"/>
    <xf numFmtId="4" fontId="0" fillId="0" borderId="12" xfId="0" applyNumberFormat="1" applyBorder="1"/>
    <xf numFmtId="0" fontId="0" fillId="2" borderId="25" xfId="0" applyFill="1" applyBorder="1"/>
    <xf numFmtId="0" fontId="0" fillId="0" borderId="29" xfId="0" applyBorder="1"/>
    <xf numFmtId="0" fontId="2" fillId="12" borderId="33" xfId="0" applyFont="1" applyFill="1" applyBorder="1"/>
    <xf numFmtId="0" fontId="0" fillId="2" borderId="34" xfId="0" applyFill="1" applyBorder="1"/>
    <xf numFmtId="0" fontId="2" fillId="2" borderId="0" xfId="0" applyFont="1" applyFill="1" applyBorder="1"/>
    <xf numFmtId="0" fontId="0" fillId="2" borderId="35" xfId="0" applyFill="1" applyBorder="1"/>
    <xf numFmtId="0" fontId="0" fillId="2" borderId="36" xfId="0" applyFill="1" applyBorder="1"/>
    <xf numFmtId="0" fontId="0" fillId="2" borderId="7" xfId="0" applyFill="1" applyBorder="1"/>
    <xf numFmtId="0" fontId="0" fillId="0" borderId="0" xfId="0" applyBorder="1"/>
    <xf numFmtId="0" fontId="0" fillId="10" borderId="0" xfId="0" applyFill="1" applyBorder="1"/>
    <xf numFmtId="0" fontId="6" fillId="2" borderId="0" xfId="0" applyFont="1" applyFill="1" applyBorder="1" applyAlignment="1">
      <alignment wrapText="1"/>
    </xf>
    <xf numFmtId="0" fontId="6" fillId="14" borderId="0" xfId="0" applyFont="1" applyFill="1" applyBorder="1"/>
    <xf numFmtId="14" fontId="22" fillId="3" borderId="0" xfId="0" applyNumberFormat="1" applyFont="1" applyFill="1" applyBorder="1"/>
    <xf numFmtId="0" fontId="24" fillId="2" borderId="0" xfId="0" applyFont="1" applyFill="1" applyBorder="1"/>
    <xf numFmtId="0" fontId="11" fillId="8" borderId="0" xfId="0" applyFont="1" applyFill="1" applyBorder="1"/>
    <xf numFmtId="0" fontId="14" fillId="8" borderId="0" xfId="0" applyFont="1" applyFill="1" applyBorder="1"/>
    <xf numFmtId="0" fontId="12" fillId="8" borderId="0" xfId="0" applyFont="1" applyFill="1" applyBorder="1"/>
    <xf numFmtId="0" fontId="14" fillId="15" borderId="0" xfId="0" applyFont="1" applyFill="1" applyBorder="1"/>
    <xf numFmtId="0" fontId="6" fillId="15" borderId="0" xfId="0" applyFont="1" applyFill="1" applyBorder="1"/>
    <xf numFmtId="0" fontId="12" fillId="15" borderId="0" xfId="0" applyFont="1" applyFill="1" applyBorder="1"/>
    <xf numFmtId="0" fontId="25" fillId="8" borderId="0" xfId="0" applyFont="1" applyFill="1" applyBorder="1"/>
    <xf numFmtId="0" fontId="15" fillId="8" borderId="0" xfId="0" applyFont="1" applyFill="1" applyBorder="1"/>
    <xf numFmtId="0" fontId="6" fillId="8" borderId="0" xfId="0" applyFont="1" applyFill="1" applyBorder="1" applyAlignment="1"/>
    <xf numFmtId="0" fontId="26" fillId="2" borderId="0" xfId="0" applyFont="1" applyFill="1" applyBorder="1"/>
    <xf numFmtId="166" fontId="6" fillId="2" borderId="0" xfId="1" applyNumberFormat="1" applyFont="1" applyFill="1" applyBorder="1"/>
    <xf numFmtId="0" fontId="22" fillId="3" borderId="0" xfId="0" applyFont="1" applyFill="1" applyBorder="1"/>
    <xf numFmtId="165" fontId="27" fillId="3" borderId="0" xfId="0" applyNumberFormat="1" applyFont="1" applyFill="1" applyBorder="1" applyAlignment="1">
      <alignment horizontal="right" vertical="center" indent="1"/>
    </xf>
    <xf numFmtId="0" fontId="0" fillId="14" borderId="0" xfId="0" applyFill="1"/>
    <xf numFmtId="14" fontId="22" fillId="3" borderId="0" xfId="0" applyNumberFormat="1" applyFont="1" applyFill="1" applyBorder="1" applyAlignment="1">
      <alignment horizontal="center" vertical="center"/>
    </xf>
    <xf numFmtId="0" fontId="4" fillId="14" borderId="1" xfId="0" applyFont="1" applyFill="1" applyBorder="1"/>
    <xf numFmtId="0" fontId="6" fillId="2" borderId="0" xfId="0" applyFont="1" applyFill="1"/>
    <xf numFmtId="0" fontId="11" fillId="15" borderId="0" xfId="0" applyFont="1" applyFill="1" applyBorder="1"/>
    <xf numFmtId="0" fontId="11" fillId="2" borderId="0" xfId="0" applyFont="1" applyFill="1" applyBorder="1" applyAlignment="1"/>
    <xf numFmtId="0" fontId="6" fillId="2" borderId="0" xfId="0" applyFont="1" applyFill="1" applyAlignment="1">
      <alignment wrapText="1"/>
    </xf>
    <xf numFmtId="0" fontId="19" fillId="2" borderId="0" xfId="0" applyFont="1" applyFill="1"/>
    <xf numFmtId="0" fontId="28" fillId="2" borderId="0" xfId="0" applyFont="1" applyFill="1"/>
    <xf numFmtId="0" fontId="14" fillId="2" borderId="0" xfId="0" applyFont="1" applyFill="1"/>
    <xf numFmtId="0" fontId="6" fillId="2" borderId="0" xfId="0" applyFont="1" applyFill="1" applyBorder="1" applyAlignment="1">
      <alignment horizontal="left" wrapText="1"/>
    </xf>
    <xf numFmtId="1" fontId="6" fillId="2" borderId="0" xfId="0" applyNumberFormat="1" applyFont="1" applyFill="1"/>
    <xf numFmtId="2" fontId="6" fillId="2" borderId="0" xfId="0" applyNumberFormat="1" applyFont="1" applyFill="1"/>
    <xf numFmtId="168" fontId="11" fillId="2" borderId="0" xfId="0" applyNumberFormat="1" applyFont="1" applyFill="1" applyBorder="1"/>
    <xf numFmtId="168" fontId="6" fillId="2" borderId="0" xfId="0" applyNumberFormat="1" applyFont="1" applyFill="1" applyBorder="1"/>
    <xf numFmtId="168" fontId="14" fillId="2" borderId="0" xfId="0" applyNumberFormat="1" applyFont="1" applyFill="1" applyBorder="1"/>
    <xf numFmtId="168" fontId="6" fillId="2" borderId="3" xfId="0" applyNumberFormat="1" applyFont="1" applyFill="1" applyBorder="1"/>
    <xf numFmtId="168" fontId="14" fillId="2" borderId="3" xfId="0" applyNumberFormat="1" applyFont="1" applyFill="1" applyBorder="1"/>
    <xf numFmtId="168" fontId="11" fillId="2" borderId="3" xfId="0" applyNumberFormat="1" applyFont="1" applyFill="1" applyBorder="1"/>
    <xf numFmtId="168" fontId="11" fillId="5" borderId="3" xfId="0" applyNumberFormat="1" applyFont="1" applyFill="1" applyBorder="1"/>
    <xf numFmtId="168" fontId="6" fillId="2" borderId="3" xfId="1" applyNumberFormat="1" applyFont="1" applyFill="1" applyBorder="1"/>
    <xf numFmtId="168" fontId="11" fillId="7" borderId="3" xfId="0" applyNumberFormat="1" applyFont="1" applyFill="1" applyBorder="1"/>
    <xf numFmtId="0" fontId="23" fillId="2" borderId="0" xfId="0" applyFont="1" applyFill="1" applyBorder="1" applyAlignment="1"/>
    <xf numFmtId="168" fontId="11" fillId="2" borderId="2" xfId="0" applyNumberFormat="1" applyFont="1" applyFill="1" applyBorder="1"/>
    <xf numFmtId="168" fontId="6" fillId="2" borderId="2" xfId="0" applyNumberFormat="1" applyFont="1" applyFill="1" applyBorder="1"/>
    <xf numFmtId="168" fontId="14" fillId="2" borderId="2" xfId="0" applyNumberFormat="1" applyFont="1" applyFill="1" applyBorder="1"/>
    <xf numFmtId="168" fontId="6" fillId="2" borderId="0" xfId="0" applyNumberFormat="1" applyFont="1" applyFill="1" applyBorder="1" applyAlignment="1">
      <alignment wrapText="1"/>
    </xf>
    <xf numFmtId="168" fontId="6" fillId="2" borderId="0" xfId="1" applyNumberFormat="1" applyFont="1" applyFill="1" applyBorder="1"/>
    <xf numFmtId="168" fontId="11" fillId="7" borderId="2" xfId="0" applyNumberFormat="1" applyFont="1" applyFill="1" applyBorder="1"/>
    <xf numFmtId="168" fontId="11" fillId="5" borderId="2" xfId="0" applyNumberFormat="1" applyFont="1" applyFill="1" applyBorder="1"/>
    <xf numFmtId="168" fontId="6" fillId="5" borderId="2" xfId="0" applyNumberFormat="1" applyFont="1" applyFill="1" applyBorder="1"/>
    <xf numFmtId="168" fontId="6" fillId="5" borderId="3" xfId="0" applyNumberFormat="1" applyFont="1" applyFill="1" applyBorder="1"/>
    <xf numFmtId="168" fontId="11" fillId="6" borderId="2" xfId="0" applyNumberFormat="1" applyFont="1" applyFill="1" applyBorder="1"/>
    <xf numFmtId="168" fontId="11" fillId="6" borderId="3" xfId="0" applyNumberFormat="1" applyFont="1" applyFill="1" applyBorder="1"/>
    <xf numFmtId="168" fontId="14" fillId="6" borderId="2" xfId="0" applyNumberFormat="1" applyFont="1" applyFill="1" applyBorder="1"/>
    <xf numFmtId="168" fontId="14" fillId="6" borderId="3" xfId="0" applyNumberFormat="1" applyFont="1" applyFill="1" applyBorder="1"/>
    <xf numFmtId="0" fontId="29" fillId="2" borderId="0" xfId="0" applyFont="1" applyFill="1"/>
    <xf numFmtId="0" fontId="4" fillId="2" borderId="1" xfId="0" applyFont="1" applyFill="1" applyBorder="1"/>
    <xf numFmtId="0" fontId="6" fillId="2" borderId="0" xfId="0" applyFont="1" applyFill="1" applyBorder="1" applyAlignment="1"/>
    <xf numFmtId="14" fontId="8" fillId="2" borderId="0" xfId="0" applyNumberFormat="1" applyFont="1" applyFill="1" applyBorder="1"/>
    <xf numFmtId="0" fontId="8" fillId="2" borderId="0" xfId="0" applyFont="1" applyFill="1" applyBorder="1"/>
    <xf numFmtId="0" fontId="29" fillId="2" borderId="0" xfId="0" applyFont="1" applyFill="1" applyBorder="1"/>
    <xf numFmtId="0" fontId="0" fillId="0" borderId="0" xfId="0" applyFont="1" applyBorder="1"/>
    <xf numFmtId="0" fontId="0" fillId="2" borderId="0" xfId="0" applyFont="1" applyFill="1" applyBorder="1"/>
    <xf numFmtId="0" fontId="0" fillId="2" borderId="0" xfId="0" applyFont="1" applyFill="1"/>
    <xf numFmtId="0" fontId="0" fillId="0" borderId="0" xfId="0" applyFont="1"/>
    <xf numFmtId="0" fontId="0" fillId="6" borderId="0" xfId="0" applyFont="1" applyFill="1" applyBorder="1"/>
    <xf numFmtId="0" fontId="0" fillId="5" borderId="0" xfId="0" applyFont="1" applyFill="1" applyBorder="1"/>
    <xf numFmtId="168" fontId="0" fillId="0" borderId="3" xfId="0" applyNumberFormat="1" applyFont="1" applyBorder="1"/>
    <xf numFmtId="0" fontId="0" fillId="2" borderId="2" xfId="0" applyFont="1" applyFill="1" applyBorder="1"/>
    <xf numFmtId="0" fontId="0" fillId="2" borderId="3" xfId="0" applyFont="1" applyFill="1" applyBorder="1"/>
    <xf numFmtId="0" fontId="7" fillId="2" borderId="0" xfId="0" applyFont="1" applyFill="1" applyBorder="1"/>
    <xf numFmtId="0" fontId="6" fillId="2" borderId="29" xfId="0" applyFont="1" applyFill="1" applyBorder="1"/>
    <xf numFmtId="164" fontId="6" fillId="2" borderId="2" xfId="2" applyFont="1" applyFill="1" applyBorder="1"/>
    <xf numFmtId="164" fontId="6" fillId="2" borderId="3" xfId="2" applyFont="1" applyFill="1" applyBorder="1"/>
    <xf numFmtId="169" fontId="11" fillId="2" borderId="2" xfId="2" applyNumberFormat="1" applyFont="1" applyFill="1" applyBorder="1"/>
    <xf numFmtId="169" fontId="11" fillId="2" borderId="3" xfId="2" applyNumberFormat="1" applyFont="1" applyFill="1" applyBorder="1"/>
    <xf numFmtId="169" fontId="6" fillId="2" borderId="2" xfId="2" applyNumberFormat="1" applyFont="1" applyFill="1" applyBorder="1"/>
    <xf numFmtId="169" fontId="6" fillId="2" borderId="3" xfId="2" applyNumberFormat="1" applyFont="1" applyFill="1" applyBorder="1"/>
    <xf numFmtId="169" fontId="6" fillId="5" borderId="2" xfId="2" applyNumberFormat="1" applyFont="1" applyFill="1" applyBorder="1"/>
    <xf numFmtId="169" fontId="6" fillId="5" borderId="3" xfId="2" applyNumberFormat="1" applyFont="1" applyFill="1" applyBorder="1"/>
    <xf numFmtId="169" fontId="6" fillId="7" borderId="2" xfId="2" applyNumberFormat="1" applyFont="1" applyFill="1" applyBorder="1"/>
    <xf numFmtId="169" fontId="6" fillId="7" borderId="3" xfId="2" applyNumberFormat="1" applyFont="1" applyFill="1" applyBorder="1"/>
    <xf numFmtId="169" fontId="6" fillId="2" borderId="2" xfId="0" applyNumberFormat="1" applyFont="1" applyFill="1" applyBorder="1"/>
    <xf numFmtId="169" fontId="6" fillId="2" borderId="3" xfId="0" applyNumberFormat="1" applyFont="1" applyFill="1" applyBorder="1"/>
    <xf numFmtId="10" fontId="6" fillId="2" borderId="2" xfId="2" applyNumberFormat="1" applyFont="1" applyFill="1" applyBorder="1"/>
    <xf numFmtId="164" fontId="14" fillId="2" borderId="2" xfId="2" applyFont="1" applyFill="1" applyBorder="1"/>
    <xf numFmtId="164" fontId="14" fillId="2" borderId="3" xfId="2" applyFont="1" applyFill="1" applyBorder="1"/>
    <xf numFmtId="169" fontId="14" fillId="2" borderId="3" xfId="2" applyNumberFormat="1" applyFont="1" applyFill="1" applyBorder="1"/>
    <xf numFmtId="169" fontId="11" fillId="6" borderId="3" xfId="2" applyNumberFormat="1" applyFont="1" applyFill="1" applyBorder="1"/>
    <xf numFmtId="169" fontId="11" fillId="5" borderId="3" xfId="2" applyNumberFormat="1" applyFont="1" applyFill="1" applyBorder="1"/>
    <xf numFmtId="168" fontId="6" fillId="2" borderId="2" xfId="2" applyNumberFormat="1" applyFont="1" applyFill="1" applyBorder="1"/>
    <xf numFmtId="168" fontId="6" fillId="2" borderId="3" xfId="2" applyNumberFormat="1" applyFont="1" applyFill="1" applyBorder="1"/>
    <xf numFmtId="168" fontId="10" fillId="4" borderId="2" xfId="2" applyNumberFormat="1" applyFont="1" applyFill="1" applyBorder="1"/>
    <xf numFmtId="168" fontId="10" fillId="4" borderId="3" xfId="2" applyNumberFormat="1" applyFont="1" applyFill="1" applyBorder="1"/>
    <xf numFmtId="168" fontId="14" fillId="2" borderId="2" xfId="2" applyNumberFormat="1" applyFont="1" applyFill="1" applyBorder="1"/>
    <xf numFmtId="168" fontId="14" fillId="2" borderId="3" xfId="2" applyNumberFormat="1" applyFont="1" applyFill="1" applyBorder="1"/>
    <xf numFmtId="168" fontId="29" fillId="2" borderId="2" xfId="2" applyNumberFormat="1" applyFont="1" applyFill="1" applyBorder="1"/>
    <xf numFmtId="168" fontId="29" fillId="2" borderId="3" xfId="2" applyNumberFormat="1" applyFont="1" applyFill="1" applyBorder="1"/>
    <xf numFmtId="168" fontId="0" fillId="2" borderId="2" xfId="2" applyNumberFormat="1" applyFont="1" applyFill="1" applyBorder="1"/>
    <xf numFmtId="168" fontId="0" fillId="2" borderId="3" xfId="2" applyNumberFormat="1" applyFont="1" applyFill="1" applyBorder="1"/>
    <xf numFmtId="168" fontId="0" fillId="0" borderId="2" xfId="2" applyNumberFormat="1" applyFont="1" applyBorder="1"/>
    <xf numFmtId="168" fontId="0" fillId="0" borderId="3" xfId="2" applyNumberFormat="1" applyFont="1" applyBorder="1"/>
    <xf numFmtId="168" fontId="11" fillId="2" borderId="2" xfId="2" applyNumberFormat="1" applyFont="1" applyFill="1" applyBorder="1"/>
    <xf numFmtId="168" fontId="11" fillId="2" borderId="3" xfId="2" applyNumberFormat="1" applyFont="1" applyFill="1" applyBorder="1"/>
    <xf numFmtId="168" fontId="11" fillId="6" borderId="2" xfId="2" applyNumberFormat="1" applyFont="1" applyFill="1" applyBorder="1"/>
    <xf numFmtId="168" fontId="11" fillId="6" borderId="3" xfId="2" applyNumberFormat="1" applyFont="1" applyFill="1" applyBorder="1"/>
    <xf numFmtId="168" fontId="6" fillId="0" borderId="2" xfId="2" applyNumberFormat="1" applyFont="1" applyBorder="1"/>
    <xf numFmtId="168" fontId="11" fillId="7" borderId="2" xfId="2" applyNumberFormat="1" applyFont="1" applyFill="1" applyBorder="1"/>
    <xf numFmtId="168" fontId="11" fillId="7" borderId="3" xfId="2" applyNumberFormat="1" applyFont="1" applyFill="1" applyBorder="1"/>
    <xf numFmtId="168" fontId="16" fillId="2" borderId="2" xfId="2" applyNumberFormat="1" applyFont="1" applyFill="1" applyBorder="1"/>
    <xf numFmtId="168" fontId="11" fillId="5" borderId="2" xfId="2" applyNumberFormat="1" applyFont="1" applyFill="1" applyBorder="1"/>
    <xf numFmtId="168" fontId="11" fillId="5" borderId="3" xfId="2" applyNumberFormat="1" applyFont="1" applyFill="1" applyBorder="1"/>
    <xf numFmtId="169" fontId="6" fillId="2" borderId="0" xfId="2" applyNumberFormat="1" applyFont="1" applyFill="1" applyBorder="1"/>
    <xf numFmtId="169" fontId="7" fillId="15" borderId="0" xfId="2" applyNumberFormat="1" applyFont="1" applyFill="1" applyBorder="1"/>
    <xf numFmtId="169" fontId="7" fillId="15" borderId="3" xfId="2" applyNumberFormat="1" applyFont="1" applyFill="1" applyBorder="1"/>
    <xf numFmtId="169" fontId="10" fillId="8" borderId="0" xfId="2" applyNumberFormat="1" applyFont="1" applyFill="1" applyBorder="1"/>
    <xf numFmtId="169" fontId="10" fillId="8" borderId="3" xfId="2" applyNumberFormat="1" applyFont="1" applyFill="1" applyBorder="1"/>
    <xf numFmtId="169" fontId="14" fillId="2" borderId="0" xfId="2" applyNumberFormat="1" applyFont="1" applyFill="1" applyBorder="1"/>
    <xf numFmtId="169" fontId="10" fillId="2" borderId="0" xfId="2" applyNumberFormat="1" applyFont="1" applyFill="1" applyBorder="1"/>
    <xf numFmtId="169" fontId="10" fillId="2" borderId="3" xfId="2" applyNumberFormat="1" applyFont="1" applyFill="1" applyBorder="1"/>
    <xf numFmtId="169" fontId="11" fillId="6" borderId="0" xfId="2" applyNumberFormat="1" applyFont="1" applyFill="1" applyBorder="1"/>
    <xf numFmtId="169" fontId="14" fillId="15" borderId="0" xfId="2" applyNumberFormat="1" applyFont="1" applyFill="1" applyBorder="1"/>
    <xf numFmtId="169" fontId="14" fillId="15" borderId="3" xfId="2" applyNumberFormat="1" applyFont="1" applyFill="1" applyBorder="1"/>
    <xf numFmtId="169" fontId="11" fillId="5" borderId="0" xfId="2" applyNumberFormat="1" applyFont="1" applyFill="1" applyBorder="1"/>
    <xf numFmtId="169" fontId="6" fillId="15" borderId="0" xfId="2" applyNumberFormat="1" applyFont="1" applyFill="1" applyBorder="1"/>
    <xf numFmtId="169" fontId="6" fillId="15" borderId="3" xfId="2" applyNumberFormat="1" applyFont="1" applyFill="1" applyBorder="1"/>
    <xf numFmtId="169" fontId="14" fillId="8" borderId="0" xfId="2" applyNumberFormat="1" applyFont="1" applyFill="1" applyBorder="1"/>
    <xf numFmtId="169" fontId="14" fillId="8" borderId="3" xfId="2" applyNumberFormat="1" applyFont="1" applyFill="1" applyBorder="1"/>
    <xf numFmtId="169" fontId="25" fillId="8" borderId="0" xfId="2" applyNumberFormat="1" applyFont="1" applyFill="1" applyBorder="1"/>
    <xf numFmtId="169" fontId="25" fillId="8" borderId="3" xfId="2" applyNumberFormat="1" applyFont="1" applyFill="1" applyBorder="1"/>
    <xf numFmtId="169" fontId="11" fillId="2" borderId="0" xfId="2" applyNumberFormat="1" applyFont="1" applyFill="1" applyBorder="1"/>
    <xf numFmtId="169" fontId="6" fillId="5" borderId="0" xfId="2" applyNumberFormat="1" applyFont="1" applyFill="1" applyBorder="1"/>
    <xf numFmtId="169" fontId="30" fillId="8" borderId="0" xfId="2" applyNumberFormat="1" applyFont="1" applyFill="1" applyBorder="1"/>
    <xf numFmtId="169" fontId="30" fillId="8" borderId="3" xfId="2" applyNumberFormat="1" applyFont="1" applyFill="1" applyBorder="1"/>
    <xf numFmtId="168" fontId="6" fillId="2" borderId="2" xfId="1" applyNumberFormat="1" applyFont="1" applyFill="1" applyBorder="1"/>
    <xf numFmtId="168" fontId="0" fillId="0" borderId="2" xfId="0" applyNumberFormat="1" applyFont="1" applyBorder="1"/>
    <xf numFmtId="0" fontId="3" fillId="8" borderId="0" xfId="0" applyFont="1" applyFill="1" applyBorder="1" applyAlignment="1"/>
    <xf numFmtId="0" fontId="21" fillId="8" borderId="0" xfId="0" applyFont="1" applyFill="1" applyBorder="1"/>
    <xf numFmtId="0" fontId="23" fillId="8" borderId="0" xfId="0" applyFont="1" applyFill="1" applyBorder="1"/>
    <xf numFmtId="0" fontId="21" fillId="8" borderId="0" xfId="0" applyFont="1" applyFill="1"/>
    <xf numFmtId="0" fontId="0" fillId="0" borderId="0" xfId="0" applyFill="1"/>
    <xf numFmtId="164" fontId="6" fillId="2" borderId="2" xfId="2" applyNumberFormat="1" applyFont="1" applyFill="1" applyBorder="1"/>
    <xf numFmtId="164" fontId="6" fillId="2" borderId="3" xfId="2" applyNumberFormat="1" applyFont="1" applyFill="1" applyBorder="1"/>
    <xf numFmtId="0" fontId="0" fillId="8" borderId="0" xfId="0" applyFill="1" applyBorder="1"/>
    <xf numFmtId="0" fontId="0" fillId="3" borderId="0" xfId="0" applyFill="1" applyBorder="1"/>
    <xf numFmtId="0" fontId="0" fillId="8" borderId="28" xfId="0" applyFill="1" applyBorder="1"/>
    <xf numFmtId="0" fontId="3" fillId="8" borderId="1" xfId="0" applyFont="1" applyFill="1" applyBorder="1"/>
    <xf numFmtId="0" fontId="0" fillId="8" borderId="1" xfId="0" applyFill="1" applyBorder="1"/>
    <xf numFmtId="0" fontId="6" fillId="8" borderId="1" xfId="0" applyFont="1" applyFill="1" applyBorder="1"/>
    <xf numFmtId="0" fontId="6" fillId="8" borderId="27" xfId="0" applyFont="1" applyFill="1" applyBorder="1"/>
    <xf numFmtId="0" fontId="0" fillId="8" borderId="29" xfId="0" applyFill="1" applyBorder="1"/>
    <xf numFmtId="0" fontId="0" fillId="3" borderId="29" xfId="0" applyFill="1" applyBorder="1"/>
    <xf numFmtId="14" fontId="22" fillId="3" borderId="30" xfId="0" applyNumberFormat="1" applyFont="1" applyFill="1" applyBorder="1"/>
    <xf numFmtId="0" fontId="0" fillId="2" borderId="29" xfId="0" applyFill="1" applyBorder="1"/>
    <xf numFmtId="0" fontId="6" fillId="2" borderId="37" xfId="0" applyFont="1" applyFill="1" applyBorder="1"/>
    <xf numFmtId="169" fontId="11" fillId="2" borderId="37" xfId="2" applyNumberFormat="1" applyFont="1" applyFill="1" applyBorder="1"/>
    <xf numFmtId="169" fontId="6" fillId="2" borderId="37" xfId="2" applyNumberFormat="1" applyFont="1" applyFill="1" applyBorder="1"/>
    <xf numFmtId="164" fontId="6" fillId="2" borderId="37" xfId="2" applyNumberFormat="1" applyFont="1" applyFill="1" applyBorder="1"/>
    <xf numFmtId="169" fontId="6" fillId="5" borderId="37" xfId="2" applyNumberFormat="1" applyFont="1" applyFill="1" applyBorder="1"/>
    <xf numFmtId="169" fontId="6" fillId="2" borderId="30" xfId="2" applyNumberFormat="1" applyFont="1" applyFill="1" applyBorder="1"/>
    <xf numFmtId="169" fontId="6" fillId="7" borderId="30" xfId="2" applyNumberFormat="1" applyFont="1" applyFill="1" applyBorder="1"/>
    <xf numFmtId="10" fontId="6" fillId="2" borderId="30" xfId="2" applyNumberFormat="1" applyFont="1" applyFill="1" applyBorder="1"/>
    <xf numFmtId="169" fontId="6" fillId="7" borderId="37" xfId="2" applyNumberFormat="1" applyFont="1" applyFill="1" applyBorder="1"/>
    <xf numFmtId="169" fontId="6" fillId="2" borderId="37" xfId="0" applyNumberFormat="1" applyFont="1" applyFill="1" applyBorder="1"/>
    <xf numFmtId="169" fontId="6" fillId="2" borderId="30" xfId="0" applyNumberFormat="1" applyFont="1" applyFill="1" applyBorder="1"/>
    <xf numFmtId="0" fontId="0" fillId="2" borderId="31" xfId="0" applyFill="1" applyBorder="1"/>
    <xf numFmtId="0" fontId="6" fillId="2" borderId="22" xfId="0" applyFont="1" applyFill="1" applyBorder="1"/>
    <xf numFmtId="169" fontId="6" fillId="2" borderId="38" xfId="0" applyNumberFormat="1" applyFont="1" applyFill="1" applyBorder="1"/>
    <xf numFmtId="169" fontId="6" fillId="2" borderId="32" xfId="0" applyNumberFormat="1" applyFont="1" applyFill="1" applyBorder="1"/>
    <xf numFmtId="0" fontId="6" fillId="11" borderId="5" xfId="0" applyFont="1" applyFill="1" applyBorder="1"/>
    <xf numFmtId="0" fontId="0" fillId="11" borderId="6" xfId="0" applyFill="1" applyBorder="1"/>
    <xf numFmtId="0" fontId="0" fillId="11" borderId="39" xfId="0" applyFill="1" applyBorder="1"/>
    <xf numFmtId="0" fontId="0" fillId="0" borderId="0" xfId="0" applyFill="1" applyBorder="1"/>
    <xf numFmtId="0" fontId="0" fillId="2" borderId="44" xfId="0" applyFill="1" applyBorder="1"/>
    <xf numFmtId="0" fontId="0" fillId="2" borderId="30" xfId="0" applyFill="1" applyBorder="1"/>
    <xf numFmtId="0" fontId="0" fillId="2" borderId="45" xfId="0" applyFill="1" applyBorder="1"/>
    <xf numFmtId="0" fontId="0" fillId="2" borderId="27" xfId="0" applyFill="1" applyBorder="1"/>
    <xf numFmtId="0" fontId="0" fillId="2" borderId="32" xfId="0" applyFill="1" applyBorder="1"/>
    <xf numFmtId="0" fontId="0" fillId="2" borderId="1" xfId="0" applyFill="1" applyBorder="1"/>
    <xf numFmtId="0" fontId="0" fillId="6" borderId="0" xfId="0" applyFill="1" applyBorder="1"/>
    <xf numFmtId="14" fontId="0" fillId="2" borderId="0" xfId="0" applyNumberFormat="1" applyFill="1" applyBorder="1"/>
    <xf numFmtId="14" fontId="22" fillId="3" borderId="0" xfId="0" applyNumberFormat="1" applyFont="1" applyFill="1" applyBorder="1" applyAlignment="1">
      <alignment horizontal="right"/>
    </xf>
    <xf numFmtId="0" fontId="0" fillId="18" borderId="0" xfId="0" applyFont="1" applyFill="1" applyBorder="1"/>
    <xf numFmtId="0" fontId="0" fillId="19" borderId="0" xfId="0" applyFill="1"/>
    <xf numFmtId="0" fontId="4" fillId="14" borderId="27" xfId="0" applyFont="1" applyFill="1" applyBorder="1"/>
    <xf numFmtId="0" fontId="0" fillId="14" borderId="29" xfId="0" applyFill="1" applyBorder="1"/>
    <xf numFmtId="14" fontId="22" fillId="3" borderId="30" xfId="0" applyNumberFormat="1" applyFont="1" applyFill="1" applyBorder="1" applyAlignment="1">
      <alignment horizontal="center" vertical="center"/>
    </xf>
    <xf numFmtId="0" fontId="11" fillId="2" borderId="29" xfId="0" applyFont="1" applyFill="1" applyBorder="1"/>
    <xf numFmtId="168" fontId="6" fillId="2" borderId="29" xfId="0" applyNumberFormat="1" applyFont="1" applyFill="1" applyBorder="1"/>
    <xf numFmtId="168" fontId="6" fillId="2" borderId="37" xfId="0" applyNumberFormat="1" applyFont="1" applyFill="1" applyBorder="1"/>
    <xf numFmtId="168" fontId="11" fillId="5" borderId="29" xfId="0" applyNumberFormat="1" applyFont="1" applyFill="1" applyBorder="1"/>
    <xf numFmtId="168" fontId="11" fillId="5" borderId="0" xfId="0" applyNumberFormat="1" applyFont="1" applyFill="1" applyBorder="1"/>
    <xf numFmtId="168" fontId="11" fillId="5" borderId="37" xfId="0" applyNumberFormat="1" applyFont="1" applyFill="1" applyBorder="1"/>
    <xf numFmtId="168" fontId="11" fillId="6" borderId="29" xfId="0" applyNumberFormat="1" applyFont="1" applyFill="1" applyBorder="1"/>
    <xf numFmtId="168" fontId="11" fillId="6" borderId="0" xfId="0" applyNumberFormat="1" applyFont="1" applyFill="1" applyBorder="1"/>
    <xf numFmtId="168" fontId="11" fillId="6" borderId="37" xfId="0" applyNumberFormat="1" applyFont="1" applyFill="1" applyBorder="1"/>
    <xf numFmtId="168" fontId="11" fillId="2" borderId="29" xfId="0" applyNumberFormat="1" applyFont="1" applyFill="1" applyBorder="1"/>
    <xf numFmtId="168" fontId="11" fillId="2" borderId="37" xfId="0" applyNumberFormat="1" applyFont="1" applyFill="1" applyBorder="1"/>
    <xf numFmtId="168" fontId="14" fillId="2" borderId="29" xfId="0" applyNumberFormat="1" applyFont="1" applyFill="1" applyBorder="1"/>
    <xf numFmtId="168" fontId="6" fillId="2" borderId="29" xfId="0" applyNumberFormat="1" applyFont="1" applyFill="1" applyBorder="1" applyAlignment="1">
      <alignment wrapText="1"/>
    </xf>
    <xf numFmtId="168" fontId="6" fillId="2" borderId="30" xfId="0" applyNumberFormat="1" applyFont="1" applyFill="1" applyBorder="1"/>
    <xf numFmtId="168" fontId="11" fillId="5" borderId="30" xfId="0" applyNumberFormat="1" applyFont="1" applyFill="1" applyBorder="1"/>
    <xf numFmtId="168" fontId="11" fillId="7" borderId="29" xfId="0" applyNumberFormat="1" applyFont="1" applyFill="1" applyBorder="1"/>
    <xf numFmtId="168" fontId="11" fillId="7" borderId="0" xfId="0" applyNumberFormat="1" applyFont="1" applyFill="1" applyBorder="1"/>
    <xf numFmtId="168" fontId="11" fillId="7" borderId="30" xfId="0" applyNumberFormat="1" applyFont="1" applyFill="1" applyBorder="1"/>
    <xf numFmtId="168" fontId="6" fillId="5" borderId="29" xfId="0" applyNumberFormat="1" applyFont="1" applyFill="1" applyBorder="1"/>
    <xf numFmtId="168" fontId="6" fillId="5" borderId="0" xfId="0" applyNumberFormat="1" applyFont="1" applyFill="1" applyBorder="1"/>
    <xf numFmtId="168" fontId="14" fillId="6" borderId="29" xfId="0" applyNumberFormat="1" applyFont="1" applyFill="1" applyBorder="1"/>
    <xf numFmtId="168" fontId="14" fillId="6" borderId="0" xfId="0" applyNumberFormat="1" applyFont="1" applyFill="1" applyBorder="1"/>
    <xf numFmtId="168" fontId="7" fillId="6" borderId="37" xfId="0" applyNumberFormat="1" applyFont="1" applyFill="1" applyBorder="1"/>
    <xf numFmtId="168" fontId="14" fillId="2" borderId="37" xfId="0" applyNumberFormat="1" applyFont="1" applyFill="1" applyBorder="1"/>
    <xf numFmtId="168" fontId="11" fillId="7" borderId="31" xfId="0" applyNumberFormat="1" applyFont="1" applyFill="1" applyBorder="1"/>
    <xf numFmtId="168" fontId="11" fillId="7" borderId="22" xfId="0" applyNumberFormat="1" applyFont="1" applyFill="1" applyBorder="1"/>
    <xf numFmtId="168" fontId="11" fillId="7" borderId="38" xfId="0" applyNumberFormat="1" applyFont="1" applyFill="1" applyBorder="1"/>
    <xf numFmtId="168" fontId="11" fillId="7" borderId="46" xfId="0" applyNumberFormat="1" applyFont="1" applyFill="1" applyBorder="1"/>
    <xf numFmtId="0" fontId="3" fillId="14" borderId="28" xfId="0" applyFont="1" applyFill="1" applyBorder="1"/>
    <xf numFmtId="0" fontId="6" fillId="14" borderId="1" xfId="0" applyFont="1" applyFill="1" applyBorder="1"/>
    <xf numFmtId="0" fontId="6" fillId="14" borderId="27" xfId="0" applyFont="1" applyFill="1" applyBorder="1"/>
    <xf numFmtId="0" fontId="6" fillId="14" borderId="29" xfId="0" applyFont="1" applyFill="1" applyBorder="1"/>
    <xf numFmtId="0" fontId="0" fillId="3" borderId="29" xfId="0" applyFont="1" applyFill="1" applyBorder="1"/>
    <xf numFmtId="14" fontId="22" fillId="3" borderId="30" xfId="0" applyNumberFormat="1" applyFont="1" applyFill="1" applyBorder="1" applyAlignment="1">
      <alignment horizontal="right"/>
    </xf>
    <xf numFmtId="0" fontId="0" fillId="2" borderId="29" xfId="0" applyFont="1" applyFill="1" applyBorder="1"/>
    <xf numFmtId="0" fontId="0" fillId="2" borderId="37" xfId="0" applyFont="1" applyFill="1" applyBorder="1"/>
    <xf numFmtId="0" fontId="11" fillId="5" borderId="29" xfId="0" applyFont="1" applyFill="1" applyBorder="1"/>
    <xf numFmtId="0" fontId="0" fillId="0" borderId="29" xfId="0" applyFont="1" applyBorder="1"/>
    <xf numFmtId="0" fontId="6" fillId="0" borderId="29" xfId="0" applyFont="1" applyBorder="1"/>
    <xf numFmtId="0" fontId="6" fillId="18" borderId="29" xfId="0" applyFont="1" applyFill="1" applyBorder="1"/>
    <xf numFmtId="168" fontId="6" fillId="5" borderId="37" xfId="0" applyNumberFormat="1" applyFont="1" applyFill="1" applyBorder="1"/>
    <xf numFmtId="0" fontId="11" fillId="7" borderId="31" xfId="0" applyFont="1" applyFill="1" applyBorder="1"/>
    <xf numFmtId="0" fontId="0" fillId="7" borderId="22" xfId="0" applyFont="1" applyFill="1" applyBorder="1"/>
    <xf numFmtId="0" fontId="3" fillId="8" borderId="28" xfId="0" applyFont="1" applyFill="1" applyBorder="1"/>
    <xf numFmtId="0" fontId="11" fillId="7" borderId="29" xfId="0" applyFont="1" applyFill="1" applyBorder="1"/>
    <xf numFmtId="0" fontId="6" fillId="2" borderId="31" xfId="0" applyFont="1" applyFill="1" applyBorder="1"/>
    <xf numFmtId="10" fontId="0" fillId="0" borderId="0" xfId="1" applyNumberFormat="1" applyFont="1" applyFill="1" applyBorder="1"/>
    <xf numFmtId="169" fontId="0" fillId="11" borderId="39" xfId="0" applyNumberFormat="1" applyFill="1" applyBorder="1"/>
    <xf numFmtId="169" fontId="0" fillId="11" borderId="39" xfId="2" applyNumberFormat="1" applyFont="1" applyFill="1" applyBorder="1"/>
    <xf numFmtId="0" fontId="0" fillId="2" borderId="5" xfId="0" applyFill="1" applyBorder="1"/>
    <xf numFmtId="0" fontId="0" fillId="2" borderId="6" xfId="0" applyFill="1" applyBorder="1"/>
    <xf numFmtId="166" fontId="0" fillId="2" borderId="0" xfId="1" applyNumberFormat="1" applyFont="1" applyFill="1" applyBorder="1"/>
    <xf numFmtId="168" fontId="0" fillId="0" borderId="2" xfId="0" applyNumberFormat="1" applyBorder="1"/>
    <xf numFmtId="168" fontId="0" fillId="0" borderId="3" xfId="0" applyNumberFormat="1" applyBorder="1"/>
    <xf numFmtId="168" fontId="11" fillId="6" borderId="30" xfId="0" applyNumberFormat="1" applyFont="1" applyFill="1" applyBorder="1"/>
    <xf numFmtId="168" fontId="14" fillId="2" borderId="29" xfId="0" applyNumberFormat="1" applyFont="1" applyFill="1" applyBorder="1" applyAlignment="1">
      <alignment wrapText="1"/>
    </xf>
    <xf numFmtId="168" fontId="14" fillId="2" borderId="0" xfId="0" applyNumberFormat="1" applyFont="1" applyFill="1" applyBorder="1" applyAlignment="1">
      <alignment wrapText="1"/>
    </xf>
    <xf numFmtId="168" fontId="14" fillId="6" borderId="37" xfId="0" applyNumberFormat="1" applyFont="1" applyFill="1" applyBorder="1"/>
    <xf numFmtId="0" fontId="28" fillId="2" borderId="31" xfId="0" applyFont="1" applyFill="1" applyBorder="1"/>
    <xf numFmtId="0" fontId="28" fillId="2" borderId="22" xfId="0" applyFont="1" applyFill="1" applyBorder="1"/>
    <xf numFmtId="168" fontId="28" fillId="2" borderId="22" xfId="0" applyNumberFormat="1" applyFont="1" applyFill="1" applyBorder="1"/>
    <xf numFmtId="168" fontId="28" fillId="2" borderId="32" xfId="0" applyNumberFormat="1" applyFont="1" applyFill="1" applyBorder="1"/>
    <xf numFmtId="0" fontId="0" fillId="2" borderId="37" xfId="0" applyFill="1" applyBorder="1"/>
    <xf numFmtId="0" fontId="14" fillId="2" borderId="29" xfId="0" applyFont="1" applyFill="1" applyBorder="1"/>
    <xf numFmtId="0" fontId="11" fillId="6" borderId="29" xfId="0" applyFont="1" applyFill="1" applyBorder="1"/>
    <xf numFmtId="0" fontId="0" fillId="5" borderId="0" xfId="0" applyFill="1" applyBorder="1"/>
    <xf numFmtId="168" fontId="6" fillId="2" borderId="37" xfId="1" applyNumberFormat="1" applyFont="1" applyFill="1" applyBorder="1"/>
    <xf numFmtId="0" fontId="6" fillId="2" borderId="29" xfId="0" applyFont="1" applyFill="1" applyBorder="1" applyAlignment="1">
      <alignment wrapText="1"/>
    </xf>
    <xf numFmtId="168" fontId="0" fillId="0" borderId="37" xfId="0" applyNumberFormat="1" applyBorder="1"/>
    <xf numFmtId="0" fontId="0" fillId="7" borderId="22" xfId="0" applyFill="1" applyBorder="1"/>
    <xf numFmtId="168" fontId="11" fillId="7" borderId="53" xfId="0" applyNumberFormat="1" applyFont="1" applyFill="1" applyBorder="1"/>
    <xf numFmtId="164" fontId="6" fillId="2" borderId="37" xfId="2" applyFont="1" applyFill="1" applyBorder="1"/>
    <xf numFmtId="164" fontId="6" fillId="7" borderId="2" xfId="2" applyNumberFormat="1" applyFont="1" applyFill="1" applyBorder="1"/>
    <xf numFmtId="10" fontId="6" fillId="2" borderId="2" xfId="1" applyNumberFormat="1" applyFont="1" applyFill="1" applyBorder="1"/>
    <xf numFmtId="169" fontId="6" fillId="5" borderId="30" xfId="2" applyNumberFormat="1" applyFont="1" applyFill="1" applyBorder="1"/>
    <xf numFmtId="164" fontId="6" fillId="2" borderId="30" xfId="2" applyNumberFormat="1" applyFont="1" applyFill="1" applyBorder="1"/>
    <xf numFmtId="164" fontId="6" fillId="7" borderId="30" xfId="2" applyNumberFormat="1" applyFont="1" applyFill="1" applyBorder="1"/>
    <xf numFmtId="10" fontId="6" fillId="2" borderId="30" xfId="1" applyNumberFormat="1" applyFont="1" applyFill="1" applyBorder="1"/>
    <xf numFmtId="0" fontId="0" fillId="2" borderId="48" xfId="0" applyFill="1" applyBorder="1"/>
    <xf numFmtId="10" fontId="0" fillId="2" borderId="0" xfId="1" applyNumberFormat="1" applyFont="1" applyFill="1" applyBorder="1"/>
    <xf numFmtId="10" fontId="0" fillId="2" borderId="0" xfId="1" applyNumberFormat="1" applyFont="1" applyFill="1"/>
    <xf numFmtId="168" fontId="11" fillId="7" borderId="37" xfId="0" applyNumberFormat="1" applyFont="1" applyFill="1" applyBorder="1"/>
    <xf numFmtId="0" fontId="0" fillId="14" borderId="28" xfId="0" applyFill="1" applyBorder="1"/>
    <xf numFmtId="0" fontId="0" fillId="2" borderId="29" xfId="0" applyFill="1" applyBorder="1" applyAlignment="1"/>
    <xf numFmtId="168" fontId="0" fillId="0" borderId="37" xfId="0" applyNumberFormat="1" applyFont="1" applyBorder="1"/>
    <xf numFmtId="0" fontId="0" fillId="2" borderId="50" xfId="0" applyFill="1" applyBorder="1"/>
    <xf numFmtId="0" fontId="2" fillId="2" borderId="35" xfId="0" applyFont="1" applyFill="1" applyBorder="1"/>
    <xf numFmtId="0" fontId="0" fillId="2" borderId="54" xfId="0" applyFill="1" applyBorder="1"/>
    <xf numFmtId="0" fontId="0" fillId="2" borderId="22" xfId="0" applyFill="1" applyBorder="1"/>
    <xf numFmtId="0" fontId="0" fillId="2" borderId="56" xfId="0" applyFill="1" applyBorder="1"/>
    <xf numFmtId="0" fontId="6" fillId="8" borderId="0" xfId="0" applyFont="1" applyFill="1"/>
    <xf numFmtId="0" fontId="20" fillId="2" borderId="0" xfId="0" applyFont="1" applyFill="1"/>
    <xf numFmtId="0" fontId="6" fillId="3" borderId="0" xfId="0" applyFont="1" applyFill="1"/>
    <xf numFmtId="0" fontId="16" fillId="2" borderId="0" xfId="0" applyFont="1" applyFill="1"/>
    <xf numFmtId="0" fontId="36" fillId="2" borderId="0" xfId="0" applyFont="1" applyFill="1"/>
    <xf numFmtId="10" fontId="6" fillId="2" borderId="3" xfId="1" applyNumberFormat="1" applyFont="1" applyFill="1" applyBorder="1"/>
    <xf numFmtId="10" fontId="6" fillId="0" borderId="0" xfId="1" applyNumberFormat="1" applyFont="1"/>
    <xf numFmtId="172" fontId="6" fillId="2" borderId="0" xfId="0" applyNumberFormat="1" applyFont="1" applyFill="1"/>
    <xf numFmtId="166" fontId="0" fillId="2" borderId="3" xfId="0" applyNumberFormat="1" applyFill="1" applyBorder="1"/>
    <xf numFmtId="10" fontId="6" fillId="2" borderId="0" xfId="1" applyNumberFormat="1" applyFont="1" applyFill="1"/>
    <xf numFmtId="166" fontId="6" fillId="2" borderId="3" xfId="0" applyNumberFormat="1" applyFont="1" applyFill="1" applyBorder="1"/>
    <xf numFmtId="167" fontId="6" fillId="2" borderId="3" xfId="0" applyNumberFormat="1" applyFont="1" applyFill="1" applyBorder="1"/>
    <xf numFmtId="167" fontId="0" fillId="2" borderId="3" xfId="0" applyNumberFormat="1" applyFill="1" applyBorder="1"/>
    <xf numFmtId="0" fontId="11" fillId="2" borderId="0" xfId="0" applyFont="1" applyFill="1"/>
    <xf numFmtId="166" fontId="6" fillId="2" borderId="0" xfId="1" applyNumberFormat="1" applyFont="1" applyFill="1"/>
    <xf numFmtId="0" fontId="3" fillId="14" borderId="28" xfId="0" applyFont="1" applyFill="1" applyBorder="1" applyAlignment="1"/>
    <xf numFmtId="0" fontId="3" fillId="14" borderId="1" xfId="0" applyFont="1" applyFill="1" applyBorder="1" applyAlignment="1"/>
    <xf numFmtId="0" fontId="22" fillId="2" borderId="0" xfId="0" applyFont="1" applyFill="1" applyBorder="1"/>
    <xf numFmtId="14" fontId="22" fillId="2" borderId="0" xfId="0" applyNumberFormat="1" applyFont="1" applyFill="1" applyBorder="1"/>
    <xf numFmtId="0" fontId="37" fillId="2" borderId="0" xfId="0" applyFont="1" applyFill="1"/>
    <xf numFmtId="0" fontId="3" fillId="2" borderId="0" xfId="0" applyFont="1" applyFill="1" applyBorder="1"/>
    <xf numFmtId="0" fontId="38" fillId="8" borderId="0" xfId="0" applyFont="1" applyFill="1"/>
    <xf numFmtId="0" fontId="39" fillId="8" borderId="0" xfId="0" applyFont="1" applyFill="1"/>
    <xf numFmtId="10" fontId="6" fillId="2" borderId="0" xfId="0" applyNumberFormat="1" applyFont="1" applyFill="1"/>
    <xf numFmtId="166" fontId="6" fillId="2" borderId="0" xfId="0" applyNumberFormat="1" applyFont="1" applyFill="1"/>
    <xf numFmtId="0" fontId="6" fillId="2" borderId="0" xfId="0" applyFont="1" applyFill="1" applyAlignment="1">
      <alignment horizontal="right"/>
    </xf>
    <xf numFmtId="0" fontId="6" fillId="2" borderId="0" xfId="0" applyFont="1" applyFill="1" applyAlignment="1">
      <alignment horizontal="right" vertical="center"/>
    </xf>
    <xf numFmtId="10" fontId="6" fillId="2" borderId="0" xfId="1" applyNumberFormat="1" applyFont="1" applyFill="1" applyAlignment="1">
      <alignment horizontal="left"/>
    </xf>
    <xf numFmtId="10" fontId="6" fillId="2" borderId="0" xfId="0" applyNumberFormat="1" applyFont="1" applyFill="1" applyAlignment="1">
      <alignment horizontal="left"/>
    </xf>
    <xf numFmtId="0" fontId="6" fillId="2" borderId="0" xfId="0" applyFont="1" applyFill="1" applyAlignment="1"/>
    <xf numFmtId="0" fontId="22" fillId="3" borderId="0" xfId="0" applyFont="1" applyFill="1"/>
    <xf numFmtId="2" fontId="6" fillId="2" borderId="0" xfId="0" applyNumberFormat="1" applyFont="1" applyFill="1" applyBorder="1"/>
    <xf numFmtId="0" fontId="6" fillId="2" borderId="57" xfId="0" applyFont="1" applyFill="1" applyBorder="1"/>
    <xf numFmtId="10" fontId="15" fillId="2" borderId="0" xfId="3" applyNumberFormat="1" applyFont="1" applyFill="1" applyBorder="1" applyAlignment="1">
      <alignment horizontal="center"/>
    </xf>
    <xf numFmtId="10" fontId="0" fillId="2" borderId="0" xfId="0" applyNumberFormat="1" applyFill="1"/>
    <xf numFmtId="0" fontId="41" fillId="2" borderId="0" xfId="0" applyFont="1" applyFill="1"/>
    <xf numFmtId="10" fontId="41" fillId="2" borderId="0" xfId="1" applyNumberFormat="1" applyFont="1" applyFill="1"/>
    <xf numFmtId="0" fontId="41" fillId="2" borderId="0" xfId="0" applyFont="1" applyFill="1" applyAlignment="1">
      <alignment horizontal="left"/>
    </xf>
    <xf numFmtId="164" fontId="41" fillId="2" borderId="0" xfId="2" applyFont="1" applyFill="1"/>
    <xf numFmtId="10" fontId="41" fillId="2" borderId="0" xfId="1" applyNumberFormat="1" applyFont="1" applyFill="1" applyBorder="1"/>
    <xf numFmtId="0" fontId="6" fillId="7" borderId="0" xfId="0" applyFont="1" applyFill="1"/>
    <xf numFmtId="169" fontId="6" fillId="2" borderId="0" xfId="2" applyNumberFormat="1" applyFont="1" applyFill="1"/>
    <xf numFmtId="169" fontId="6" fillId="7" borderId="0" xfId="2" applyNumberFormat="1" applyFont="1" applyFill="1"/>
    <xf numFmtId="169" fontId="6" fillId="7" borderId="0" xfId="2" applyNumberFormat="1" applyFont="1" applyFill="1" applyBorder="1"/>
    <xf numFmtId="164" fontId="6" fillId="2" borderId="0" xfId="0" applyNumberFormat="1" applyFont="1" applyFill="1"/>
    <xf numFmtId="0" fontId="42" fillId="8" borderId="0" xfId="0" applyFont="1" applyFill="1"/>
    <xf numFmtId="14" fontId="32" fillId="2" borderId="0" xfId="0" applyNumberFormat="1" applyFont="1" applyFill="1" applyBorder="1"/>
    <xf numFmtId="0" fontId="31" fillId="2" borderId="0" xfId="0" applyFont="1" applyFill="1"/>
    <xf numFmtId="0" fontId="34" fillId="2" borderId="0" xfId="0" applyFont="1" applyFill="1"/>
    <xf numFmtId="0" fontId="33" fillId="2" borderId="0" xfId="0" applyFont="1" applyFill="1" applyBorder="1"/>
    <xf numFmtId="0" fontId="32" fillId="2" borderId="0" xfId="0" applyFont="1" applyFill="1" applyBorder="1"/>
    <xf numFmtId="164" fontId="6" fillId="6" borderId="0" xfId="0" applyNumberFormat="1" applyFont="1" applyFill="1"/>
    <xf numFmtId="164" fontId="6" fillId="7" borderId="0" xfId="0" applyNumberFormat="1" applyFont="1" applyFill="1"/>
    <xf numFmtId="0" fontId="2" fillId="2" borderId="0" xfId="0" applyFont="1" applyFill="1"/>
    <xf numFmtId="10" fontId="0" fillId="2" borderId="30" xfId="1" applyNumberFormat="1" applyFont="1" applyFill="1" applyBorder="1"/>
    <xf numFmtId="174" fontId="0" fillId="2" borderId="48" xfId="0" applyNumberFormat="1" applyFill="1" applyBorder="1"/>
    <xf numFmtId="10" fontId="0" fillId="2" borderId="48" xfId="1" applyNumberFormat="1" applyFont="1" applyFill="1" applyBorder="1"/>
    <xf numFmtId="10" fontId="0" fillId="2" borderId="48" xfId="0" applyNumberFormat="1" applyFill="1" applyBorder="1"/>
    <xf numFmtId="2" fontId="0" fillId="2" borderId="30" xfId="0" applyNumberFormat="1" applyFill="1" applyBorder="1"/>
    <xf numFmtId="2" fontId="0" fillId="2" borderId="32" xfId="0" applyNumberFormat="1" applyFill="1" applyBorder="1"/>
    <xf numFmtId="0" fontId="31" fillId="24" borderId="58" xfId="0" applyFont="1" applyFill="1" applyBorder="1"/>
    <xf numFmtId="0" fontId="0" fillId="2" borderId="28" xfId="0" applyFill="1" applyBorder="1"/>
    <xf numFmtId="0" fontId="0" fillId="2" borderId="59" xfId="0" applyFill="1" applyBorder="1"/>
    <xf numFmtId="0" fontId="2" fillId="2" borderId="34" xfId="0" applyFont="1" applyFill="1" applyBorder="1"/>
    <xf numFmtId="0" fontId="2" fillId="2" borderId="48" xfId="0" applyFont="1" applyFill="1" applyBorder="1"/>
    <xf numFmtId="2" fontId="0" fillId="2" borderId="0" xfId="0" applyNumberFormat="1" applyFill="1"/>
    <xf numFmtId="2" fontId="2" fillId="2" borderId="0" xfId="0" applyNumberFormat="1" applyFont="1" applyFill="1"/>
    <xf numFmtId="2" fontId="2" fillId="2" borderId="48" xfId="0" applyNumberFormat="1" applyFont="1" applyFill="1" applyBorder="1"/>
    <xf numFmtId="0" fontId="2" fillId="6" borderId="14" xfId="0" applyFont="1" applyFill="1" applyBorder="1"/>
    <xf numFmtId="0" fontId="2" fillId="6" borderId="0" xfId="0" applyFont="1" applyFill="1"/>
    <xf numFmtId="0" fontId="2" fillId="6" borderId="48" xfId="0" applyFont="1" applyFill="1" applyBorder="1"/>
    <xf numFmtId="2" fontId="2" fillId="6" borderId="0" xfId="0" applyNumberFormat="1" applyFont="1" applyFill="1"/>
    <xf numFmtId="10" fontId="0" fillId="2" borderId="35" xfId="1" applyNumberFormat="1" applyFont="1" applyFill="1" applyBorder="1"/>
    <xf numFmtId="10" fontId="0" fillId="2" borderId="34" xfId="1" applyNumberFormat="1" applyFont="1" applyFill="1" applyBorder="1"/>
    <xf numFmtId="0" fontId="31" fillId="2" borderId="48" xfId="0" applyFont="1" applyFill="1" applyBorder="1"/>
    <xf numFmtId="2" fontId="0" fillId="2" borderId="35" xfId="0" applyNumberFormat="1" applyFill="1" applyBorder="1"/>
    <xf numFmtId="2" fontId="0" fillId="2" borderId="34" xfId="0" applyNumberFormat="1" applyFill="1" applyBorder="1"/>
    <xf numFmtId="2" fontId="0" fillId="2" borderId="48" xfId="0" applyNumberFormat="1" applyFill="1" applyBorder="1"/>
    <xf numFmtId="0" fontId="0" fillId="2" borderId="39" xfId="0" applyFill="1" applyBorder="1"/>
    <xf numFmtId="10" fontId="0" fillId="2" borderId="32" xfId="0" applyNumberFormat="1" applyFill="1" applyBorder="1"/>
    <xf numFmtId="9" fontId="0" fillId="2" borderId="0" xfId="1" applyFont="1" applyFill="1"/>
    <xf numFmtId="9" fontId="0" fillId="2" borderId="48" xfId="1" applyFont="1" applyFill="1" applyBorder="1"/>
    <xf numFmtId="0" fontId="31" fillId="5" borderId="26" xfId="0" applyFont="1" applyFill="1" applyBorder="1"/>
    <xf numFmtId="0" fontId="31" fillId="24" borderId="60" xfId="0" applyFont="1" applyFill="1" applyBorder="1"/>
    <xf numFmtId="0" fontId="0" fillId="2" borderId="61" xfId="0" applyFill="1" applyBorder="1"/>
    <xf numFmtId="168" fontId="43" fillId="2" borderId="61" xfId="0" applyNumberFormat="1" applyFont="1" applyFill="1" applyBorder="1"/>
    <xf numFmtId="0" fontId="0" fillId="2" borderId="49" xfId="0" applyFill="1" applyBorder="1"/>
    <xf numFmtId="9" fontId="0" fillId="2" borderId="0" xfId="0" applyNumberFormat="1" applyFill="1"/>
    <xf numFmtId="1" fontId="0" fillId="2" borderId="35" xfId="0" applyNumberFormat="1" applyFill="1" applyBorder="1"/>
    <xf numFmtId="1" fontId="0" fillId="2" borderId="34" xfId="0" applyNumberFormat="1" applyFill="1" applyBorder="1"/>
    <xf numFmtId="9" fontId="0" fillId="2" borderId="35" xfId="0" applyNumberFormat="1" applyFill="1" applyBorder="1"/>
    <xf numFmtId="1" fontId="0" fillId="2" borderId="0" xfId="1" applyNumberFormat="1" applyFont="1" applyFill="1"/>
    <xf numFmtId="1" fontId="0" fillId="2" borderId="48" xfId="1" applyNumberFormat="1" applyFont="1" applyFill="1" applyBorder="1"/>
    <xf numFmtId="1" fontId="0" fillId="2" borderId="35" xfId="1" applyNumberFormat="1" applyFont="1" applyFill="1" applyBorder="1"/>
    <xf numFmtId="1" fontId="0" fillId="2" borderId="34" xfId="1" applyNumberFormat="1" applyFont="1" applyFill="1" applyBorder="1"/>
    <xf numFmtId="1" fontId="2" fillId="2" borderId="0" xfId="0" applyNumberFormat="1" applyFont="1" applyFill="1"/>
    <xf numFmtId="1" fontId="2" fillId="2" borderId="48" xfId="0" applyNumberFormat="1" applyFont="1" applyFill="1" applyBorder="1"/>
    <xf numFmtId="0" fontId="2" fillId="2" borderId="54" xfId="0" applyFont="1" applyFill="1" applyBorder="1"/>
    <xf numFmtId="0" fontId="2" fillId="2" borderId="7" xfId="0" applyFont="1" applyFill="1" applyBorder="1"/>
    <xf numFmtId="2" fontId="0" fillId="25" borderId="34" xfId="0" applyNumberFormat="1" applyFill="1" applyBorder="1"/>
    <xf numFmtId="1" fontId="0" fillId="2" borderId="0" xfId="0" applyNumberFormat="1" applyFill="1"/>
    <xf numFmtId="1" fontId="0" fillId="2" borderId="48" xfId="0" applyNumberFormat="1" applyFill="1" applyBorder="1"/>
    <xf numFmtId="0" fontId="31" fillId="5" borderId="58" xfId="0" applyFont="1" applyFill="1" applyBorder="1"/>
    <xf numFmtId="0" fontId="44" fillId="2" borderId="61" xfId="0" applyFont="1" applyFill="1" applyBorder="1"/>
    <xf numFmtId="0" fontId="44" fillId="2" borderId="62" xfId="0" applyFont="1" applyFill="1" applyBorder="1"/>
    <xf numFmtId="1" fontId="0" fillId="2" borderId="30" xfId="1" applyNumberFormat="1" applyFont="1" applyFill="1" applyBorder="1"/>
    <xf numFmtId="2" fontId="0" fillId="2" borderId="36" xfId="0" applyNumberFormat="1" applyFill="1" applyBorder="1"/>
    <xf numFmtId="2" fontId="0" fillId="2" borderId="16" xfId="0" applyNumberFormat="1" applyFill="1" applyBorder="1"/>
    <xf numFmtId="0" fontId="31" fillId="21" borderId="58" xfId="0" applyFont="1" applyFill="1" applyBorder="1"/>
    <xf numFmtId="10" fontId="0" fillId="9" borderId="30" xfId="1" applyNumberFormat="1" applyFont="1" applyFill="1" applyBorder="1"/>
    <xf numFmtId="9" fontId="0" fillId="2" borderId="34" xfId="0" applyNumberFormat="1" applyFill="1" applyBorder="1"/>
    <xf numFmtId="10" fontId="0" fillId="2" borderId="35" xfId="0" applyNumberFormat="1" applyFill="1" applyBorder="1"/>
    <xf numFmtId="10" fontId="0" fillId="2" borderId="34" xfId="0" applyNumberFormat="1" applyFill="1" applyBorder="1"/>
    <xf numFmtId="10" fontId="0" fillId="2" borderId="22" xfId="1" applyNumberFormat="1" applyFont="1" applyFill="1" applyBorder="1"/>
    <xf numFmtId="10" fontId="0" fillId="2" borderId="32" xfId="1" applyNumberFormat="1" applyFont="1" applyFill="1" applyBorder="1"/>
    <xf numFmtId="2" fontId="2" fillId="2" borderId="35" xfId="0" applyNumberFormat="1" applyFont="1" applyFill="1" applyBorder="1"/>
    <xf numFmtId="2" fontId="2" fillId="2" borderId="34" xfId="0" applyNumberFormat="1" applyFont="1" applyFill="1" applyBorder="1"/>
    <xf numFmtId="174" fontId="0" fillId="2" borderId="0" xfId="1" applyNumberFormat="1" applyFont="1" applyFill="1"/>
    <xf numFmtId="174" fontId="0" fillId="2" borderId="48" xfId="1" applyNumberFormat="1" applyFont="1" applyFill="1" applyBorder="1"/>
    <xf numFmtId="2" fontId="0" fillId="2" borderId="50" xfId="0" applyNumberFormat="1" applyFill="1" applyBorder="1"/>
    <xf numFmtId="0" fontId="0" fillId="0" borderId="48" xfId="0" applyBorder="1"/>
    <xf numFmtId="1" fontId="2" fillId="2" borderId="35" xfId="0" applyNumberFormat="1" applyFont="1" applyFill="1" applyBorder="1"/>
    <xf numFmtId="1" fontId="2" fillId="2" borderId="34" xfId="0" applyNumberFormat="1" applyFont="1" applyFill="1" applyBorder="1"/>
    <xf numFmtId="1" fontId="2" fillId="2" borderId="7" xfId="0" applyNumberFormat="1" applyFont="1" applyFill="1" applyBorder="1"/>
    <xf numFmtId="1" fontId="2" fillId="2" borderId="54" xfId="0" applyNumberFormat="1" applyFont="1" applyFill="1" applyBorder="1"/>
    <xf numFmtId="2" fontId="2" fillId="2" borderId="7" xfId="0" applyNumberFormat="1" applyFont="1" applyFill="1" applyBorder="1"/>
    <xf numFmtId="2" fontId="2" fillId="2" borderId="54" xfId="0" applyNumberFormat="1" applyFont="1" applyFill="1" applyBorder="1"/>
    <xf numFmtId="167" fontId="0" fillId="2" borderId="35" xfId="0" applyNumberFormat="1" applyFill="1" applyBorder="1"/>
    <xf numFmtId="167" fontId="0" fillId="2" borderId="0" xfId="0" applyNumberFormat="1" applyFill="1" applyBorder="1"/>
    <xf numFmtId="166" fontId="0" fillId="2" borderId="0" xfId="0" applyNumberFormat="1" applyFill="1" applyBorder="1"/>
    <xf numFmtId="0" fontId="22" fillId="21" borderId="39" xfId="0" applyFont="1" applyFill="1" applyBorder="1"/>
    <xf numFmtId="0" fontId="6" fillId="21" borderId="23" xfId="0" applyFont="1" applyFill="1" applyBorder="1"/>
    <xf numFmtId="0" fontId="6" fillId="21" borderId="39" xfId="0" applyFont="1" applyFill="1" applyBorder="1"/>
    <xf numFmtId="0" fontId="22" fillId="21" borderId="26" xfId="0" applyFont="1" applyFill="1" applyBorder="1"/>
    <xf numFmtId="0" fontId="22" fillId="22" borderId="19" xfId="0" applyFont="1" applyFill="1" applyBorder="1"/>
    <xf numFmtId="0" fontId="6" fillId="6" borderId="28" xfId="0" applyFont="1" applyFill="1" applyBorder="1"/>
    <xf numFmtId="0" fontId="11" fillId="6" borderId="51" xfId="0" applyFont="1" applyFill="1" applyBorder="1"/>
    <xf numFmtId="0" fontId="11" fillId="6" borderId="27" xfId="0" applyFont="1" applyFill="1" applyBorder="1"/>
    <xf numFmtId="0" fontId="11" fillId="2" borderId="40" xfId="0" applyFont="1" applyFill="1" applyBorder="1"/>
    <xf numFmtId="0" fontId="22" fillId="22" borderId="21" xfId="0" applyFont="1" applyFill="1" applyBorder="1"/>
    <xf numFmtId="0" fontId="6" fillId="6" borderId="31" xfId="0" applyFont="1" applyFill="1" applyBorder="1"/>
    <xf numFmtId="0" fontId="11" fillId="6" borderId="52" xfId="0" applyFont="1" applyFill="1" applyBorder="1"/>
    <xf numFmtId="0" fontId="11" fillId="6" borderId="32" xfId="0" applyFont="1" applyFill="1" applyBorder="1"/>
    <xf numFmtId="0" fontId="11" fillId="2" borderId="41" xfId="0" applyFont="1" applyFill="1" applyBorder="1"/>
    <xf numFmtId="0" fontId="11" fillId="2" borderId="11" xfId="0" applyFont="1" applyFill="1" applyBorder="1"/>
    <xf numFmtId="0" fontId="22" fillId="23" borderId="19" xfId="0" applyFont="1" applyFill="1" applyBorder="1"/>
    <xf numFmtId="0" fontId="6" fillId="20" borderId="28" xfId="0" applyFont="1" applyFill="1" applyBorder="1"/>
    <xf numFmtId="0" fontId="11" fillId="20" borderId="51" xfId="0" applyFont="1" applyFill="1" applyBorder="1"/>
    <xf numFmtId="0" fontId="6" fillId="2" borderId="10" xfId="0" applyFont="1" applyFill="1" applyBorder="1"/>
    <xf numFmtId="0" fontId="22" fillId="23" borderId="21" xfId="0" applyFont="1" applyFill="1" applyBorder="1"/>
    <xf numFmtId="0" fontId="6" fillId="20" borderId="31" xfId="0" applyFont="1" applyFill="1" applyBorder="1"/>
    <xf numFmtId="0" fontId="11" fillId="20" borderId="52" xfId="0" applyFont="1" applyFill="1" applyBorder="1"/>
    <xf numFmtId="0" fontId="11" fillId="20" borderId="32" xfId="0" applyFont="1" applyFill="1" applyBorder="1"/>
    <xf numFmtId="0" fontId="6" fillId="10" borderId="49" xfId="0" applyFont="1" applyFill="1" applyBorder="1"/>
    <xf numFmtId="0" fontId="6" fillId="10" borderId="14" xfId="0" applyFont="1" applyFill="1" applyBorder="1"/>
    <xf numFmtId="0" fontId="6" fillId="10" borderId="48" xfId="0" applyFont="1" applyFill="1" applyBorder="1"/>
    <xf numFmtId="0" fontId="11" fillId="2" borderId="42" xfId="0" applyFont="1" applyFill="1" applyBorder="1"/>
    <xf numFmtId="0" fontId="6" fillId="10" borderId="50" xfId="0" applyFont="1" applyFill="1" applyBorder="1"/>
    <xf numFmtId="0" fontId="6" fillId="10" borderId="25" xfId="0" applyFont="1" applyFill="1" applyBorder="1"/>
    <xf numFmtId="0" fontId="6" fillId="10" borderId="34" xfId="0" applyFont="1" applyFill="1" applyBorder="1"/>
    <xf numFmtId="0" fontId="22" fillId="22" borderId="5" xfId="0" applyFont="1" applyFill="1" applyBorder="1"/>
    <xf numFmtId="0" fontId="22" fillId="22" borderId="1" xfId="0" applyFont="1" applyFill="1" applyBorder="1"/>
    <xf numFmtId="0" fontId="22" fillId="22" borderId="27" xfId="0" applyFont="1" applyFill="1" applyBorder="1"/>
    <xf numFmtId="0" fontId="22" fillId="2" borderId="0" xfId="0" applyFont="1" applyFill="1"/>
    <xf numFmtId="0" fontId="22" fillId="2" borderId="1" xfId="0" applyFont="1" applyFill="1" applyBorder="1"/>
    <xf numFmtId="0" fontId="6" fillId="2" borderId="26" xfId="0" applyFont="1" applyFill="1" applyBorder="1"/>
    <xf numFmtId="0" fontId="6" fillId="2" borderId="25" xfId="0" applyFont="1" applyFill="1" applyBorder="1"/>
    <xf numFmtId="0" fontId="22" fillId="13" borderId="5" xfId="0" applyFont="1" applyFill="1" applyBorder="1"/>
    <xf numFmtId="171" fontId="22" fillId="13" borderId="39" xfId="1" applyNumberFormat="1" applyFont="1" applyFill="1" applyBorder="1"/>
    <xf numFmtId="171" fontId="6" fillId="2" borderId="0" xfId="1" applyNumberFormat="1" applyFont="1" applyFill="1"/>
    <xf numFmtId="0" fontId="22" fillId="21" borderId="5" xfId="0" applyFont="1" applyFill="1" applyBorder="1"/>
    <xf numFmtId="0" fontId="22" fillId="21" borderId="6" xfId="0" applyFont="1" applyFill="1" applyBorder="1"/>
    <xf numFmtId="0" fontId="6" fillId="2" borderId="20" xfId="0" applyFont="1" applyFill="1" applyBorder="1"/>
    <xf numFmtId="0" fontId="6" fillId="2" borderId="30" xfId="0" applyFont="1" applyFill="1" applyBorder="1"/>
    <xf numFmtId="0" fontId="6" fillId="2" borderId="5" xfId="0" applyFont="1" applyFill="1" applyBorder="1"/>
    <xf numFmtId="0" fontId="6" fillId="2" borderId="6" xfId="0" applyFont="1" applyFill="1" applyBorder="1"/>
    <xf numFmtId="0" fontId="6" fillId="6" borderId="39" xfId="0" applyFont="1" applyFill="1" applyBorder="1"/>
    <xf numFmtId="14" fontId="22" fillId="21" borderId="26" xfId="0" applyNumberFormat="1" applyFont="1" applyFill="1" applyBorder="1"/>
    <xf numFmtId="0" fontId="6" fillId="2" borderId="21" xfId="0" applyFont="1" applyFill="1" applyBorder="1"/>
    <xf numFmtId="0" fontId="6" fillId="2" borderId="32" xfId="0" applyFont="1" applyFill="1" applyBorder="1"/>
    <xf numFmtId="0" fontId="47" fillId="3" borderId="19" xfId="0" applyFont="1" applyFill="1" applyBorder="1"/>
    <xf numFmtId="0" fontId="6" fillId="3" borderId="1" xfId="0" applyFont="1" applyFill="1" applyBorder="1"/>
    <xf numFmtId="0" fontId="22" fillId="16" borderId="28" xfId="0" applyFont="1" applyFill="1" applyBorder="1"/>
    <xf numFmtId="0" fontId="22" fillId="16" borderId="27" xfId="0" applyFont="1" applyFill="1" applyBorder="1"/>
    <xf numFmtId="0" fontId="6" fillId="2" borderId="19" xfId="0" applyFont="1" applyFill="1" applyBorder="1"/>
    <xf numFmtId="10" fontId="6" fillId="2" borderId="30" xfId="0" applyNumberFormat="1" applyFont="1" applyFill="1" applyBorder="1"/>
    <xf numFmtId="0" fontId="6" fillId="2" borderId="44" xfId="0" applyFont="1" applyFill="1" applyBorder="1"/>
    <xf numFmtId="10" fontId="6" fillId="2" borderId="45" xfId="0" applyNumberFormat="1" applyFont="1" applyFill="1" applyBorder="1"/>
    <xf numFmtId="0" fontId="11" fillId="2" borderId="44" xfId="0" applyFont="1" applyFill="1" applyBorder="1"/>
    <xf numFmtId="170" fontId="11" fillId="2" borderId="29" xfId="0" applyNumberFormat="1" applyFont="1" applyFill="1" applyBorder="1"/>
    <xf numFmtId="2" fontId="6" fillId="2" borderId="45" xfId="0" applyNumberFormat="1" applyFont="1" applyFill="1" applyBorder="1"/>
    <xf numFmtId="2" fontId="6" fillId="2" borderId="45" xfId="2" applyNumberFormat="1" applyFont="1" applyFill="1" applyBorder="1"/>
    <xf numFmtId="0" fontId="22" fillId="17" borderId="40" xfId="0" applyFont="1" applyFill="1" applyBorder="1"/>
    <xf numFmtId="166" fontId="48" fillId="17" borderId="43" xfId="1" applyNumberFormat="1" applyFont="1" applyFill="1" applyBorder="1"/>
    <xf numFmtId="10" fontId="22" fillId="17" borderId="43" xfId="0" applyNumberFormat="1" applyFont="1" applyFill="1" applyBorder="1"/>
    <xf numFmtId="0" fontId="22" fillId="13" borderId="42" xfId="0" applyFont="1" applyFill="1" applyBorder="1"/>
    <xf numFmtId="166" fontId="48" fillId="13" borderId="17" xfId="1" applyNumberFormat="1" applyFont="1" applyFill="1" applyBorder="1"/>
    <xf numFmtId="10" fontId="48" fillId="13" borderId="17" xfId="1" applyNumberFormat="1" applyFont="1" applyFill="1" applyBorder="1"/>
    <xf numFmtId="0" fontId="6" fillId="6" borderId="29" xfId="0" applyFont="1" applyFill="1" applyBorder="1"/>
    <xf numFmtId="0" fontId="6" fillId="6" borderId="0" xfId="0" applyFont="1" applyFill="1"/>
    <xf numFmtId="0" fontId="6" fillId="6" borderId="30" xfId="0" applyFont="1" applyFill="1" applyBorder="1"/>
    <xf numFmtId="0" fontId="6" fillId="6" borderId="22" xfId="0" applyFont="1" applyFill="1" applyBorder="1"/>
    <xf numFmtId="0" fontId="6" fillId="6" borderId="32" xfId="0" applyFont="1" applyFill="1" applyBorder="1"/>
    <xf numFmtId="10" fontId="6" fillId="2" borderId="21" xfId="1" applyNumberFormat="1" applyFont="1" applyFill="1" applyBorder="1"/>
    <xf numFmtId="0" fontId="40" fillId="8" borderId="0" xfId="0" applyFont="1" applyFill="1" applyBorder="1" applyAlignment="1"/>
    <xf numFmtId="14" fontId="22" fillId="3" borderId="57" xfId="0" applyNumberFormat="1" applyFont="1" applyFill="1" applyBorder="1"/>
    <xf numFmtId="169" fontId="6" fillId="2" borderId="57" xfId="2" applyNumberFormat="1" applyFont="1" applyFill="1" applyBorder="1"/>
    <xf numFmtId="10" fontId="41" fillId="2" borderId="57" xfId="1" applyNumberFormat="1" applyFont="1" applyFill="1" applyBorder="1"/>
    <xf numFmtId="169" fontId="6" fillId="7" borderId="57" xfId="2" applyNumberFormat="1" applyFont="1" applyFill="1" applyBorder="1"/>
    <xf numFmtId="0" fontId="49" fillId="2" borderId="3" xfId="0" applyFont="1" applyFill="1" applyBorder="1" applyAlignment="1">
      <alignment horizontal="center" vertical="center"/>
    </xf>
    <xf numFmtId="0" fontId="16" fillId="2" borderId="48" xfId="0" applyFont="1" applyFill="1" applyBorder="1"/>
    <xf numFmtId="0" fontId="6" fillId="2" borderId="48" xfId="0" applyFont="1" applyFill="1" applyBorder="1"/>
    <xf numFmtId="0" fontId="36" fillId="2" borderId="48" xfId="0" applyFont="1" applyFill="1" applyBorder="1"/>
    <xf numFmtId="0" fontId="11" fillId="2" borderId="48" xfId="0" applyFont="1" applyFill="1" applyBorder="1"/>
    <xf numFmtId="0" fontId="0" fillId="2" borderId="14" xfId="0" applyFill="1" applyBorder="1"/>
    <xf numFmtId="0" fontId="36" fillId="2" borderId="14" xfId="0" applyFont="1" applyFill="1" applyBorder="1" applyAlignment="1">
      <alignment wrapText="1"/>
    </xf>
    <xf numFmtId="0" fontId="6" fillId="2" borderId="14" xfId="0" applyFont="1" applyFill="1" applyBorder="1"/>
    <xf numFmtId="0" fontId="36" fillId="2" borderId="14" xfId="0" applyFont="1" applyFill="1" applyBorder="1"/>
    <xf numFmtId="0" fontId="6" fillId="2" borderId="34" xfId="0" applyFont="1" applyFill="1" applyBorder="1"/>
    <xf numFmtId="166" fontId="6" fillId="2" borderId="65" xfId="1" applyNumberFormat="1" applyFont="1" applyFill="1" applyBorder="1"/>
    <xf numFmtId="0" fontId="36" fillId="2" borderId="34" xfId="0" applyFont="1" applyFill="1" applyBorder="1"/>
    <xf numFmtId="167" fontId="6" fillId="2" borderId="65" xfId="0" applyNumberFormat="1" applyFont="1" applyFill="1" applyBorder="1"/>
    <xf numFmtId="10" fontId="11" fillId="2" borderId="8" xfId="1" applyNumberFormat="1" applyFont="1" applyFill="1" applyBorder="1"/>
    <xf numFmtId="10" fontId="11" fillId="2" borderId="10" xfId="1" applyNumberFormat="1" applyFont="1" applyFill="1" applyBorder="1"/>
    <xf numFmtId="10" fontId="11" fillId="2" borderId="12" xfId="1" applyNumberFormat="1" applyFont="1" applyFill="1" applyBorder="1"/>
    <xf numFmtId="10" fontId="11" fillId="2" borderId="9" xfId="1" applyNumberFormat="1" applyFont="1" applyFill="1" applyBorder="1"/>
    <xf numFmtId="10" fontId="11" fillId="2" borderId="11" xfId="1" applyNumberFormat="1" applyFont="1" applyFill="1" applyBorder="1"/>
    <xf numFmtId="10" fontId="11" fillId="2" borderId="13" xfId="1" applyNumberFormat="1" applyFont="1" applyFill="1" applyBorder="1"/>
    <xf numFmtId="0" fontId="31" fillId="2" borderId="0" xfId="0" applyFont="1" applyFill="1" applyBorder="1"/>
    <xf numFmtId="10" fontId="0" fillId="2" borderId="0" xfId="0" applyNumberFormat="1" applyFill="1" applyBorder="1"/>
    <xf numFmtId="2" fontId="0" fillId="2" borderId="0" xfId="1" applyNumberFormat="1" applyFont="1" applyFill="1" applyBorder="1"/>
    <xf numFmtId="2" fontId="0" fillId="2" borderId="0" xfId="0" applyNumberFormat="1" applyFill="1" applyBorder="1"/>
    <xf numFmtId="174" fontId="0" fillId="2" borderId="0" xfId="1" applyNumberFormat="1" applyFont="1" applyFill="1" applyBorder="1"/>
    <xf numFmtId="167" fontId="0" fillId="2" borderId="0" xfId="1" applyNumberFormat="1" applyFont="1" applyFill="1" applyBorder="1"/>
    <xf numFmtId="168" fontId="0" fillId="0" borderId="30" xfId="0" applyNumberFormat="1" applyFont="1" applyBorder="1"/>
    <xf numFmtId="0" fontId="0" fillId="2" borderId="30" xfId="0" applyFont="1" applyFill="1" applyBorder="1"/>
    <xf numFmtId="168" fontId="11" fillId="2" borderId="30" xfId="0" applyNumberFormat="1" applyFont="1" applyFill="1" applyBorder="1"/>
    <xf numFmtId="168" fontId="6" fillId="0" borderId="30" xfId="0" applyNumberFormat="1" applyFont="1" applyBorder="1"/>
    <xf numFmtId="168" fontId="6" fillId="18" borderId="30" xfId="0" applyNumberFormat="1" applyFont="1" applyFill="1" applyBorder="1"/>
    <xf numFmtId="168" fontId="6" fillId="5" borderId="30" xfId="0" applyNumberFormat="1" applyFont="1" applyFill="1" applyBorder="1"/>
    <xf numFmtId="168" fontId="11" fillId="7" borderId="32" xfId="0" applyNumberFormat="1" applyFont="1" applyFill="1" applyBorder="1"/>
    <xf numFmtId="169" fontId="0" fillId="2" borderId="2" xfId="2" applyNumberFormat="1" applyFont="1" applyFill="1" applyBorder="1"/>
    <xf numFmtId="168" fontId="6" fillId="18" borderId="3" xfId="0" applyNumberFormat="1" applyFont="1" applyFill="1" applyBorder="1"/>
    <xf numFmtId="169" fontId="0" fillId="2" borderId="3" xfId="2" applyNumberFormat="1" applyFont="1" applyFill="1" applyBorder="1"/>
    <xf numFmtId="168" fontId="6" fillId="18" borderId="2" xfId="0" applyNumberFormat="1" applyFont="1" applyFill="1" applyBorder="1"/>
    <xf numFmtId="10" fontId="6" fillId="2" borderId="3" xfId="2" applyNumberFormat="1" applyFont="1" applyFill="1" applyBorder="1"/>
    <xf numFmtId="169" fontId="6" fillId="2" borderId="53" xfId="0" applyNumberFormat="1" applyFont="1" applyFill="1" applyBorder="1"/>
    <xf numFmtId="10" fontId="6" fillId="2" borderId="37" xfId="2" applyNumberFormat="1" applyFont="1" applyFill="1" applyBorder="1"/>
    <xf numFmtId="169" fontId="6" fillId="2" borderId="46" xfId="0" applyNumberFormat="1" applyFont="1" applyFill="1" applyBorder="1"/>
    <xf numFmtId="0" fontId="4" fillId="8" borderId="27" xfId="0" applyFont="1" applyFill="1" applyBorder="1"/>
    <xf numFmtId="0" fontId="5" fillId="8" borderId="0" xfId="0" applyFont="1" applyFill="1" applyBorder="1"/>
    <xf numFmtId="165" fontId="35" fillId="3" borderId="0" xfId="0" applyNumberFormat="1" applyFont="1" applyFill="1" applyBorder="1" applyAlignment="1">
      <alignment horizontal="center" vertical="center"/>
    </xf>
    <xf numFmtId="166" fontId="6" fillId="2" borderId="30" xfId="1" applyNumberFormat="1" applyFont="1" applyFill="1" applyBorder="1"/>
    <xf numFmtId="166" fontId="6" fillId="2" borderId="30" xfId="0" applyNumberFormat="1" applyFont="1" applyFill="1" applyBorder="1"/>
    <xf numFmtId="167" fontId="6" fillId="2" borderId="30" xfId="0" applyNumberFormat="1" applyFont="1" applyFill="1" applyBorder="1"/>
    <xf numFmtId="1" fontId="6" fillId="2" borderId="30" xfId="0" applyNumberFormat="1" applyFont="1" applyFill="1" applyBorder="1"/>
    <xf numFmtId="166" fontId="50" fillId="2" borderId="30" xfId="1" applyNumberFormat="1" applyFont="1" applyFill="1" applyBorder="1"/>
    <xf numFmtId="0" fontId="0" fillId="2" borderId="52" xfId="0" applyFill="1" applyBorder="1"/>
    <xf numFmtId="10" fontId="6" fillId="2" borderId="0" xfId="1" applyNumberFormat="1" applyFont="1" applyFill="1" applyBorder="1"/>
    <xf numFmtId="166" fontId="6" fillId="2" borderId="0" xfId="0" applyNumberFormat="1" applyFont="1" applyFill="1" applyBorder="1"/>
    <xf numFmtId="166" fontId="6" fillId="2" borderId="35" xfId="1" applyNumberFormat="1" applyFont="1" applyFill="1" applyBorder="1"/>
    <xf numFmtId="167" fontId="6" fillId="2" borderId="0" xfId="0" applyNumberFormat="1" applyFont="1" applyFill="1" applyBorder="1"/>
    <xf numFmtId="167" fontId="6" fillId="2" borderId="35" xfId="0" applyNumberFormat="1" applyFont="1" applyFill="1" applyBorder="1"/>
    <xf numFmtId="1" fontId="6" fillId="2" borderId="0" xfId="0" applyNumberFormat="1" applyFont="1" applyFill="1" applyBorder="1"/>
    <xf numFmtId="166" fontId="50" fillId="2" borderId="0" xfId="1" applyNumberFormat="1" applyFont="1" applyFill="1" applyBorder="1"/>
    <xf numFmtId="166" fontId="0" fillId="2" borderId="30" xfId="0" applyNumberFormat="1" applyFill="1" applyBorder="1"/>
    <xf numFmtId="166" fontId="6" fillId="2" borderId="45" xfId="1" applyNumberFormat="1" applyFont="1" applyFill="1" applyBorder="1"/>
    <xf numFmtId="167" fontId="0" fillId="2" borderId="30" xfId="0" applyNumberFormat="1" applyFill="1" applyBorder="1"/>
    <xf numFmtId="167" fontId="6" fillId="2" borderId="45" xfId="0" applyNumberFormat="1" applyFont="1" applyFill="1" applyBorder="1"/>
    <xf numFmtId="1" fontId="6" fillId="2" borderId="3" xfId="0" applyNumberFormat="1" applyFont="1" applyFill="1" applyBorder="1"/>
    <xf numFmtId="166" fontId="50" fillId="2" borderId="3" xfId="1" applyNumberFormat="1" applyFont="1" applyFill="1" applyBorder="1"/>
    <xf numFmtId="0" fontId="6" fillId="2" borderId="3" xfId="0" applyFont="1" applyFill="1" applyBorder="1" applyAlignment="1">
      <alignment horizontal="right"/>
    </xf>
    <xf numFmtId="10" fontId="6" fillId="2" borderId="3" xfId="0" applyNumberFormat="1" applyFont="1" applyFill="1" applyBorder="1"/>
    <xf numFmtId="0" fontId="0" fillId="2" borderId="53" xfId="0" applyFill="1" applyBorder="1"/>
    <xf numFmtId="0" fontId="2" fillId="2" borderId="61" xfId="0" applyFont="1" applyFill="1" applyBorder="1"/>
    <xf numFmtId="1" fontId="2" fillId="2" borderId="0" xfId="0" applyNumberFormat="1" applyFont="1" applyFill="1" applyBorder="1"/>
    <xf numFmtId="1" fontId="0" fillId="2" borderId="0" xfId="0" applyNumberFormat="1" applyFill="1" applyBorder="1"/>
    <xf numFmtId="0" fontId="2" fillId="2" borderId="62" xfId="0" applyFont="1" applyFill="1" applyBorder="1"/>
    <xf numFmtId="0" fontId="0" fillId="2" borderId="62" xfId="0" applyFill="1" applyBorder="1"/>
    <xf numFmtId="0" fontId="2" fillId="2" borderId="64" xfId="0" applyFont="1" applyFill="1" applyBorder="1"/>
    <xf numFmtId="0" fontId="0" fillId="2" borderId="66" xfId="0" applyFill="1" applyBorder="1"/>
    <xf numFmtId="0" fontId="0" fillId="13" borderId="1" xfId="0" applyFill="1" applyBorder="1"/>
    <xf numFmtId="0" fontId="0" fillId="13" borderId="59" xfId="0" applyFill="1" applyBorder="1"/>
    <xf numFmtId="0" fontId="0" fillId="13" borderId="27" xfId="0" applyFill="1" applyBorder="1"/>
    <xf numFmtId="0" fontId="0" fillId="13" borderId="22" xfId="0" applyFill="1" applyBorder="1"/>
    <xf numFmtId="0" fontId="0" fillId="13" borderId="32" xfId="0" applyFill="1" applyBorder="1"/>
    <xf numFmtId="0" fontId="0" fillId="13" borderId="56" xfId="0" applyFill="1" applyBorder="1"/>
    <xf numFmtId="0" fontId="31" fillId="13" borderId="60" xfId="0" applyFont="1" applyFill="1" applyBorder="1"/>
    <xf numFmtId="0" fontId="0" fillId="13" borderId="66" xfId="0" applyFill="1" applyBorder="1"/>
    <xf numFmtId="0" fontId="2" fillId="2" borderId="66" xfId="0" applyFont="1" applyFill="1" applyBorder="1"/>
    <xf numFmtId="0" fontId="2" fillId="2" borderId="22" xfId="0" applyFont="1" applyFill="1" applyBorder="1"/>
    <xf numFmtId="0" fontId="2" fillId="2" borderId="56" xfId="0" applyFont="1" applyFill="1" applyBorder="1"/>
    <xf numFmtId="0" fontId="0" fillId="13" borderId="60" xfId="0" applyFill="1" applyBorder="1"/>
    <xf numFmtId="167" fontId="0" fillId="2" borderId="34" xfId="0" applyNumberFormat="1" applyFill="1" applyBorder="1"/>
    <xf numFmtId="0" fontId="6" fillId="2" borderId="0" xfId="0" applyFont="1" applyFill="1" applyAlignment="1">
      <alignment horizontal="left"/>
    </xf>
    <xf numFmtId="2" fontId="0" fillId="2" borderId="0" xfId="1" applyNumberFormat="1" applyFont="1" applyFill="1"/>
    <xf numFmtId="14" fontId="22" fillId="2" borderId="0" xfId="0" applyNumberFormat="1" applyFont="1" applyFill="1" applyBorder="1" applyAlignment="1">
      <alignment horizontal="center" vertical="center"/>
    </xf>
    <xf numFmtId="164" fontId="6" fillId="2" borderId="0" xfId="2" applyFont="1" applyFill="1"/>
    <xf numFmtId="169" fontId="6" fillId="2" borderId="0" xfId="0" applyNumberFormat="1" applyFont="1" applyFill="1"/>
    <xf numFmtId="0" fontId="52" fillId="2" borderId="0" xfId="0" applyFont="1" applyFill="1"/>
    <xf numFmtId="0" fontId="53" fillId="2" borderId="0" xfId="0" applyFont="1" applyFill="1"/>
    <xf numFmtId="173" fontId="6" fillId="2" borderId="0" xfId="0" applyNumberFormat="1" applyFont="1" applyFill="1"/>
    <xf numFmtId="0" fontId="54" fillId="0" borderId="0" xfId="0" applyFont="1"/>
    <xf numFmtId="0" fontId="55" fillId="2" borderId="0" xfId="0" applyFont="1" applyFill="1"/>
    <xf numFmtId="10" fontId="55" fillId="2" borderId="0" xfId="1" applyNumberFormat="1" applyFont="1" applyFill="1"/>
    <xf numFmtId="1" fontId="6" fillId="2" borderId="57" xfId="0" applyNumberFormat="1" applyFont="1" applyFill="1" applyBorder="1"/>
    <xf numFmtId="164" fontId="6" fillId="2" borderId="0" xfId="0" applyNumberFormat="1" applyFont="1" applyFill="1" applyBorder="1"/>
    <xf numFmtId="169" fontId="6" fillId="2" borderId="57" xfId="2" applyNumberFormat="1" applyFont="1" applyFill="1" applyBorder="1" applyAlignment="1">
      <alignment horizontal="right"/>
    </xf>
    <xf numFmtId="169" fontId="6" fillId="2" borderId="0" xfId="2" applyNumberFormat="1" applyFont="1" applyFill="1" applyBorder="1" applyAlignment="1">
      <alignment horizontal="right"/>
    </xf>
    <xf numFmtId="0" fontId="6" fillId="5" borderId="0" xfId="0" applyFont="1" applyFill="1"/>
    <xf numFmtId="1" fontId="6" fillId="5" borderId="0" xfId="0" applyNumberFormat="1" applyFont="1" applyFill="1"/>
    <xf numFmtId="1" fontId="6" fillId="5" borderId="57" xfId="0" applyNumberFormat="1" applyFont="1" applyFill="1" applyBorder="1"/>
    <xf numFmtId="1" fontId="6" fillId="5" borderId="0" xfId="0" applyNumberFormat="1" applyFont="1" applyFill="1" applyBorder="1"/>
    <xf numFmtId="9" fontId="56" fillId="2" borderId="57" xfId="1" applyFont="1" applyFill="1" applyBorder="1"/>
    <xf numFmtId="9" fontId="56" fillId="2" borderId="0" xfId="1" applyFont="1" applyFill="1" applyBorder="1"/>
    <xf numFmtId="164" fontId="6" fillId="2" borderId="0" xfId="2" applyNumberFormat="1" applyFont="1" applyFill="1" applyBorder="1"/>
    <xf numFmtId="9" fontId="6" fillId="2" borderId="0" xfId="0" applyNumberFormat="1" applyFont="1" applyFill="1"/>
    <xf numFmtId="0" fontId="56" fillId="2" borderId="0" xfId="0" applyFont="1" applyFill="1"/>
    <xf numFmtId="9" fontId="56" fillId="2" borderId="0" xfId="1" applyFont="1" applyFill="1"/>
    <xf numFmtId="0" fontId="56" fillId="2" borderId="0" xfId="0" applyFont="1" applyFill="1" applyBorder="1"/>
    <xf numFmtId="0" fontId="0" fillId="2" borderId="57" xfId="0" applyFill="1" applyBorder="1"/>
    <xf numFmtId="169" fontId="6" fillId="2" borderId="57" xfId="0" applyNumberFormat="1" applyFont="1" applyFill="1" applyBorder="1"/>
    <xf numFmtId="169" fontId="6" fillId="2" borderId="0" xfId="0" applyNumberFormat="1" applyFont="1" applyFill="1" applyBorder="1"/>
    <xf numFmtId="9" fontId="6" fillId="2" borderId="0" xfId="1" applyFont="1" applyFill="1" applyBorder="1"/>
    <xf numFmtId="9" fontId="6" fillId="2" borderId="0" xfId="0" applyNumberFormat="1" applyFont="1" applyFill="1" applyAlignment="1">
      <alignment horizontal="left"/>
    </xf>
    <xf numFmtId="169" fontId="6" fillId="6" borderId="0" xfId="2" applyNumberFormat="1" applyFont="1" applyFill="1" applyBorder="1"/>
    <xf numFmtId="169" fontId="6" fillId="6" borderId="57" xfId="2" applyNumberFormat="1" applyFont="1" applyFill="1" applyBorder="1"/>
    <xf numFmtId="0" fontId="0" fillId="6" borderId="0" xfId="0" applyFill="1"/>
    <xf numFmtId="1" fontId="6" fillId="6" borderId="0" xfId="0" applyNumberFormat="1" applyFont="1" applyFill="1"/>
    <xf numFmtId="169" fontId="6" fillId="6" borderId="57" xfId="0" applyNumberFormat="1" applyFont="1" applyFill="1" applyBorder="1"/>
    <xf numFmtId="169" fontId="6" fillId="6" borderId="0" xfId="0" applyNumberFormat="1" applyFont="1" applyFill="1" applyBorder="1"/>
    <xf numFmtId="10" fontId="0" fillId="0" borderId="0" xfId="0" applyNumberFormat="1"/>
    <xf numFmtId="169" fontId="22" fillId="2" borderId="0" xfId="2" applyNumberFormat="1" applyFont="1" applyFill="1" applyBorder="1"/>
    <xf numFmtId="9" fontId="22" fillId="2" borderId="0" xfId="1" applyFont="1" applyFill="1" applyBorder="1"/>
    <xf numFmtId="9" fontId="22" fillId="2" borderId="0" xfId="1" applyFont="1" applyFill="1" applyBorder="1" applyAlignment="1">
      <alignment horizontal="right"/>
    </xf>
    <xf numFmtId="164" fontId="22" fillId="2" borderId="0" xfId="2" applyFont="1" applyFill="1" applyBorder="1"/>
    <xf numFmtId="9" fontId="22" fillId="2" borderId="0" xfId="1" applyFont="1" applyFill="1"/>
    <xf numFmtId="0" fontId="22" fillId="16" borderId="1" xfId="0" applyFont="1" applyFill="1" applyBorder="1"/>
    <xf numFmtId="10" fontId="6" fillId="2" borderId="35" xfId="0" applyNumberFormat="1" applyFont="1" applyFill="1" applyBorder="1"/>
    <xf numFmtId="10" fontId="6" fillId="2" borderId="0" xfId="0" applyNumberFormat="1" applyFont="1" applyFill="1" applyBorder="1"/>
    <xf numFmtId="2" fontId="6" fillId="2" borderId="35" xfId="2" applyNumberFormat="1" applyFont="1" applyFill="1" applyBorder="1"/>
    <xf numFmtId="166" fontId="48" fillId="17" borderId="47" xfId="1" applyNumberFormat="1" applyFont="1" applyFill="1" applyBorder="1"/>
    <xf numFmtId="166" fontId="48" fillId="13" borderId="68" xfId="1" applyNumberFormat="1" applyFont="1" applyFill="1" applyBorder="1"/>
    <xf numFmtId="0" fontId="6" fillId="2" borderId="28" xfId="0" applyFont="1" applyFill="1" applyBorder="1"/>
    <xf numFmtId="10" fontId="0" fillId="0" borderId="31" xfId="0" applyNumberFormat="1" applyBorder="1"/>
    <xf numFmtId="10" fontId="6" fillId="2" borderId="31" xfId="0" applyNumberFormat="1" applyFont="1" applyFill="1" applyBorder="1"/>
    <xf numFmtId="10" fontId="48" fillId="2" borderId="0" xfId="1" applyNumberFormat="1" applyFont="1" applyFill="1" applyBorder="1"/>
    <xf numFmtId="169" fontId="6" fillId="6" borderId="0" xfId="2" applyNumberFormat="1" applyFont="1" applyFill="1"/>
    <xf numFmtId="14" fontId="22" fillId="3" borderId="0" xfId="2" applyNumberFormat="1" applyFont="1" applyFill="1"/>
    <xf numFmtId="14" fontId="22" fillId="3" borderId="57" xfId="2" applyNumberFormat="1" applyFont="1" applyFill="1" applyBorder="1"/>
    <xf numFmtId="14" fontId="22" fillId="3" borderId="0" xfId="2" applyNumberFormat="1" applyFont="1" applyFill="1" applyBorder="1"/>
    <xf numFmtId="168" fontId="8" fillId="2" borderId="0" xfId="0" applyNumberFormat="1" applyFont="1" applyFill="1" applyBorder="1"/>
    <xf numFmtId="164" fontId="31" fillId="2" borderId="0" xfId="2" applyFont="1" applyFill="1"/>
    <xf numFmtId="169" fontId="22" fillId="2" borderId="0" xfId="2" applyNumberFormat="1" applyFont="1" applyFill="1"/>
    <xf numFmtId="169" fontId="22" fillId="2" borderId="0" xfId="0" applyNumberFormat="1" applyFont="1" applyFill="1"/>
    <xf numFmtId="10" fontId="15" fillId="9" borderId="0" xfId="0" applyNumberFormat="1" applyFont="1" applyFill="1"/>
    <xf numFmtId="175" fontId="0" fillId="2" borderId="57" xfId="0" applyNumberFormat="1" applyFill="1" applyBorder="1"/>
    <xf numFmtId="175" fontId="0" fillId="2" borderId="0" xfId="0" applyNumberFormat="1" applyFill="1" applyBorder="1"/>
    <xf numFmtId="0" fontId="23" fillId="26" borderId="0" xfId="0" applyFont="1" applyFill="1"/>
    <xf numFmtId="169" fontId="6" fillId="6" borderId="0" xfId="0" applyNumberFormat="1" applyFont="1" applyFill="1"/>
    <xf numFmtId="169" fontId="58" fillId="6" borderId="0" xfId="0" applyNumberFormat="1" applyFont="1" applyFill="1"/>
    <xf numFmtId="164" fontId="6" fillId="6" borderId="0" xfId="2" applyFont="1" applyFill="1"/>
    <xf numFmtId="164" fontId="6" fillId="6" borderId="57" xfId="2" applyFont="1" applyFill="1" applyBorder="1"/>
    <xf numFmtId="164" fontId="6" fillId="6" borderId="0" xfId="2" applyFont="1" applyFill="1" applyBorder="1"/>
    <xf numFmtId="169" fontId="58" fillId="6" borderId="0" xfId="2" applyNumberFormat="1" applyFont="1" applyFill="1" applyBorder="1"/>
    <xf numFmtId="0" fontId="22" fillId="3" borderId="0" xfId="0" applyFont="1" applyFill="1" applyAlignment="1">
      <alignment horizontal="right"/>
    </xf>
    <xf numFmtId="169" fontId="22" fillId="2" borderId="0" xfId="2" applyNumberFormat="1" applyFont="1" applyFill="1" applyBorder="1" applyAlignment="1">
      <alignment horizontal="right"/>
    </xf>
    <xf numFmtId="10" fontId="22" fillId="2" borderId="0" xfId="1" applyNumberFormat="1" applyFont="1" applyFill="1" applyBorder="1"/>
    <xf numFmtId="1" fontId="22" fillId="2" borderId="0" xfId="0" applyNumberFormat="1" applyFont="1" applyFill="1" applyBorder="1"/>
    <xf numFmtId="1" fontId="57" fillId="5" borderId="0" xfId="0" applyNumberFormat="1" applyFont="1" applyFill="1" applyBorder="1"/>
    <xf numFmtId="169" fontId="0" fillId="2" borderId="0" xfId="0" applyNumberFormat="1" applyFill="1"/>
    <xf numFmtId="164" fontId="0" fillId="2" borderId="0" xfId="0" applyNumberFormat="1" applyFill="1"/>
    <xf numFmtId="0" fontId="15" fillId="2" borderId="0" xfId="0" applyFont="1" applyFill="1"/>
    <xf numFmtId="10" fontId="15" fillId="2" borderId="0" xfId="0" applyNumberFormat="1" applyFont="1" applyFill="1" applyAlignment="1">
      <alignment horizontal="left"/>
    </xf>
    <xf numFmtId="0" fontId="0" fillId="18" borderId="1" xfId="0" applyFill="1" applyBorder="1"/>
    <xf numFmtId="0" fontId="0" fillId="18" borderId="59" xfId="0" applyFill="1" applyBorder="1"/>
    <xf numFmtId="0" fontId="0" fillId="18" borderId="27" xfId="0" applyFill="1" applyBorder="1"/>
    <xf numFmtId="0" fontId="0" fillId="18" borderId="22" xfId="0" applyFill="1" applyBorder="1"/>
    <xf numFmtId="0" fontId="0" fillId="18" borderId="56" xfId="0" applyFill="1" applyBorder="1"/>
    <xf numFmtId="0" fontId="0" fillId="18" borderId="32" xfId="0" applyFill="1" applyBorder="1"/>
    <xf numFmtId="0" fontId="0" fillId="18" borderId="60" xfId="0" applyFill="1" applyBorder="1"/>
    <xf numFmtId="0" fontId="0" fillId="18" borderId="66" xfId="0" applyFill="1" applyBorder="1"/>
    <xf numFmtId="10" fontId="0" fillId="2" borderId="7" xfId="1" applyNumberFormat="1" applyFont="1" applyFill="1" applyBorder="1"/>
    <xf numFmtId="10" fontId="0" fillId="2" borderId="54" xfId="1" applyNumberFormat="1" applyFont="1" applyFill="1" applyBorder="1"/>
    <xf numFmtId="9" fontId="0" fillId="2" borderId="30" xfId="1" applyFont="1" applyFill="1" applyBorder="1"/>
    <xf numFmtId="10" fontId="0" fillId="2" borderId="59" xfId="1" applyNumberFormat="1" applyFont="1" applyFill="1" applyBorder="1"/>
    <xf numFmtId="10" fontId="0" fillId="2" borderId="56" xfId="1" applyNumberFormat="1" applyFont="1" applyFill="1" applyBorder="1"/>
    <xf numFmtId="0" fontId="0" fillId="6" borderId="5" xfId="0" applyFill="1" applyBorder="1"/>
    <xf numFmtId="0" fontId="0" fillId="6" borderId="6" xfId="0" applyFill="1" applyBorder="1"/>
    <xf numFmtId="0" fontId="0" fillId="6" borderId="39" xfId="0" applyFill="1" applyBorder="1"/>
    <xf numFmtId="0" fontId="0" fillId="13" borderId="5" xfId="0" applyFill="1" applyBorder="1"/>
    <xf numFmtId="0" fontId="0" fillId="13" borderId="6" xfId="0" applyFill="1" applyBorder="1"/>
    <xf numFmtId="0" fontId="0" fillId="13" borderId="39" xfId="0" applyFill="1" applyBorder="1"/>
    <xf numFmtId="174" fontId="0" fillId="2" borderId="0" xfId="0" applyNumberFormat="1" applyFill="1" applyBorder="1"/>
    <xf numFmtId="0" fontId="0" fillId="2" borderId="55" xfId="0" applyFill="1" applyBorder="1"/>
    <xf numFmtId="0" fontId="60" fillId="18" borderId="1" xfId="0" applyFont="1" applyFill="1" applyBorder="1"/>
    <xf numFmtId="0" fontId="61" fillId="6" borderId="1" xfId="0" applyFont="1" applyFill="1" applyBorder="1"/>
    <xf numFmtId="0" fontId="61" fillId="6" borderId="27" xfId="0" applyFont="1" applyFill="1" applyBorder="1"/>
    <xf numFmtId="0" fontId="61" fillId="6" borderId="31" xfId="0" applyFont="1" applyFill="1" applyBorder="1"/>
    <xf numFmtId="0" fontId="61" fillId="6" borderId="22" xfId="0" applyFont="1" applyFill="1" applyBorder="1"/>
    <xf numFmtId="0" fontId="61" fillId="6" borderId="32" xfId="0" applyFont="1" applyFill="1" applyBorder="1"/>
    <xf numFmtId="0" fontId="62" fillId="6" borderId="28" xfId="0" applyFont="1" applyFill="1" applyBorder="1"/>
    <xf numFmtId="0" fontId="2" fillId="13" borderId="6" xfId="0" applyFont="1" applyFill="1" applyBorder="1"/>
    <xf numFmtId="0" fontId="0" fillId="13" borderId="69" xfId="0" applyFill="1" applyBorder="1"/>
    <xf numFmtId="0" fontId="0" fillId="6" borderId="31" xfId="0" applyFill="1" applyBorder="1"/>
    <xf numFmtId="0" fontId="0" fillId="6" borderId="22" xfId="0" applyFill="1" applyBorder="1"/>
    <xf numFmtId="0" fontId="0" fillId="6" borderId="32" xfId="0" applyFill="1" applyBorder="1"/>
    <xf numFmtId="0" fontId="61" fillId="6" borderId="28" xfId="0" applyFont="1" applyFill="1" applyBorder="1" applyAlignment="1">
      <alignment horizontal="left"/>
    </xf>
    <xf numFmtId="0" fontId="61" fillId="6" borderId="1" xfId="0" applyFont="1" applyFill="1" applyBorder="1" applyAlignment="1">
      <alignment horizontal="center"/>
    </xf>
    <xf numFmtId="10" fontId="0" fillId="2" borderId="60" xfId="1" applyNumberFormat="1" applyFont="1" applyFill="1" applyBorder="1"/>
    <xf numFmtId="10" fontId="0" fillId="2" borderId="61" xfId="0" applyNumberFormat="1" applyFill="1" applyBorder="1"/>
    <xf numFmtId="10" fontId="0" fillId="2" borderId="61" xfId="1" applyNumberFormat="1" applyFont="1" applyFill="1" applyBorder="1"/>
    <xf numFmtId="0" fontId="0" fillId="6" borderId="1" xfId="0" applyFill="1" applyBorder="1"/>
    <xf numFmtId="0" fontId="0" fillId="6" borderId="27" xfId="0" applyFill="1" applyBorder="1"/>
    <xf numFmtId="0" fontId="61" fillId="6" borderId="28" xfId="0" applyFont="1" applyFill="1" applyBorder="1"/>
    <xf numFmtId="10" fontId="0" fillId="2" borderId="66" xfId="1" applyNumberFormat="1" applyFont="1" applyFill="1" applyBorder="1"/>
    <xf numFmtId="10" fontId="0" fillId="2" borderId="56" xfId="0" applyNumberFormat="1" applyFill="1" applyBorder="1"/>
    <xf numFmtId="9" fontId="0" fillId="2" borderId="0" xfId="0" applyNumberFormat="1" applyFill="1" applyBorder="1"/>
    <xf numFmtId="0" fontId="0" fillId="2" borderId="60" xfId="0" applyFill="1" applyBorder="1"/>
    <xf numFmtId="0" fontId="0" fillId="2" borderId="42" xfId="0" applyFill="1" applyBorder="1"/>
    <xf numFmtId="1" fontId="0" fillId="2" borderId="0" xfId="1" applyNumberFormat="1" applyFont="1" applyFill="1" applyBorder="1"/>
    <xf numFmtId="10" fontId="0" fillId="9" borderId="0" xfId="1" applyNumberFormat="1" applyFont="1" applyFill="1" applyBorder="1"/>
    <xf numFmtId="0" fontId="0" fillId="9" borderId="61" xfId="0" applyFill="1" applyBorder="1"/>
    <xf numFmtId="0" fontId="0" fillId="2" borderId="51" xfId="0" applyFill="1" applyBorder="1"/>
    <xf numFmtId="0" fontId="0" fillId="9" borderId="14" xfId="0" applyFill="1" applyBorder="1"/>
    <xf numFmtId="2" fontId="0" fillId="2" borderId="70" xfId="0" applyNumberFormat="1" applyFill="1" applyBorder="1"/>
    <xf numFmtId="2" fontId="0" fillId="2" borderId="71" xfId="0" applyNumberFormat="1" applyFill="1" applyBorder="1"/>
    <xf numFmtId="9" fontId="45" fillId="2" borderId="0" xfId="0" quotePrefix="1" applyNumberFormat="1" applyFont="1" applyFill="1" applyBorder="1" applyAlignment="1">
      <alignment horizontal="center" vertical="center" wrapText="1"/>
    </xf>
    <xf numFmtId="9" fontId="46" fillId="2" borderId="0" xfId="0" applyNumberFormat="1" applyFont="1" applyFill="1" applyBorder="1" applyAlignment="1">
      <alignment horizontal="center"/>
    </xf>
    <xf numFmtId="9" fontId="45" fillId="2" borderId="0" xfId="0" quotePrefix="1" applyNumberFormat="1" applyFont="1" applyFill="1" applyBorder="1" applyAlignment="1">
      <alignment horizontal="center" vertical="top" wrapText="1"/>
    </xf>
    <xf numFmtId="0" fontId="31" fillId="24" borderId="28" xfId="0" applyFont="1" applyFill="1" applyBorder="1"/>
    <xf numFmtId="0" fontId="2" fillId="2" borderId="55" xfId="0" applyFont="1" applyFill="1" applyBorder="1"/>
    <xf numFmtId="1" fontId="2" fillId="2" borderId="22" xfId="0" applyNumberFormat="1" applyFont="1" applyFill="1" applyBorder="1"/>
    <xf numFmtId="1" fontId="0" fillId="2" borderId="22" xfId="0" applyNumberFormat="1" applyFill="1" applyBorder="1"/>
    <xf numFmtId="1" fontId="0" fillId="2" borderId="56" xfId="0" applyNumberFormat="1" applyFill="1" applyBorder="1"/>
    <xf numFmtId="174" fontId="0" fillId="2" borderId="0" xfId="0" applyNumberFormat="1" applyFill="1"/>
    <xf numFmtId="10" fontId="0" fillId="13" borderId="1" xfId="1" applyNumberFormat="1" applyFont="1" applyFill="1" applyBorder="1"/>
    <xf numFmtId="10" fontId="0" fillId="13" borderId="27" xfId="1" applyNumberFormat="1" applyFont="1" applyFill="1" applyBorder="1"/>
    <xf numFmtId="10" fontId="0" fillId="13" borderId="59" xfId="1" applyNumberFormat="1" applyFont="1" applyFill="1" applyBorder="1"/>
    <xf numFmtId="1" fontId="0" fillId="13" borderId="22" xfId="0" applyNumberFormat="1" applyFill="1" applyBorder="1"/>
    <xf numFmtId="1" fontId="0" fillId="13" borderId="56" xfId="0" applyNumberFormat="1" applyFill="1" applyBorder="1"/>
    <xf numFmtId="1" fontId="0" fillId="2" borderId="54" xfId="0" applyNumberFormat="1" applyFill="1" applyBorder="1"/>
    <xf numFmtId="1" fontId="0" fillId="2" borderId="27" xfId="0" applyNumberFormat="1" applyFill="1" applyBorder="1"/>
    <xf numFmtId="1" fontId="0" fillId="2" borderId="32" xfId="0" applyNumberFormat="1" applyFill="1" applyBorder="1"/>
    <xf numFmtId="1" fontId="0" fillId="2" borderId="7" xfId="0" applyNumberFormat="1" applyFill="1" applyBorder="1"/>
    <xf numFmtId="1" fontId="2" fillId="2" borderId="30" xfId="0" applyNumberFormat="1" applyFont="1" applyFill="1" applyBorder="1"/>
    <xf numFmtId="1" fontId="0" fillId="2" borderId="30" xfId="0" applyNumberFormat="1" applyFill="1" applyBorder="1"/>
    <xf numFmtId="1" fontId="2" fillId="2" borderId="45" xfId="0" applyNumberFormat="1" applyFont="1" applyFill="1" applyBorder="1"/>
    <xf numFmtId="1" fontId="0" fillId="2" borderId="45" xfId="0" applyNumberFormat="1" applyFill="1" applyBorder="1"/>
    <xf numFmtId="1" fontId="2" fillId="2" borderId="63" xfId="0" applyNumberFormat="1" applyFont="1" applyFill="1" applyBorder="1"/>
    <xf numFmtId="1" fontId="2" fillId="2" borderId="32" xfId="0" applyNumberFormat="1" applyFont="1" applyFill="1" applyBorder="1"/>
    <xf numFmtId="1" fontId="0" fillId="13" borderId="32" xfId="0" applyNumberFormat="1" applyFill="1" applyBorder="1"/>
    <xf numFmtId="0" fontId="60" fillId="2" borderId="61" xfId="0" applyFont="1" applyFill="1" applyBorder="1"/>
    <xf numFmtId="1" fontId="0" fillId="2" borderId="63" xfId="0" applyNumberFormat="1" applyFill="1" applyBorder="1"/>
    <xf numFmtId="0" fontId="0" fillId="2" borderId="72" xfId="0" applyFill="1" applyBorder="1"/>
    <xf numFmtId="2" fontId="2" fillId="25" borderId="58" xfId="0" applyNumberFormat="1" applyFont="1" applyFill="1" applyBorder="1"/>
    <xf numFmtId="167" fontId="0" fillId="2" borderId="48" xfId="0" applyNumberFormat="1" applyFill="1" applyBorder="1"/>
    <xf numFmtId="173" fontId="0" fillId="2" borderId="30" xfId="1" applyNumberFormat="1" applyFont="1" applyFill="1" applyBorder="1"/>
    <xf numFmtId="1" fontId="0" fillId="2" borderId="1" xfId="0" applyNumberFormat="1" applyFill="1" applyBorder="1"/>
    <xf numFmtId="1" fontId="0" fillId="2" borderId="0" xfId="0" applyNumberFormat="1" applyFont="1" applyFill="1" applyBorder="1"/>
    <xf numFmtId="1" fontId="0" fillId="2" borderId="48" xfId="0" applyNumberFormat="1" applyFont="1" applyFill="1" applyBorder="1"/>
    <xf numFmtId="0" fontId="0" fillId="2" borderId="73" xfId="0" applyFill="1" applyBorder="1"/>
    <xf numFmtId="1" fontId="0" fillId="2" borderId="70" xfId="0" applyNumberFormat="1" applyFill="1" applyBorder="1"/>
    <xf numFmtId="1" fontId="0" fillId="2" borderId="71" xfId="0" applyNumberFormat="1" applyFill="1" applyBorder="1"/>
    <xf numFmtId="9" fontId="0" fillId="2" borderId="0" xfId="1" applyFont="1" applyFill="1" applyBorder="1"/>
    <xf numFmtId="1" fontId="0" fillId="2" borderId="30" xfId="0" applyNumberFormat="1" applyFont="1" applyFill="1" applyBorder="1"/>
    <xf numFmtId="0" fontId="0" fillId="22" borderId="1" xfId="0" applyFill="1" applyBorder="1"/>
    <xf numFmtId="0" fontId="0" fillId="22" borderId="27" xfId="0" applyFill="1" applyBorder="1"/>
    <xf numFmtId="0" fontId="0" fillId="22" borderId="31" xfId="0" applyFill="1" applyBorder="1"/>
    <xf numFmtId="0" fontId="0" fillId="22" borderId="22" xfId="0" applyFill="1" applyBorder="1"/>
    <xf numFmtId="0" fontId="0" fillId="22" borderId="32" xfId="0" applyFill="1" applyBorder="1"/>
    <xf numFmtId="0" fontId="0" fillId="13" borderId="28" xfId="0" applyFill="1" applyBorder="1"/>
    <xf numFmtId="0" fontId="0" fillId="13" borderId="31" xfId="0" applyFill="1" applyBorder="1"/>
    <xf numFmtId="0" fontId="0" fillId="6" borderId="75" xfId="0" applyFill="1" applyBorder="1"/>
    <xf numFmtId="0" fontId="0" fillId="6" borderId="36" xfId="0" applyFill="1" applyBorder="1"/>
    <xf numFmtId="0" fontId="0" fillId="6" borderId="16" xfId="0" applyFill="1" applyBorder="1"/>
    <xf numFmtId="0" fontId="0" fillId="22" borderId="28" xfId="0" applyFill="1" applyBorder="1"/>
    <xf numFmtId="0" fontId="63" fillId="22" borderId="1" xfId="0" applyFont="1" applyFill="1" applyBorder="1"/>
    <xf numFmtId="0" fontId="64" fillId="13" borderId="1" xfId="0" applyFont="1" applyFill="1" applyBorder="1"/>
    <xf numFmtId="0" fontId="0" fillId="18" borderId="74" xfId="0" applyFill="1" applyBorder="1"/>
    <xf numFmtId="0" fontId="0" fillId="18" borderId="7" xfId="0" applyFill="1" applyBorder="1"/>
    <xf numFmtId="0" fontId="0" fillId="18" borderId="54" xfId="0" applyFill="1" applyBorder="1"/>
    <xf numFmtId="0" fontId="0" fillId="18" borderId="50" xfId="0" applyFill="1" applyBorder="1"/>
    <xf numFmtId="0" fontId="0" fillId="18" borderId="35" xfId="0" applyFill="1" applyBorder="1"/>
    <xf numFmtId="0" fontId="0" fillId="18" borderId="34" xfId="0" applyFill="1" applyBorder="1"/>
    <xf numFmtId="0" fontId="0" fillId="18" borderId="55" xfId="0" applyFill="1" applyBorder="1"/>
    <xf numFmtId="0" fontId="0" fillId="18" borderId="25" xfId="0" applyFill="1" applyBorder="1"/>
    <xf numFmtId="0" fontId="0" fillId="18" borderId="74" xfId="0" applyFont="1" applyFill="1" applyBorder="1"/>
    <xf numFmtId="9" fontId="0" fillId="2" borderId="35" xfId="1" applyFont="1" applyFill="1" applyBorder="1"/>
    <xf numFmtId="9" fontId="0" fillId="2" borderId="35" xfId="1" applyNumberFormat="1" applyFont="1" applyFill="1" applyBorder="1"/>
    <xf numFmtId="0" fontId="0" fillId="2" borderId="34" xfId="0" applyFill="1" applyBorder="1" applyAlignment="1">
      <alignment horizontal="right"/>
    </xf>
    <xf numFmtId="0" fontId="0" fillId="2" borderId="35" xfId="0" applyFill="1" applyBorder="1" applyAlignment="1">
      <alignment horizontal="right" vertical="center"/>
    </xf>
    <xf numFmtId="9" fontId="0" fillId="2" borderId="34" xfId="1" applyFont="1" applyFill="1" applyBorder="1"/>
    <xf numFmtId="0" fontId="2" fillId="2" borderId="74" xfId="0" applyFont="1" applyFill="1" applyBorder="1"/>
    <xf numFmtId="0" fontId="2" fillId="2" borderId="49" xfId="0" applyFont="1" applyFill="1" applyBorder="1"/>
    <xf numFmtId="0" fontId="0" fillId="6" borderId="28" xfId="0" applyFill="1" applyBorder="1"/>
    <xf numFmtId="2" fontId="0" fillId="2" borderId="22" xfId="0" applyNumberFormat="1" applyFill="1" applyBorder="1"/>
    <xf numFmtId="0" fontId="0" fillId="7" borderId="28" xfId="0" applyFill="1" applyBorder="1"/>
    <xf numFmtId="0" fontId="0" fillId="7" borderId="1" xfId="0" applyFill="1" applyBorder="1"/>
    <xf numFmtId="0" fontId="0" fillId="7" borderId="59" xfId="0" applyFill="1" applyBorder="1"/>
    <xf numFmtId="0" fontId="0" fillId="7" borderId="27" xfId="0" applyFill="1" applyBorder="1"/>
    <xf numFmtId="0" fontId="0" fillId="7" borderId="31" xfId="0" applyFill="1" applyBorder="1"/>
    <xf numFmtId="0" fontId="0" fillId="7" borderId="56" xfId="0" applyFill="1" applyBorder="1"/>
    <xf numFmtId="0" fontId="0" fillId="7" borderId="32" xfId="0" applyFill="1" applyBorder="1"/>
    <xf numFmtId="9" fontId="0" fillId="2" borderId="34" xfId="1" applyNumberFormat="1" applyFont="1" applyFill="1" applyBorder="1"/>
    <xf numFmtId="10" fontId="17" fillId="2" borderId="0" xfId="1" applyNumberFormat="1" applyFont="1" applyFill="1"/>
    <xf numFmtId="10" fontId="17" fillId="2" borderId="57" xfId="1" applyNumberFormat="1" applyFont="1" applyFill="1" applyBorder="1"/>
    <xf numFmtId="10" fontId="17" fillId="2" borderId="0" xfId="1" applyNumberFormat="1" applyFont="1" applyFill="1" applyBorder="1"/>
    <xf numFmtId="9" fontId="17" fillId="2" borderId="0" xfId="1" applyFont="1" applyFill="1" applyBorder="1"/>
    <xf numFmtId="173" fontId="17" fillId="2" borderId="0" xfId="1" applyNumberFormat="1" applyFont="1" applyFill="1"/>
    <xf numFmtId="173" fontId="17" fillId="2" borderId="57" xfId="1" applyNumberFormat="1" applyFont="1" applyFill="1" applyBorder="1"/>
    <xf numFmtId="173" fontId="17" fillId="2" borderId="0" xfId="1" applyNumberFormat="1" applyFont="1" applyFill="1" applyBorder="1"/>
    <xf numFmtId="9" fontId="17" fillId="2" borderId="0" xfId="1" applyFont="1" applyFill="1"/>
    <xf numFmtId="9" fontId="17" fillId="2" borderId="57" xfId="1" applyFont="1" applyFill="1" applyBorder="1"/>
    <xf numFmtId="164" fontId="17" fillId="2" borderId="0" xfId="2" applyFont="1" applyFill="1"/>
    <xf numFmtId="164" fontId="6" fillId="2" borderId="0" xfId="2" applyFont="1" applyFill="1" applyAlignment="1">
      <alignment horizontal="left" vertical="center"/>
    </xf>
    <xf numFmtId="9" fontId="17" fillId="2" borderId="57" xfId="1" applyFont="1" applyFill="1" applyBorder="1" applyAlignment="1">
      <alignment horizontal="right"/>
    </xf>
    <xf numFmtId="9" fontId="17" fillId="2" borderId="0" xfId="1" applyFont="1" applyFill="1" applyBorder="1" applyAlignment="1">
      <alignment horizontal="right"/>
    </xf>
    <xf numFmtId="164" fontId="17" fillId="2" borderId="57" xfId="2" applyFont="1" applyFill="1" applyBorder="1"/>
    <xf numFmtId="164" fontId="17" fillId="2" borderId="0" xfId="2" applyFont="1" applyFill="1" applyBorder="1"/>
    <xf numFmtId="10" fontId="6" fillId="9" borderId="0" xfId="0" applyNumberFormat="1" applyFont="1" applyFill="1"/>
    <xf numFmtId="167" fontId="6" fillId="2" borderId="0" xfId="0" applyNumberFormat="1" applyFont="1" applyFill="1"/>
    <xf numFmtId="0" fontId="22" fillId="0" borderId="0" xfId="0" applyFont="1" applyBorder="1"/>
    <xf numFmtId="0" fontId="66" fillId="13" borderId="28" xfId="0" applyFont="1" applyFill="1" applyBorder="1"/>
    <xf numFmtId="0" fontId="65" fillId="13" borderId="1" xfId="0" applyFont="1" applyFill="1" applyBorder="1"/>
    <xf numFmtId="0" fontId="6" fillId="2" borderId="62" xfId="0" applyFont="1" applyFill="1" applyBorder="1"/>
    <xf numFmtId="0" fontId="6" fillId="2" borderId="76" xfId="0" applyFont="1" applyFill="1" applyBorder="1"/>
    <xf numFmtId="0" fontId="6" fillId="2" borderId="41" xfId="0" applyFont="1" applyFill="1" applyBorder="1"/>
    <xf numFmtId="0" fontId="6" fillId="2" borderId="11" xfId="0" applyFont="1" applyFill="1" applyBorder="1"/>
    <xf numFmtId="0" fontId="6" fillId="2" borderId="42" xfId="0" applyFont="1" applyFill="1" applyBorder="1"/>
    <xf numFmtId="0" fontId="6" fillId="2" borderId="12" xfId="0" applyFont="1" applyFill="1" applyBorder="1"/>
    <xf numFmtId="0" fontId="6" fillId="2" borderId="13" xfId="0" applyFont="1" applyFill="1" applyBorder="1"/>
    <xf numFmtId="0" fontId="20" fillId="8" borderId="0" xfId="0" applyFont="1" applyFill="1" applyBorder="1" applyAlignment="1">
      <alignment horizontal="center"/>
    </xf>
    <xf numFmtId="0" fontId="20" fillId="14" borderId="0" xfId="0" applyFont="1" applyFill="1" applyBorder="1" applyAlignment="1">
      <alignment horizontal="center"/>
    </xf>
    <xf numFmtId="0" fontId="20" fillId="14" borderId="30" xfId="0" applyFont="1" applyFill="1" applyBorder="1" applyAlignment="1">
      <alignment horizontal="center"/>
    </xf>
    <xf numFmtId="0" fontId="3" fillId="14" borderId="28" xfId="0" applyFont="1" applyFill="1" applyBorder="1" applyAlignment="1">
      <alignment horizontal="center"/>
    </xf>
    <xf numFmtId="0" fontId="3" fillId="14" borderId="1" xfId="0" applyFont="1" applyFill="1" applyBorder="1" applyAlignment="1">
      <alignment horizontal="center"/>
    </xf>
    <xf numFmtId="0" fontId="23" fillId="14" borderId="0" xfId="0" applyFont="1" applyFill="1" applyBorder="1" applyAlignment="1">
      <alignment horizontal="center"/>
    </xf>
    <xf numFmtId="0" fontId="23" fillId="14" borderId="30" xfId="0" applyFont="1" applyFill="1" applyBorder="1" applyAlignment="1">
      <alignment horizontal="center"/>
    </xf>
    <xf numFmtId="0" fontId="23" fillId="8" borderId="0" xfId="0" applyFont="1" applyFill="1" applyBorder="1" applyAlignment="1">
      <alignment horizontal="center"/>
    </xf>
    <xf numFmtId="0" fontId="23" fillId="8" borderId="30" xfId="0" applyFont="1" applyFill="1" applyBorder="1" applyAlignment="1">
      <alignment horizontal="center"/>
    </xf>
    <xf numFmtId="0" fontId="20" fillId="8" borderId="30" xfId="0" applyFont="1" applyFill="1" applyBorder="1" applyAlignment="1">
      <alignment horizontal="center"/>
    </xf>
    <xf numFmtId="169" fontId="23" fillId="26" borderId="0" xfId="2" applyNumberFormat="1" applyFont="1" applyFill="1" applyAlignment="1">
      <alignment horizontal="center"/>
    </xf>
    <xf numFmtId="169" fontId="23" fillId="26" borderId="67" xfId="2" applyNumberFormat="1" applyFont="1" applyFill="1" applyBorder="1" applyAlignment="1">
      <alignment horizontal="center"/>
    </xf>
    <xf numFmtId="169" fontId="23" fillId="26" borderId="57" xfId="2" applyNumberFormat="1" applyFont="1" applyFill="1" applyBorder="1" applyAlignment="1">
      <alignment horizontal="center"/>
    </xf>
    <xf numFmtId="169" fontId="23" fillId="26" borderId="0" xfId="2" applyNumberFormat="1" applyFont="1" applyFill="1" applyBorder="1" applyAlignment="1">
      <alignment horizontal="center"/>
    </xf>
    <xf numFmtId="0" fontId="23" fillId="2" borderId="0" xfId="0" applyFont="1" applyFill="1" applyBorder="1" applyAlignment="1">
      <alignment horizontal="center"/>
    </xf>
    <xf numFmtId="0" fontId="6" fillId="2" borderId="0" xfId="0" applyFont="1" applyFill="1" applyAlignment="1">
      <alignment horizontal="left" wrapText="1"/>
    </xf>
    <xf numFmtId="0" fontId="20" fillId="8" borderId="67" xfId="0" applyFont="1" applyFill="1" applyBorder="1" applyAlignment="1">
      <alignment horizontal="center"/>
    </xf>
    <xf numFmtId="0" fontId="40" fillId="8" borderId="57" xfId="0" applyFont="1" applyFill="1" applyBorder="1" applyAlignment="1">
      <alignment horizontal="center"/>
    </xf>
    <xf numFmtId="0" fontId="40" fillId="8" borderId="0" xfId="0" applyFont="1" applyFill="1" applyBorder="1" applyAlignment="1">
      <alignment horizontal="center"/>
    </xf>
    <xf numFmtId="10" fontId="36" fillId="2" borderId="0" xfId="0" applyNumberFormat="1" applyFont="1" applyFill="1" applyBorder="1"/>
    <xf numFmtId="0" fontId="51" fillId="2" borderId="0" xfId="0" applyFont="1" applyFill="1" applyBorder="1"/>
    <xf numFmtId="166" fontId="36" fillId="2" borderId="0" xfId="0" applyNumberFormat="1" applyFont="1" applyFill="1" applyBorder="1"/>
    <xf numFmtId="167" fontId="43" fillId="2" borderId="0" xfId="0" applyNumberFormat="1" applyFont="1" applyFill="1" applyBorder="1"/>
    <xf numFmtId="0" fontId="36" fillId="2" borderId="0" xfId="0" applyFont="1" applyFill="1" applyBorder="1"/>
  </cellXfs>
  <cellStyles count="4">
    <cellStyle name="Migliaia" xfId="2" builtinId="3"/>
    <cellStyle name="Normale" xfId="0" builtinId="0"/>
    <cellStyle name="Normale 2" xfId="3" xr:uid="{844C0AD9-B6B1-4C61-B0A3-8EF9AA0A9676}"/>
    <cellStyle name="Percentuale" xfId="1" builtinId="5"/>
  </cellStyles>
  <dxfs count="0"/>
  <tableStyles count="0" defaultTableStyle="TableStyleMedium2" defaultPivotStyle="PivotStyleLight16"/>
  <colors>
    <mruColors>
      <color rgb="FF003399"/>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114301</xdr:colOff>
      <xdr:row>87</xdr:row>
      <xdr:rowOff>9525</xdr:rowOff>
    </xdr:from>
    <xdr:to>
      <xdr:col>10</xdr:col>
      <xdr:colOff>3038475</xdr:colOff>
      <xdr:row>90</xdr:row>
      <xdr:rowOff>95251</xdr:rowOff>
    </xdr:to>
    <xdr:sp macro="" textlink="">
      <xdr:nvSpPr>
        <xdr:cNvPr id="2" name="CasellaDiTesto 1">
          <a:extLst>
            <a:ext uri="{FF2B5EF4-FFF2-40B4-BE49-F238E27FC236}">
              <a16:creationId xmlns:a16="http://schemas.microsoft.com/office/drawing/2014/main" id="{62FCF630-7643-4B49-9A56-1BDA94217A26}"/>
            </a:ext>
          </a:extLst>
        </xdr:cNvPr>
        <xdr:cNvSpPr txBox="1"/>
      </xdr:nvSpPr>
      <xdr:spPr>
        <a:xfrm>
          <a:off x="10820401" y="16573500"/>
          <a:ext cx="2924174" cy="65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"Curren tax asset" refers to IRES and IRAP receivables for amounts requested for reimbursement on payments of previous years</a:t>
          </a:r>
        </a:p>
      </xdr:txBody>
    </xdr:sp>
    <xdr:clientData/>
  </xdr:twoCellAnchor>
  <xdr:twoCellAnchor>
    <xdr:from>
      <xdr:col>10</xdr:col>
      <xdr:colOff>0</xdr:colOff>
      <xdr:row>233</xdr:row>
      <xdr:rowOff>192767</xdr:rowOff>
    </xdr:from>
    <xdr:to>
      <xdr:col>10</xdr:col>
      <xdr:colOff>3829050</xdr:colOff>
      <xdr:row>237</xdr:row>
      <xdr:rowOff>34017</xdr:rowOff>
    </xdr:to>
    <xdr:sp macro="" textlink="">
      <xdr:nvSpPr>
        <xdr:cNvPr id="7" name="CasellaDiTesto 6">
          <a:extLst>
            <a:ext uri="{FF2B5EF4-FFF2-40B4-BE49-F238E27FC236}">
              <a16:creationId xmlns:a16="http://schemas.microsoft.com/office/drawing/2014/main" id="{B133EC49-951F-4304-859C-F2FACEDDAC48}"/>
            </a:ext>
          </a:extLst>
        </xdr:cNvPr>
        <xdr:cNvSpPr txBox="1"/>
      </xdr:nvSpPr>
      <xdr:spPr>
        <a:xfrm>
          <a:off x="10001250" y="46071517"/>
          <a:ext cx="3829050" cy="61232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During the computation of Financial expenses we can substract from the total all that is not interest to compute "Interest expenses"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22</xdr:row>
      <xdr:rowOff>1</xdr:rowOff>
    </xdr:from>
    <xdr:to>
      <xdr:col>5</xdr:col>
      <xdr:colOff>518160</xdr:colOff>
      <xdr:row>40</xdr:row>
      <xdr:rowOff>137160</xdr:rowOff>
    </xdr:to>
    <xdr:sp macro="" textlink="">
      <xdr:nvSpPr>
        <xdr:cNvPr id="3" name="CasellaDiTesto 2">
          <a:extLst>
            <a:ext uri="{FF2B5EF4-FFF2-40B4-BE49-F238E27FC236}">
              <a16:creationId xmlns:a16="http://schemas.microsoft.com/office/drawing/2014/main" id="{56AA375F-E107-4454-B867-52941588A667}"/>
            </a:ext>
          </a:extLst>
        </xdr:cNvPr>
        <xdr:cNvSpPr txBox="1"/>
      </xdr:nvSpPr>
      <xdr:spPr>
        <a:xfrm>
          <a:off x="0" y="4061461"/>
          <a:ext cx="3954780" cy="34899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a:t>
          </a:r>
          <a:r>
            <a:rPr lang="it-IT" sz="1100" baseline="0"/>
            <a:t> declared to augment DPS at least for 5% each year until 2024. </a:t>
          </a:r>
        </a:p>
        <a:p>
          <a:endParaRPr lang="it-IT" sz="1100" baseline="0"/>
        </a:p>
        <a:p>
          <a:r>
            <a:rPr lang="it-IT" sz="1100" baseline="0"/>
            <a:t>Assumptions : </a:t>
          </a:r>
        </a:p>
        <a:p>
          <a:endParaRPr lang="it-IT" sz="1100" baseline="0"/>
        </a:p>
        <a:p>
          <a:r>
            <a:rPr lang="it-IT" sz="1100" baseline="0"/>
            <a:t>1) I have decided to be conservative about future dividend growth rate using minimum values A2A has disclosed. </a:t>
          </a:r>
        </a:p>
        <a:p>
          <a:endParaRPr lang="it-IT" sz="1100" baseline="0"/>
        </a:p>
        <a:p>
          <a:r>
            <a:rPr lang="it-IT" sz="1100"/>
            <a:t>2) I have decided to use cost of equity computed according analytical decomposition (without</a:t>
          </a:r>
          <a:r>
            <a:rPr lang="it-IT" sz="1100" baseline="0"/>
            <a:t> Damodaran's dataset). </a:t>
          </a:r>
        </a:p>
        <a:p>
          <a:endParaRPr lang="it-IT" sz="1100" baseline="0"/>
        </a:p>
        <a:p>
          <a:r>
            <a:rPr lang="it-IT" sz="1100" baseline="0"/>
            <a:t>3)  For what about stable growth period I have decided to rise Beta towards market value and so use a higher cost of equity.</a:t>
          </a:r>
        </a:p>
        <a:p>
          <a:endParaRPr lang="it-IT" sz="1100" baseline="0"/>
        </a:p>
        <a:p>
          <a:r>
            <a:rPr lang="it-IT" sz="1100" baseline="0"/>
            <a:t>4) For stable return of equity I have decided to consider no excess return, therefore steady ROE = steady cost of equity. </a:t>
          </a:r>
        </a:p>
        <a:p>
          <a:endParaRPr lang="it-IT" sz="1100" baseline="0"/>
        </a:p>
        <a:p>
          <a:r>
            <a:rPr lang="it-IT" sz="1100"/>
            <a:t>5)</a:t>
          </a:r>
          <a:r>
            <a:rPr lang="it-IT" sz="1100" baseline="0"/>
            <a:t> In table "Output #2" I performed a sensitivity using different terminal beta: i.e. maintaining  same beta and so same cost of equity over time.</a:t>
          </a:r>
          <a:endParaRPr lang="it-IT" sz="1100"/>
        </a:p>
      </xdr:txBody>
    </xdr:sp>
    <xdr:clientData/>
  </xdr:twoCellAnchor>
  <xdr:twoCellAnchor>
    <xdr:from>
      <xdr:col>6</xdr:col>
      <xdr:colOff>304800</xdr:colOff>
      <xdr:row>72</xdr:row>
      <xdr:rowOff>38100</xdr:rowOff>
    </xdr:from>
    <xdr:to>
      <xdr:col>9</xdr:col>
      <xdr:colOff>190500</xdr:colOff>
      <xdr:row>76</xdr:row>
      <xdr:rowOff>137160</xdr:rowOff>
    </xdr:to>
    <xdr:sp macro="" textlink="">
      <xdr:nvSpPr>
        <xdr:cNvPr id="2" name="CasellaDiTesto 1">
          <a:extLst>
            <a:ext uri="{FF2B5EF4-FFF2-40B4-BE49-F238E27FC236}">
              <a16:creationId xmlns:a16="http://schemas.microsoft.com/office/drawing/2014/main" id="{65202194-9C7C-45E7-A72E-52A279925128}"/>
            </a:ext>
          </a:extLst>
        </xdr:cNvPr>
        <xdr:cNvSpPr txBox="1"/>
      </xdr:nvSpPr>
      <xdr:spPr>
        <a:xfrm>
          <a:off x="5295900" y="15986760"/>
          <a:ext cx="1859280" cy="830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 used</a:t>
          </a:r>
          <a:r>
            <a:rPr lang="it-IT" sz="1100" baseline="0"/>
            <a:t> same assumptions as in dividend discount model for stable growth rate and cost of equity.</a:t>
          </a:r>
        </a:p>
        <a:p>
          <a:endParaRPr lang="it-IT" sz="1100"/>
        </a:p>
      </xdr:txBody>
    </xdr:sp>
    <xdr:clientData/>
  </xdr:twoCellAnchor>
  <xdr:twoCellAnchor>
    <xdr:from>
      <xdr:col>13</xdr:col>
      <xdr:colOff>289560</xdr:colOff>
      <xdr:row>65</xdr:row>
      <xdr:rowOff>114300</xdr:rowOff>
    </xdr:from>
    <xdr:to>
      <xdr:col>16</xdr:col>
      <xdr:colOff>365760</xdr:colOff>
      <xdr:row>69</xdr:row>
      <xdr:rowOff>30480</xdr:rowOff>
    </xdr:to>
    <xdr:sp macro="" textlink="">
      <xdr:nvSpPr>
        <xdr:cNvPr id="5" name="CasellaDiTesto 4">
          <a:extLst>
            <a:ext uri="{FF2B5EF4-FFF2-40B4-BE49-F238E27FC236}">
              <a16:creationId xmlns:a16="http://schemas.microsoft.com/office/drawing/2014/main" id="{157B9008-8677-47F5-8005-6C0662DD36A0}"/>
            </a:ext>
          </a:extLst>
        </xdr:cNvPr>
        <xdr:cNvSpPr txBox="1"/>
      </xdr:nvSpPr>
      <xdr:spPr>
        <a:xfrm>
          <a:off x="9806940" y="14782800"/>
          <a:ext cx="1905000" cy="64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Notice</a:t>
          </a:r>
          <a:r>
            <a:rPr lang="it-IT" sz="1100"/>
            <a:t>: I called</a:t>
          </a:r>
          <a:r>
            <a:rPr lang="it-IT" sz="1100" baseline="0"/>
            <a:t> NaN growth rates involving negative numbers. </a:t>
          </a:r>
        </a:p>
        <a:p>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xdr:colOff>
      <xdr:row>25</xdr:row>
      <xdr:rowOff>137583</xdr:rowOff>
    </xdr:from>
    <xdr:to>
      <xdr:col>9</xdr:col>
      <xdr:colOff>418041</xdr:colOff>
      <xdr:row>29</xdr:row>
      <xdr:rowOff>21166</xdr:rowOff>
    </xdr:to>
    <xdr:sp macro="" textlink="">
      <xdr:nvSpPr>
        <xdr:cNvPr id="2" name="CasellaDiTesto 1">
          <a:extLst>
            <a:ext uri="{FF2B5EF4-FFF2-40B4-BE49-F238E27FC236}">
              <a16:creationId xmlns:a16="http://schemas.microsoft.com/office/drawing/2014/main" id="{0B97413A-7668-42A9-8C78-F17CD8476847}"/>
            </a:ext>
          </a:extLst>
        </xdr:cNvPr>
        <xdr:cNvSpPr txBox="1"/>
      </xdr:nvSpPr>
      <xdr:spPr>
        <a:xfrm>
          <a:off x="9096375" y="3407833"/>
          <a:ext cx="2291291" cy="645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47625</xdr:colOff>
      <xdr:row>134</xdr:row>
      <xdr:rowOff>158750</xdr:rowOff>
    </xdr:from>
    <xdr:to>
      <xdr:col>9</xdr:col>
      <xdr:colOff>339725</xdr:colOff>
      <xdr:row>138</xdr:row>
      <xdr:rowOff>6350</xdr:rowOff>
    </xdr:to>
    <xdr:sp macro="" textlink="">
      <xdr:nvSpPr>
        <xdr:cNvPr id="6" name="CasellaDiTesto 5">
          <a:extLst>
            <a:ext uri="{FF2B5EF4-FFF2-40B4-BE49-F238E27FC236}">
              <a16:creationId xmlns:a16="http://schemas.microsoft.com/office/drawing/2014/main" id="{5C0FF3C8-F331-4EED-AAB5-0844479974DD}"/>
            </a:ext>
          </a:extLst>
        </xdr:cNvPr>
        <xdr:cNvSpPr txBox="1"/>
      </xdr:nvSpPr>
      <xdr:spPr>
        <a:xfrm>
          <a:off x="8143875" y="17287875"/>
          <a:ext cx="3165475" cy="609600"/>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Adding back "Depreciation &amp; Ammortization" item allow us to not double count it, because we have already considered it in the computation of EBIT</a:t>
          </a:r>
        </a:p>
      </xdr:txBody>
    </xdr:sp>
    <xdr:clientData/>
  </xdr:twoCellAnchor>
  <xdr:twoCellAnchor>
    <xdr:from>
      <xdr:col>7</xdr:col>
      <xdr:colOff>111125</xdr:colOff>
      <xdr:row>119</xdr:row>
      <xdr:rowOff>190499</xdr:rowOff>
    </xdr:from>
    <xdr:to>
      <xdr:col>9</xdr:col>
      <xdr:colOff>458833</xdr:colOff>
      <xdr:row>123</xdr:row>
      <xdr:rowOff>63500</xdr:rowOff>
    </xdr:to>
    <xdr:sp macro="" textlink="">
      <xdr:nvSpPr>
        <xdr:cNvPr id="8" name="CasellaDiTesto 7">
          <a:extLst>
            <a:ext uri="{FF2B5EF4-FFF2-40B4-BE49-F238E27FC236}">
              <a16:creationId xmlns:a16="http://schemas.microsoft.com/office/drawing/2014/main" id="{D29E1E11-E7BD-473E-BE72-E97B2E6DEE09}"/>
            </a:ext>
          </a:extLst>
        </xdr:cNvPr>
        <xdr:cNvSpPr txBox="1"/>
      </xdr:nvSpPr>
      <xdr:spPr>
        <a:xfrm>
          <a:off x="8207375" y="14462124"/>
          <a:ext cx="3221083" cy="63500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Taxes paid on a potential full equity firm : I subtract the tax shield generated by financial items at the reported tax rate: reported taxes / EBT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66675</xdr:colOff>
      <xdr:row>17</xdr:row>
      <xdr:rowOff>152400</xdr:rowOff>
    </xdr:from>
    <xdr:to>
      <xdr:col>12</xdr:col>
      <xdr:colOff>152400</xdr:colOff>
      <xdr:row>21</xdr:row>
      <xdr:rowOff>0</xdr:rowOff>
    </xdr:to>
    <xdr:sp macro="" textlink="">
      <xdr:nvSpPr>
        <xdr:cNvPr id="2" name="CasellaDiTesto 1">
          <a:extLst>
            <a:ext uri="{FF2B5EF4-FFF2-40B4-BE49-F238E27FC236}">
              <a16:creationId xmlns:a16="http://schemas.microsoft.com/office/drawing/2014/main" id="{E29431BD-483E-431F-A5A3-A3E096AEDDE2}"/>
            </a:ext>
          </a:extLst>
        </xdr:cNvPr>
        <xdr:cNvSpPr txBox="1"/>
      </xdr:nvSpPr>
      <xdr:spPr>
        <a:xfrm>
          <a:off x="8029575" y="3581400"/>
          <a:ext cx="313372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7</xdr:col>
      <xdr:colOff>34290</xdr:colOff>
      <xdr:row>3</xdr:row>
      <xdr:rowOff>129539</xdr:rowOff>
    </xdr:from>
    <xdr:to>
      <xdr:col>12</xdr:col>
      <xdr:colOff>224790</xdr:colOff>
      <xdr:row>7</xdr:row>
      <xdr:rowOff>47624</xdr:rowOff>
    </xdr:to>
    <xdr:sp macro="" textlink="">
      <xdr:nvSpPr>
        <xdr:cNvPr id="5" name="CasellaDiTesto 4">
          <a:extLst>
            <a:ext uri="{FF2B5EF4-FFF2-40B4-BE49-F238E27FC236}">
              <a16:creationId xmlns:a16="http://schemas.microsoft.com/office/drawing/2014/main" id="{691E8824-2DFD-430D-99D0-D2AFEB3BB9A0}"/>
            </a:ext>
          </a:extLst>
        </xdr:cNvPr>
        <xdr:cNvSpPr txBox="1"/>
      </xdr:nvSpPr>
      <xdr:spPr>
        <a:xfrm>
          <a:off x="7997190" y="891539"/>
          <a:ext cx="3238500" cy="6800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321972</xdr:colOff>
      <xdr:row>96</xdr:row>
      <xdr:rowOff>128790</xdr:rowOff>
    </xdr:from>
    <xdr:to>
      <xdr:col>10</xdr:col>
      <xdr:colOff>10732</xdr:colOff>
      <xdr:row>98</xdr:row>
      <xdr:rowOff>53663</xdr:rowOff>
    </xdr:to>
    <xdr:sp macro="" textlink="">
      <xdr:nvSpPr>
        <xdr:cNvPr id="2" name="CasellaDiTesto 1">
          <a:extLst>
            <a:ext uri="{FF2B5EF4-FFF2-40B4-BE49-F238E27FC236}">
              <a16:creationId xmlns:a16="http://schemas.microsoft.com/office/drawing/2014/main" id="{392095A0-AE69-46BC-9B42-3B0ED5E49E95}"/>
            </a:ext>
          </a:extLst>
        </xdr:cNvPr>
        <xdr:cNvSpPr txBox="1"/>
      </xdr:nvSpPr>
      <xdr:spPr>
        <a:xfrm>
          <a:off x="10002592" y="18631438"/>
          <a:ext cx="3412901" cy="28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Minorities + Net result from discontinued operations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5</xdr:row>
      <xdr:rowOff>114300</xdr:rowOff>
    </xdr:from>
    <xdr:to>
      <xdr:col>2</xdr:col>
      <xdr:colOff>895350</xdr:colOff>
      <xdr:row>5</xdr:row>
      <xdr:rowOff>381000</xdr:rowOff>
    </xdr:to>
    <xdr:sp macro="" textlink="">
      <xdr:nvSpPr>
        <xdr:cNvPr id="2" name="CasellaDiTesto 1">
          <a:extLst>
            <a:ext uri="{FF2B5EF4-FFF2-40B4-BE49-F238E27FC236}">
              <a16:creationId xmlns:a16="http://schemas.microsoft.com/office/drawing/2014/main" id="{51753CA7-17B6-4702-ACCD-41DDE5381CD9}"/>
            </a:ext>
          </a:extLst>
        </xdr:cNvPr>
        <xdr:cNvSpPr txBox="1"/>
      </xdr:nvSpPr>
      <xdr:spPr>
        <a:xfrm>
          <a:off x="238126" y="1400175"/>
          <a:ext cx="425767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ROA</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measures operating</a:t>
          </a:r>
          <a:r>
            <a:rPr lang="it-IT" sz="1100" baseline="0">
              <a:solidFill>
                <a:schemeClr val="dk1"/>
              </a:solidFill>
              <a:effectLst/>
              <a:latin typeface="+mn-lt"/>
              <a:ea typeface="+mn-ea"/>
              <a:cs typeface="+mn-cs"/>
            </a:rPr>
            <a:t> efficiency in generating profits from its assets. </a:t>
          </a:r>
          <a:endParaRPr lang="it-IT" sz="1100"/>
        </a:p>
      </xdr:txBody>
    </xdr:sp>
    <xdr:clientData/>
  </xdr:twoCellAnchor>
  <xdr:twoCellAnchor>
    <xdr:from>
      <xdr:col>1</xdr:col>
      <xdr:colOff>19050</xdr:colOff>
      <xdr:row>7</xdr:row>
      <xdr:rowOff>57151</xdr:rowOff>
    </xdr:from>
    <xdr:to>
      <xdr:col>1</xdr:col>
      <xdr:colOff>3333750</xdr:colOff>
      <xdr:row>7</xdr:row>
      <xdr:rowOff>304800</xdr:rowOff>
    </xdr:to>
    <xdr:sp macro="" textlink="">
      <xdr:nvSpPr>
        <xdr:cNvPr id="3" name="CasellaDiTesto 2">
          <a:extLst>
            <a:ext uri="{FF2B5EF4-FFF2-40B4-BE49-F238E27FC236}">
              <a16:creationId xmlns:a16="http://schemas.microsoft.com/office/drawing/2014/main" id="{9492F7A3-7388-44E5-92CA-6B4E9CF50656}"/>
            </a:ext>
          </a:extLst>
        </xdr:cNvPr>
        <xdr:cNvSpPr txBox="1"/>
      </xdr:nvSpPr>
      <xdr:spPr>
        <a:xfrm>
          <a:off x="238125" y="2047876"/>
          <a:ext cx="3314700" cy="247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Separating effects of financing from operating effects. </a:t>
          </a:r>
          <a:endParaRPr lang="it-IT" sz="1100"/>
        </a:p>
      </xdr:txBody>
    </xdr:sp>
    <xdr:clientData/>
  </xdr:twoCellAnchor>
  <xdr:twoCellAnchor>
    <xdr:from>
      <xdr:col>8</xdr:col>
      <xdr:colOff>28575</xdr:colOff>
      <xdr:row>3</xdr:row>
      <xdr:rowOff>178858</xdr:rowOff>
    </xdr:from>
    <xdr:to>
      <xdr:col>12</xdr:col>
      <xdr:colOff>390525</xdr:colOff>
      <xdr:row>5</xdr:row>
      <xdr:rowOff>255058</xdr:rowOff>
    </xdr:to>
    <xdr:sp macro="" textlink="">
      <xdr:nvSpPr>
        <xdr:cNvPr id="4" name="CasellaDiTesto 3">
          <a:extLst>
            <a:ext uri="{FF2B5EF4-FFF2-40B4-BE49-F238E27FC236}">
              <a16:creationId xmlns:a16="http://schemas.microsoft.com/office/drawing/2014/main" id="{081539DC-7CA9-4D69-873D-BA15E09A1F54}"/>
            </a:ext>
          </a:extLst>
        </xdr:cNvPr>
        <xdr:cNvSpPr txBox="1"/>
      </xdr:nvSpPr>
      <xdr:spPr>
        <a:xfrm>
          <a:off x="13249275" y="1007533"/>
          <a:ext cx="35052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Notice that </a:t>
          </a:r>
          <a:r>
            <a:rPr lang="it-IT" sz="1100">
              <a:solidFill>
                <a:sysClr val="windowText" lastClr="000000"/>
              </a:solidFill>
            </a:rPr>
            <a:t>in 2015 the ratio is very low,</a:t>
          </a:r>
          <a:r>
            <a:rPr lang="it-IT" sz="1100" baseline="0">
              <a:solidFill>
                <a:sysClr val="windowText" lastClr="000000"/>
              </a:solidFill>
            </a:rPr>
            <a:t> it depends on an higher EBIT with respect to </a:t>
          </a:r>
          <a:r>
            <a:rPr lang="it-IT" sz="1100" baseline="0"/>
            <a:t>all other years.</a:t>
          </a:r>
          <a:endParaRPr lang="it-IT" sz="1100"/>
        </a:p>
      </xdr:txBody>
    </xdr:sp>
    <xdr:clientData/>
  </xdr:twoCellAnchor>
  <xdr:twoCellAnchor>
    <xdr:from>
      <xdr:col>8</xdr:col>
      <xdr:colOff>19050</xdr:colOff>
      <xdr:row>5</xdr:row>
      <xdr:rowOff>361950</xdr:rowOff>
    </xdr:from>
    <xdr:to>
      <xdr:col>12</xdr:col>
      <xdr:colOff>247650</xdr:colOff>
      <xdr:row>7</xdr:row>
      <xdr:rowOff>104775</xdr:rowOff>
    </xdr:to>
    <xdr:sp macro="" textlink="">
      <xdr:nvSpPr>
        <xdr:cNvPr id="5" name="CasellaDiTesto 4">
          <a:extLst>
            <a:ext uri="{FF2B5EF4-FFF2-40B4-BE49-F238E27FC236}">
              <a16:creationId xmlns:a16="http://schemas.microsoft.com/office/drawing/2014/main" id="{778F1F59-D482-4E3B-95E1-4BC5B7D63DAC}"/>
            </a:ext>
          </a:extLst>
        </xdr:cNvPr>
        <xdr:cNvSpPr txBox="1"/>
      </xdr:nvSpPr>
      <xdr:spPr>
        <a:xfrm>
          <a:off x="13239750" y="1647825"/>
          <a:ext cx="33718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Notice that in 2015 the ratio is lowest</a:t>
          </a:r>
          <a:r>
            <a:rPr lang="it-IT" sz="1100" baseline="0">
              <a:solidFill>
                <a:schemeClr val="dk1"/>
              </a:solidFill>
              <a:effectLst/>
              <a:latin typeface="+mn-lt"/>
              <a:ea typeface="+mn-ea"/>
              <a:cs typeface="+mn-cs"/>
            </a:rPr>
            <a:t>.This result is due to a very low NI during this year.</a:t>
          </a:r>
          <a:endParaRPr lang="it-IT" sz="1100"/>
        </a:p>
      </xdr:txBody>
    </xdr:sp>
    <xdr:clientData/>
  </xdr:twoCellAnchor>
  <xdr:twoCellAnchor>
    <xdr:from>
      <xdr:col>1</xdr:col>
      <xdr:colOff>28574</xdr:colOff>
      <xdr:row>9</xdr:row>
      <xdr:rowOff>66675</xdr:rowOff>
    </xdr:from>
    <xdr:to>
      <xdr:col>2</xdr:col>
      <xdr:colOff>1504950</xdr:colOff>
      <xdr:row>9</xdr:row>
      <xdr:rowOff>342900</xdr:rowOff>
    </xdr:to>
    <xdr:sp macro="" textlink="">
      <xdr:nvSpPr>
        <xdr:cNvPr id="6" name="CasellaDiTesto 5">
          <a:extLst>
            <a:ext uri="{FF2B5EF4-FFF2-40B4-BE49-F238E27FC236}">
              <a16:creationId xmlns:a16="http://schemas.microsoft.com/office/drawing/2014/main" id="{7014D9CC-3E58-4078-87A7-92F6040535F0}"/>
            </a:ext>
          </a:extLst>
        </xdr:cNvPr>
        <xdr:cNvSpPr txBox="1"/>
      </xdr:nvSpPr>
      <xdr:spPr>
        <a:xfrm>
          <a:off x="247649" y="2771775"/>
          <a:ext cx="4857751"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More useful</a:t>
          </a:r>
          <a:r>
            <a:rPr lang="it-IT" sz="1100" baseline="0">
              <a:solidFill>
                <a:schemeClr val="dk1"/>
              </a:solidFill>
              <a:effectLst/>
              <a:latin typeface="+mn-lt"/>
              <a:ea typeface="+mn-ea"/>
              <a:cs typeface="+mn-cs"/>
            </a:rPr>
            <a:t> measure of return, it relates operating income to the capital invested.</a:t>
          </a:r>
          <a:endParaRPr lang="it-IT" sz="1100"/>
        </a:p>
      </xdr:txBody>
    </xdr:sp>
    <xdr:clientData/>
  </xdr:twoCellAnchor>
  <xdr:twoCellAnchor>
    <xdr:from>
      <xdr:col>8</xdr:col>
      <xdr:colOff>19050</xdr:colOff>
      <xdr:row>11</xdr:row>
      <xdr:rowOff>266700</xdr:rowOff>
    </xdr:from>
    <xdr:to>
      <xdr:col>13</xdr:col>
      <xdr:colOff>304800</xdr:colOff>
      <xdr:row>13</xdr:row>
      <xdr:rowOff>200025</xdr:rowOff>
    </xdr:to>
    <xdr:sp macro="" textlink="">
      <xdr:nvSpPr>
        <xdr:cNvPr id="7" name="CasellaDiTesto 6">
          <a:extLst>
            <a:ext uri="{FF2B5EF4-FFF2-40B4-BE49-F238E27FC236}">
              <a16:creationId xmlns:a16="http://schemas.microsoft.com/office/drawing/2014/main" id="{6177920D-DDBF-41D7-9AE1-E2F72D7D7E76}"/>
            </a:ext>
          </a:extLst>
        </xdr:cNvPr>
        <xdr:cNvSpPr txBox="1"/>
      </xdr:nvSpPr>
      <xdr:spPr>
        <a:xfrm>
          <a:off x="13239750" y="3686175"/>
          <a:ext cx="40481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That is to say: pre tax operating margin and capital turnover ratio . </a:t>
          </a:r>
          <a:endParaRPr lang="it-IT">
            <a:effectLst/>
          </a:endParaRPr>
        </a:p>
        <a:p>
          <a:r>
            <a:rPr lang="it-IT" sz="1100" baseline="0">
              <a:solidFill>
                <a:schemeClr val="dk1"/>
              </a:solidFill>
              <a:effectLst/>
              <a:latin typeface="+mn-lt"/>
              <a:ea typeface="+mn-ea"/>
              <a:cs typeface="+mn-cs"/>
            </a:rPr>
            <a:t>A firm can arrive at a high ROIC by either increasing its profit margin or efficiently using its capital to increase sales. </a:t>
          </a:r>
          <a:endParaRPr lang="it-IT">
            <a:effectLst/>
          </a:endParaRPr>
        </a:p>
        <a:p>
          <a:endParaRPr lang="it-IT" sz="1100"/>
        </a:p>
      </xdr:txBody>
    </xdr:sp>
    <xdr:clientData/>
  </xdr:twoCellAnchor>
  <xdr:twoCellAnchor>
    <xdr:from>
      <xdr:col>0</xdr:col>
      <xdr:colOff>190500</xdr:colOff>
      <xdr:row>15</xdr:row>
      <xdr:rowOff>47625</xdr:rowOff>
    </xdr:from>
    <xdr:to>
      <xdr:col>5</xdr:col>
      <xdr:colOff>898072</xdr:colOff>
      <xdr:row>15</xdr:row>
      <xdr:rowOff>326572</xdr:rowOff>
    </xdr:to>
    <xdr:sp macro="" textlink="">
      <xdr:nvSpPr>
        <xdr:cNvPr id="8" name="CasellaDiTesto 7">
          <a:extLst>
            <a:ext uri="{FF2B5EF4-FFF2-40B4-BE49-F238E27FC236}">
              <a16:creationId xmlns:a16="http://schemas.microsoft.com/office/drawing/2014/main" id="{6823DF55-FC72-4F60-BCE8-8ED8743209BA}"/>
            </a:ext>
          </a:extLst>
        </xdr:cNvPr>
        <xdr:cNvSpPr txBox="1"/>
      </xdr:nvSpPr>
      <xdr:spPr>
        <a:xfrm>
          <a:off x="190500" y="4886325"/>
          <a:ext cx="10356397" cy="2789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Examines profitability from the perspective of equity investors by relating profits to</a:t>
          </a:r>
          <a:r>
            <a:rPr lang="it-IT" sz="1100" baseline="0">
              <a:solidFill>
                <a:schemeClr val="dk1"/>
              </a:solidFill>
              <a:effectLst/>
              <a:latin typeface="+mn-lt"/>
              <a:ea typeface="+mn-ea"/>
              <a:cs typeface="+mn-cs"/>
            </a:rPr>
            <a:t> equity investors to the book value of equity investment.  i = interest expense on debt/BV of debt </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8</xdr:col>
      <xdr:colOff>32657</xdr:colOff>
      <xdr:row>20</xdr:row>
      <xdr:rowOff>302079</xdr:rowOff>
    </xdr:from>
    <xdr:to>
      <xdr:col>13</xdr:col>
      <xdr:colOff>277587</xdr:colOff>
      <xdr:row>24</xdr:row>
      <xdr:rowOff>48987</xdr:rowOff>
    </xdr:to>
    <xdr:sp macro="" textlink="">
      <xdr:nvSpPr>
        <xdr:cNvPr id="9" name="CasellaDiTesto 8">
          <a:extLst>
            <a:ext uri="{FF2B5EF4-FFF2-40B4-BE49-F238E27FC236}">
              <a16:creationId xmlns:a16="http://schemas.microsoft.com/office/drawing/2014/main" id="{4AD82FA2-A69D-4004-99BF-7DF75F95324D}"/>
            </a:ext>
          </a:extLst>
        </xdr:cNvPr>
        <xdr:cNvSpPr txBox="1"/>
      </xdr:nvSpPr>
      <xdr:spPr>
        <a:xfrm>
          <a:off x="13253357" y="6702879"/>
          <a:ext cx="4007305" cy="623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obtainde two different</a:t>
          </a:r>
          <a:r>
            <a:rPr lang="it-IT" sz="1100" baseline="0"/>
            <a:t> result because in the first computation we used all current assets, while in the second one we used only cash, inventories and trade recivables.</a:t>
          </a:r>
        </a:p>
        <a:p>
          <a:endParaRPr lang="it-IT" sz="1100"/>
        </a:p>
      </xdr:txBody>
    </xdr:sp>
    <xdr:clientData/>
  </xdr:twoCellAnchor>
  <xdr:twoCellAnchor>
    <xdr:from>
      <xdr:col>13</xdr:col>
      <xdr:colOff>359833</xdr:colOff>
      <xdr:row>20</xdr:row>
      <xdr:rowOff>345016</xdr:rowOff>
    </xdr:from>
    <xdr:to>
      <xdr:col>19</xdr:col>
      <xdr:colOff>232834</xdr:colOff>
      <xdr:row>25</xdr:row>
      <xdr:rowOff>114300</xdr:rowOff>
    </xdr:to>
    <xdr:sp macro="" textlink="">
      <xdr:nvSpPr>
        <xdr:cNvPr id="10" name="CasellaDiTesto 9">
          <a:extLst>
            <a:ext uri="{FF2B5EF4-FFF2-40B4-BE49-F238E27FC236}">
              <a16:creationId xmlns:a16="http://schemas.microsoft.com/office/drawing/2014/main" id="{D67C06F0-5E98-4BF2-9FCC-C60F4D935CBE}"/>
            </a:ext>
          </a:extLst>
        </xdr:cNvPr>
        <xdr:cNvSpPr txBox="1"/>
      </xdr:nvSpPr>
      <xdr:spPr>
        <a:xfrm>
          <a:off x="17342908" y="6707716"/>
          <a:ext cx="3540126" cy="874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If &lt;1 it indicates that the firm has more obligations coming due in next years than assets it can convert in cash. </a:t>
          </a:r>
          <a:endParaRPr lang="it-IT">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There is a trade off beteen minimizing liquidity risk and tying up more cash in net working capital</a:t>
          </a: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It can be easily manipulated.</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1</xdr:col>
      <xdr:colOff>0</xdr:colOff>
      <xdr:row>46</xdr:row>
      <xdr:rowOff>21167</xdr:rowOff>
    </xdr:from>
    <xdr:to>
      <xdr:col>3</xdr:col>
      <xdr:colOff>899584</xdr:colOff>
      <xdr:row>46</xdr:row>
      <xdr:rowOff>317500</xdr:rowOff>
    </xdr:to>
    <xdr:sp macro="" textlink="">
      <xdr:nvSpPr>
        <xdr:cNvPr id="11" name="CasellaDiTesto 10">
          <a:extLst>
            <a:ext uri="{FF2B5EF4-FFF2-40B4-BE49-F238E27FC236}">
              <a16:creationId xmlns:a16="http://schemas.microsoft.com/office/drawing/2014/main" id="{AF15B57A-AF3D-4172-9D60-D0E279B4BFD3}"/>
            </a:ext>
          </a:extLst>
        </xdr:cNvPr>
        <xdr:cNvSpPr txBox="1"/>
      </xdr:nvSpPr>
      <xdr:spPr>
        <a:xfrm>
          <a:off x="219075" y="8517467"/>
          <a:ext cx="7948084" cy="296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This</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ratio</a:t>
          </a:r>
          <a:r>
            <a:rPr lang="it-IT" sz="1100" baseline="0">
              <a:solidFill>
                <a:schemeClr val="dk1"/>
              </a:solidFill>
              <a:effectLst/>
              <a:latin typeface="+mn-lt"/>
              <a:ea typeface="+mn-ea"/>
              <a:cs typeface="+mn-cs"/>
            </a:rPr>
            <a:t> measures the capacity of firm to meet interest payments but not whether it can pay back the principal of outstanding debt. </a:t>
          </a:r>
          <a:endParaRPr lang="it-IT">
            <a:effectLst/>
          </a:endParaRPr>
        </a:p>
        <a:p>
          <a:endParaRPr lang="it-IT" sz="1100"/>
        </a:p>
      </xdr:txBody>
    </xdr:sp>
    <xdr:clientData/>
  </xdr:twoCellAnchor>
  <xdr:twoCellAnchor>
    <xdr:from>
      <xdr:col>0</xdr:col>
      <xdr:colOff>211666</xdr:colOff>
      <xdr:row>26</xdr:row>
      <xdr:rowOff>10585</xdr:rowOff>
    </xdr:from>
    <xdr:to>
      <xdr:col>2</xdr:col>
      <xdr:colOff>2783417</xdr:colOff>
      <xdr:row>27</xdr:row>
      <xdr:rowOff>104775</xdr:rowOff>
    </xdr:to>
    <xdr:sp macro="" textlink="">
      <xdr:nvSpPr>
        <xdr:cNvPr id="12" name="CasellaDiTesto 11">
          <a:extLst>
            <a:ext uri="{FF2B5EF4-FFF2-40B4-BE49-F238E27FC236}">
              <a16:creationId xmlns:a16="http://schemas.microsoft.com/office/drawing/2014/main" id="{4802613A-B2E7-4C14-B8F7-2475060176D5}"/>
            </a:ext>
          </a:extLst>
        </xdr:cNvPr>
        <xdr:cNvSpPr txBox="1"/>
      </xdr:nvSpPr>
      <xdr:spPr>
        <a:xfrm>
          <a:off x="211666" y="7497235"/>
          <a:ext cx="6276976" cy="275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a:solidFill>
                <a:schemeClr val="dk1"/>
              </a:solidFill>
              <a:effectLst/>
              <a:latin typeface="+mn-lt"/>
              <a:ea typeface="+mn-ea"/>
              <a:cs typeface="+mn-cs"/>
            </a:rPr>
            <a:t>measures the ability of a company to use its</a:t>
          </a:r>
          <a:r>
            <a:rPr lang="it-IT" sz="1100" b="0" i="0" baseline="0">
              <a:solidFill>
                <a:schemeClr val="dk1"/>
              </a:solidFill>
              <a:effectLst/>
              <a:latin typeface="+mn-lt"/>
              <a:ea typeface="+mn-ea"/>
              <a:cs typeface="+mn-cs"/>
            </a:rPr>
            <a:t> cash availabe</a:t>
          </a:r>
          <a:r>
            <a:rPr lang="it-IT" sz="1100" b="0" i="0">
              <a:solidFill>
                <a:schemeClr val="dk1"/>
              </a:solidFill>
              <a:effectLst/>
              <a:latin typeface="+mn-lt"/>
              <a:ea typeface="+mn-ea"/>
              <a:cs typeface="+mn-cs"/>
            </a:rPr>
            <a:t> to extinguish its</a:t>
          </a:r>
          <a:r>
            <a:rPr lang="it-IT" sz="1100" b="0" i="0" baseline="0">
              <a:solidFill>
                <a:schemeClr val="dk1"/>
              </a:solidFill>
              <a:effectLst/>
              <a:latin typeface="+mn-lt"/>
              <a:ea typeface="+mn-ea"/>
              <a:cs typeface="+mn-cs"/>
            </a:rPr>
            <a:t> current liabilities</a:t>
          </a:r>
          <a:r>
            <a:rPr lang="it-IT" sz="1100" b="0" i="0">
              <a:solidFill>
                <a:schemeClr val="dk1"/>
              </a:solidFill>
              <a:effectLst/>
              <a:latin typeface="+mn-lt"/>
              <a:ea typeface="+mn-ea"/>
              <a:cs typeface="+mn-cs"/>
            </a:rPr>
            <a:t> immediately</a:t>
          </a:r>
          <a:endParaRPr lang="it-IT" sz="1100"/>
        </a:p>
      </xdr:txBody>
    </xdr:sp>
    <xdr:clientData/>
  </xdr:twoCellAnchor>
  <xdr:twoCellAnchor>
    <xdr:from>
      <xdr:col>8</xdr:col>
      <xdr:colOff>93326</xdr:colOff>
      <xdr:row>8</xdr:row>
      <xdr:rowOff>12508</xdr:rowOff>
    </xdr:from>
    <xdr:to>
      <xdr:col>12</xdr:col>
      <xdr:colOff>72159</xdr:colOff>
      <xdr:row>9</xdr:row>
      <xdr:rowOff>57729</xdr:rowOff>
    </xdr:to>
    <xdr:sp macro="" textlink="">
      <xdr:nvSpPr>
        <xdr:cNvPr id="13" name="CasellaDiTesto 12">
          <a:extLst>
            <a:ext uri="{FF2B5EF4-FFF2-40B4-BE49-F238E27FC236}">
              <a16:creationId xmlns:a16="http://schemas.microsoft.com/office/drawing/2014/main" id="{DF165606-73EB-44B2-B245-EC1B8087B8D5}"/>
            </a:ext>
          </a:extLst>
        </xdr:cNvPr>
        <xdr:cNvSpPr txBox="1"/>
      </xdr:nvSpPr>
      <xdr:spPr>
        <a:xfrm>
          <a:off x="13341735" y="2509213"/>
          <a:ext cx="3168265" cy="2328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Every</a:t>
          </a:r>
          <a:r>
            <a:rPr lang="it-IT" sz="1100" baseline="0"/>
            <a:t> ROIC in 2015 is pushed down by an high EBIT.</a:t>
          </a:r>
          <a:endParaRPr lang="it-IT" sz="1100"/>
        </a:p>
      </xdr:txBody>
    </xdr:sp>
    <xdr:clientData/>
  </xdr:twoCellAnchor>
  <xdr:twoCellAnchor>
    <xdr:from>
      <xdr:col>8</xdr:col>
      <xdr:colOff>10583</xdr:colOff>
      <xdr:row>9</xdr:row>
      <xdr:rowOff>518582</xdr:rowOff>
    </xdr:from>
    <xdr:to>
      <xdr:col>13</xdr:col>
      <xdr:colOff>518583</xdr:colOff>
      <xdr:row>11</xdr:row>
      <xdr:rowOff>137583</xdr:rowOff>
    </xdr:to>
    <xdr:sp macro="" textlink="">
      <xdr:nvSpPr>
        <xdr:cNvPr id="14" name="CasellaDiTesto 13">
          <a:extLst>
            <a:ext uri="{FF2B5EF4-FFF2-40B4-BE49-F238E27FC236}">
              <a16:creationId xmlns:a16="http://schemas.microsoft.com/office/drawing/2014/main" id="{D202D230-A08D-46CA-9046-B7728C10E743}"/>
            </a:ext>
          </a:extLst>
        </xdr:cNvPr>
        <xdr:cNvSpPr txBox="1"/>
      </xdr:nvSpPr>
      <xdr:spPr>
        <a:xfrm>
          <a:off x="13231283" y="3223682"/>
          <a:ext cx="4270375" cy="333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Being</a:t>
          </a:r>
          <a:r>
            <a:rPr lang="it-IT" sz="1100" baseline="0"/>
            <a:t> this ratio an averge between t and t+1, the last value is </a:t>
          </a:r>
          <a:r>
            <a:rPr lang="it-IT"/>
            <a:t>worthless.</a:t>
          </a:r>
          <a:endParaRPr lang="it-IT" sz="1100"/>
        </a:p>
      </xdr:txBody>
    </xdr:sp>
    <xdr:clientData/>
  </xdr:twoCellAnchor>
  <xdr:twoCellAnchor>
    <xdr:from>
      <xdr:col>8</xdr:col>
      <xdr:colOff>74083</xdr:colOff>
      <xdr:row>17</xdr:row>
      <xdr:rowOff>455083</xdr:rowOff>
    </xdr:from>
    <xdr:to>
      <xdr:col>14</xdr:col>
      <xdr:colOff>582084</xdr:colOff>
      <xdr:row>19</xdr:row>
      <xdr:rowOff>42333</xdr:rowOff>
    </xdr:to>
    <xdr:sp macro="" textlink="">
      <xdr:nvSpPr>
        <xdr:cNvPr id="15" name="CasellaDiTesto 14">
          <a:extLst>
            <a:ext uri="{FF2B5EF4-FFF2-40B4-BE49-F238E27FC236}">
              <a16:creationId xmlns:a16="http://schemas.microsoft.com/office/drawing/2014/main" id="{CF9438CD-D7D2-4ABF-911A-E34A6605B82C}"/>
            </a:ext>
          </a:extLst>
        </xdr:cNvPr>
        <xdr:cNvSpPr txBox="1"/>
      </xdr:nvSpPr>
      <xdr:spPr>
        <a:xfrm>
          <a:off x="13294783" y="5998633"/>
          <a:ext cx="4889501"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can</a:t>
          </a:r>
          <a:r>
            <a:rPr lang="it-IT" sz="1100" baseline="0"/>
            <a:t> do the same statement as we do above for ROC based upon average.</a:t>
          </a:r>
          <a:endParaRPr lang="it-IT" sz="1100"/>
        </a:p>
      </xdr:txBody>
    </xdr:sp>
    <xdr:clientData/>
  </xdr:twoCellAnchor>
  <xdr:twoCellAnchor>
    <xdr:from>
      <xdr:col>8</xdr:col>
      <xdr:colOff>52820</xdr:colOff>
      <xdr:row>35</xdr:row>
      <xdr:rowOff>187324</xdr:rowOff>
    </xdr:from>
    <xdr:to>
      <xdr:col>11</xdr:col>
      <xdr:colOff>288637</xdr:colOff>
      <xdr:row>42</xdr:row>
      <xdr:rowOff>14432</xdr:rowOff>
    </xdr:to>
    <xdr:sp macro="" textlink="">
      <xdr:nvSpPr>
        <xdr:cNvPr id="16" name="CasellaDiTesto 15">
          <a:extLst>
            <a:ext uri="{FF2B5EF4-FFF2-40B4-BE49-F238E27FC236}">
              <a16:creationId xmlns:a16="http://schemas.microsoft.com/office/drawing/2014/main" id="{1C71C2F7-310D-4E05-A01E-034656D51D86}"/>
            </a:ext>
          </a:extLst>
        </xdr:cNvPr>
        <xdr:cNvSpPr txBox="1"/>
      </xdr:nvSpPr>
      <xdr:spPr>
        <a:xfrm>
          <a:off x="13301229" y="9553574"/>
          <a:ext cx="2761385" cy="11404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DPO were used as cost of sales reference operational expenses, this reduce</a:t>
          </a:r>
          <a:r>
            <a:rPr lang="it-IT" sz="1100" baseline="0"/>
            <a:t> number of days making worse the CCC. </a:t>
          </a:r>
        </a:p>
        <a:p>
          <a:endParaRPr lang="it-IT" sz="1100" baseline="0"/>
        </a:p>
        <a:p>
          <a:r>
            <a:rPr lang="it-IT" sz="1100" baseline="0"/>
            <a:t>For completeness I compute DPO even using only expenses for raw materials. </a:t>
          </a:r>
        </a:p>
        <a:p>
          <a:endParaRPr lang="it-IT"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167640</xdr:colOff>
      <xdr:row>28</xdr:row>
      <xdr:rowOff>129540</xdr:rowOff>
    </xdr:from>
    <xdr:to>
      <xdr:col>11</xdr:col>
      <xdr:colOff>65616</xdr:colOff>
      <xdr:row>32</xdr:row>
      <xdr:rowOff>13123</xdr:rowOff>
    </xdr:to>
    <xdr:sp macro="" textlink="">
      <xdr:nvSpPr>
        <xdr:cNvPr id="2" name="CasellaDiTesto 1">
          <a:extLst>
            <a:ext uri="{FF2B5EF4-FFF2-40B4-BE49-F238E27FC236}">
              <a16:creationId xmlns:a16="http://schemas.microsoft.com/office/drawing/2014/main" id="{B5AC9C0F-1F8A-496E-87FF-D9041337C47E}"/>
            </a:ext>
          </a:extLst>
        </xdr:cNvPr>
        <xdr:cNvSpPr txBox="1"/>
      </xdr:nvSpPr>
      <xdr:spPr>
        <a:xfrm>
          <a:off x="9555480" y="5509260"/>
          <a:ext cx="2336376" cy="6151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259080</xdr:colOff>
      <xdr:row>45</xdr:row>
      <xdr:rowOff>0</xdr:rowOff>
    </xdr:from>
    <xdr:to>
      <xdr:col>11</xdr:col>
      <xdr:colOff>157056</xdr:colOff>
      <xdr:row>50</xdr:row>
      <xdr:rowOff>30480</xdr:rowOff>
    </xdr:to>
    <xdr:sp macro="" textlink="">
      <xdr:nvSpPr>
        <xdr:cNvPr id="4" name="CasellaDiTesto 3">
          <a:extLst>
            <a:ext uri="{FF2B5EF4-FFF2-40B4-BE49-F238E27FC236}">
              <a16:creationId xmlns:a16="http://schemas.microsoft.com/office/drawing/2014/main" id="{96445F0D-30E0-4FD7-972F-C68AD2B97E42}"/>
            </a:ext>
          </a:extLst>
        </xdr:cNvPr>
        <xdr:cNvSpPr txBox="1"/>
      </xdr:nvSpPr>
      <xdr:spPr>
        <a:xfrm>
          <a:off x="9646920" y="8488680"/>
          <a:ext cx="2336376"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a:t>
          </a:r>
          <a:r>
            <a:rPr lang="it-IT" sz="1100" baseline="0">
              <a:solidFill>
                <a:srgbClr val="002060"/>
              </a:solidFill>
            </a:rPr>
            <a:t>e, this is Net debt computation according to Consob rules, different from what we computed in Overviews. We find more realistic that way of computation. </a:t>
          </a:r>
          <a:endParaRPr lang="it-IT" sz="1100">
            <a:solidFill>
              <a:srgbClr val="002060"/>
            </a:solidFill>
          </a:endParaRPr>
        </a:p>
      </xdr:txBody>
    </xdr:sp>
    <xdr:clientData/>
  </xdr:twoCellAnchor>
  <xdr:twoCellAnchor>
    <xdr:from>
      <xdr:col>6</xdr:col>
      <xdr:colOff>327660</xdr:colOff>
      <xdr:row>126</xdr:row>
      <xdr:rowOff>45720</xdr:rowOff>
    </xdr:from>
    <xdr:to>
      <xdr:col>11</xdr:col>
      <xdr:colOff>228600</xdr:colOff>
      <xdr:row>128</xdr:row>
      <xdr:rowOff>152400</xdr:rowOff>
    </xdr:to>
    <xdr:sp macro="" textlink="">
      <xdr:nvSpPr>
        <xdr:cNvPr id="5" name="CasellaDiTesto 4">
          <a:extLst>
            <a:ext uri="{FF2B5EF4-FFF2-40B4-BE49-F238E27FC236}">
              <a16:creationId xmlns:a16="http://schemas.microsoft.com/office/drawing/2014/main" id="{FDAC2FFD-E500-445B-AD8C-09107F89B5A4}"/>
            </a:ext>
          </a:extLst>
        </xdr:cNvPr>
        <xdr:cNvSpPr txBox="1"/>
      </xdr:nvSpPr>
      <xdr:spPr>
        <a:xfrm>
          <a:off x="8869680" y="23637240"/>
          <a:ext cx="323850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twoCellAnchor>
    <xdr:from>
      <xdr:col>6</xdr:col>
      <xdr:colOff>434340</xdr:colOff>
      <xdr:row>139</xdr:row>
      <xdr:rowOff>160020</xdr:rowOff>
    </xdr:from>
    <xdr:to>
      <xdr:col>11</xdr:col>
      <xdr:colOff>230505</xdr:colOff>
      <xdr:row>143</xdr:row>
      <xdr:rowOff>15240</xdr:rowOff>
    </xdr:to>
    <xdr:sp macro="" textlink="">
      <xdr:nvSpPr>
        <xdr:cNvPr id="6" name="CasellaDiTesto 5">
          <a:extLst>
            <a:ext uri="{FF2B5EF4-FFF2-40B4-BE49-F238E27FC236}">
              <a16:creationId xmlns:a16="http://schemas.microsoft.com/office/drawing/2014/main" id="{9FB124CE-457E-4EB2-915B-4215870865A6}"/>
            </a:ext>
          </a:extLst>
        </xdr:cNvPr>
        <xdr:cNvSpPr txBox="1"/>
      </xdr:nvSpPr>
      <xdr:spPr>
        <a:xfrm>
          <a:off x="8976360" y="26128980"/>
          <a:ext cx="3133725"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6</xdr:col>
      <xdr:colOff>426720</xdr:colOff>
      <xdr:row>158</xdr:row>
      <xdr:rowOff>60960</xdr:rowOff>
    </xdr:from>
    <xdr:to>
      <xdr:col>11</xdr:col>
      <xdr:colOff>30480</xdr:colOff>
      <xdr:row>161</xdr:row>
      <xdr:rowOff>137160</xdr:rowOff>
    </xdr:to>
    <xdr:sp macro="" textlink="">
      <xdr:nvSpPr>
        <xdr:cNvPr id="7" name="CasellaDiTesto 6">
          <a:extLst>
            <a:ext uri="{FF2B5EF4-FFF2-40B4-BE49-F238E27FC236}">
              <a16:creationId xmlns:a16="http://schemas.microsoft.com/office/drawing/2014/main" id="{2E7FE1D2-0A15-4597-B7DB-F1051FB420F7}"/>
            </a:ext>
          </a:extLst>
        </xdr:cNvPr>
        <xdr:cNvSpPr txBox="1"/>
      </xdr:nvSpPr>
      <xdr:spPr>
        <a:xfrm>
          <a:off x="8968740" y="29504640"/>
          <a:ext cx="29413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This</a:t>
          </a:r>
          <a:r>
            <a:rPr lang="it-IT" sz="1100" baseline="0"/>
            <a:t> value comes from modification In BS net debt side (according to Consob) </a:t>
          </a:r>
        </a:p>
        <a:p>
          <a:endParaRPr lang="it-IT"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65315</xdr:colOff>
      <xdr:row>13</xdr:row>
      <xdr:rowOff>108857</xdr:rowOff>
    </xdr:from>
    <xdr:to>
      <xdr:col>21</xdr:col>
      <xdr:colOff>54429</xdr:colOff>
      <xdr:row>23</xdr:row>
      <xdr:rowOff>76200</xdr:rowOff>
    </xdr:to>
    <xdr:sp macro="" textlink="">
      <xdr:nvSpPr>
        <xdr:cNvPr id="2" name="CasellaDiTesto 1">
          <a:extLst>
            <a:ext uri="{FF2B5EF4-FFF2-40B4-BE49-F238E27FC236}">
              <a16:creationId xmlns:a16="http://schemas.microsoft.com/office/drawing/2014/main" id="{8CF4498F-B622-46E7-A9EA-7AB70F6974F3}"/>
            </a:ext>
          </a:extLst>
        </xdr:cNvPr>
        <xdr:cNvSpPr txBox="1"/>
      </xdr:nvSpPr>
      <xdr:spPr>
        <a:xfrm>
          <a:off x="20334515" y="2754086"/>
          <a:ext cx="4865914" cy="18505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Here is</a:t>
          </a:r>
          <a:r>
            <a:rPr lang="it-IT" sz="1400" baseline="0"/>
            <a:t> presented A2A debt policy. </a:t>
          </a:r>
        </a:p>
        <a:p>
          <a:endParaRPr lang="it-IT" sz="1400" baseline="0"/>
        </a:p>
        <a:p>
          <a:r>
            <a:rPr lang="it-IT" sz="1400" baseline="0"/>
            <a:t>According to this information we have computed a new average cost of debt, slightly lower than latest company disclosure (i.e. 2.8%). </a:t>
          </a:r>
        </a:p>
        <a:p>
          <a:endParaRPr lang="it-IT" sz="1400" baseline="0"/>
        </a:p>
        <a:p>
          <a:r>
            <a:rPr lang="it-IT" sz="1400" baseline="0"/>
            <a:t>This result will be used as a proxy for WACC computation approach n° 3.  </a:t>
          </a:r>
          <a:endParaRPr lang="it-IT" sz="1400"/>
        </a:p>
      </xdr:txBody>
    </xdr:sp>
    <xdr:clientData/>
  </xdr:twoCellAnchor>
  <xdr:twoCellAnchor>
    <xdr:from>
      <xdr:col>10</xdr:col>
      <xdr:colOff>326572</xdr:colOff>
      <xdr:row>0</xdr:row>
      <xdr:rowOff>65315</xdr:rowOff>
    </xdr:from>
    <xdr:to>
      <xdr:col>12</xdr:col>
      <xdr:colOff>304800</xdr:colOff>
      <xdr:row>1</xdr:row>
      <xdr:rowOff>130629</xdr:rowOff>
    </xdr:to>
    <xdr:sp macro="" textlink="">
      <xdr:nvSpPr>
        <xdr:cNvPr id="3" name="Freccia a destra 2">
          <a:extLst>
            <a:ext uri="{FF2B5EF4-FFF2-40B4-BE49-F238E27FC236}">
              <a16:creationId xmlns:a16="http://schemas.microsoft.com/office/drawing/2014/main" id="{D3380E99-42E8-4161-A4D2-BEF9E2D13252}"/>
            </a:ext>
          </a:extLst>
        </xdr:cNvPr>
        <xdr:cNvSpPr/>
      </xdr:nvSpPr>
      <xdr:spPr>
        <a:xfrm>
          <a:off x="18766972" y="65315"/>
          <a:ext cx="1197428" cy="41365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13</xdr:col>
      <xdr:colOff>87086</xdr:colOff>
      <xdr:row>4</xdr:row>
      <xdr:rowOff>0</xdr:rowOff>
    </xdr:from>
    <xdr:to>
      <xdr:col>21</xdr:col>
      <xdr:colOff>10886</xdr:colOff>
      <xdr:row>10</xdr:row>
      <xdr:rowOff>43543</xdr:rowOff>
    </xdr:to>
    <xdr:sp macro="" textlink="">
      <xdr:nvSpPr>
        <xdr:cNvPr id="4" name="CasellaDiTesto 3">
          <a:extLst>
            <a:ext uri="{FF2B5EF4-FFF2-40B4-BE49-F238E27FC236}">
              <a16:creationId xmlns:a16="http://schemas.microsoft.com/office/drawing/2014/main" id="{D5F14787-F072-41DA-BA08-E43C1004F317}"/>
            </a:ext>
          </a:extLst>
        </xdr:cNvPr>
        <xdr:cNvSpPr txBox="1"/>
      </xdr:nvSpPr>
      <xdr:spPr>
        <a:xfrm>
          <a:off x="20356286" y="925286"/>
          <a:ext cx="4800600" cy="1197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Here are represented</a:t>
          </a:r>
          <a:r>
            <a:rPr lang="it-IT" sz="1400" baseline="0"/>
            <a:t> company capital ratios, respectively at 31/12/2019 and at Q1 end. </a:t>
          </a:r>
        </a:p>
        <a:p>
          <a:endParaRPr lang="it-IT" sz="1400" baseline="0"/>
        </a:p>
        <a:p>
          <a:r>
            <a:rPr lang="it-IT" sz="1400" baseline="0"/>
            <a:t>Furthermore we have highlighted book value and market value ratios.</a:t>
          </a:r>
        </a:p>
        <a:p>
          <a:endParaRPr lang="it-IT" sz="1100" baseline="0"/>
        </a:p>
      </xdr:txBody>
    </xdr:sp>
    <xdr:clientData/>
  </xdr:twoCellAnchor>
  <xdr:twoCellAnchor>
    <xdr:from>
      <xdr:col>13</xdr:col>
      <xdr:colOff>32657</xdr:colOff>
      <xdr:row>25</xdr:row>
      <xdr:rowOff>108857</xdr:rowOff>
    </xdr:from>
    <xdr:to>
      <xdr:col>21</xdr:col>
      <xdr:colOff>0</xdr:colOff>
      <xdr:row>44</xdr:row>
      <xdr:rowOff>32658</xdr:rowOff>
    </xdr:to>
    <xdr:sp macro="" textlink="">
      <xdr:nvSpPr>
        <xdr:cNvPr id="5" name="CasellaDiTesto 4">
          <a:extLst>
            <a:ext uri="{FF2B5EF4-FFF2-40B4-BE49-F238E27FC236}">
              <a16:creationId xmlns:a16="http://schemas.microsoft.com/office/drawing/2014/main" id="{62DFC83E-11BA-4C0E-8DA5-43024B2E9958}"/>
            </a:ext>
          </a:extLst>
        </xdr:cNvPr>
        <xdr:cNvSpPr txBox="1"/>
      </xdr:nvSpPr>
      <xdr:spPr>
        <a:xfrm>
          <a:off x="20301857" y="5040086"/>
          <a:ext cx="4844143" cy="35160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Here we</a:t>
          </a:r>
          <a:r>
            <a:rPr lang="it-IT" sz="1400" baseline="0"/>
            <a:t> tried to obtain a proper fundamental beta for our valuations. </a:t>
          </a:r>
        </a:p>
        <a:p>
          <a:endParaRPr lang="it-IT" sz="1400" baseline="0"/>
        </a:p>
        <a:p>
          <a:r>
            <a:rPr lang="it-IT" sz="1400" baseline="0"/>
            <a:t>Workaround summary: </a:t>
          </a:r>
        </a:p>
        <a:p>
          <a:endParaRPr lang="it-IT" sz="1400" baseline="0"/>
        </a:p>
        <a:p>
          <a:r>
            <a:rPr lang="it-IT" sz="1400" baseline="0"/>
            <a:t>1) We looked for Business units in order to categorize company's revenues sources. </a:t>
          </a:r>
        </a:p>
        <a:p>
          <a:r>
            <a:rPr lang="it-IT" sz="1400" baseline="0"/>
            <a:t>2)  Thanks to some strict assumptions (see report file for further details) we splitted revenues for each unit. </a:t>
          </a:r>
        </a:p>
        <a:p>
          <a:endParaRPr lang="it-IT" sz="1400" baseline="0"/>
        </a:p>
        <a:p>
          <a:r>
            <a:rPr lang="it-IT" sz="1400" baseline="0"/>
            <a:t>3) We used Damodaran's dataset to obtain sector unlevered betas. </a:t>
          </a:r>
        </a:p>
        <a:p>
          <a:endParaRPr lang="it-IT" sz="1400" baseline="0"/>
        </a:p>
        <a:p>
          <a:r>
            <a:rPr lang="it-IT" sz="1400" baseline="0"/>
            <a:t>4) We computed a weighted average one and finally relevered using respectively book value/market value ratios. </a:t>
          </a:r>
        </a:p>
        <a:p>
          <a:endParaRPr lang="it-IT" sz="1100" baseline="0"/>
        </a:p>
      </xdr:txBody>
    </xdr:sp>
    <xdr:clientData/>
  </xdr:twoCellAnchor>
  <xdr:twoCellAnchor>
    <xdr:from>
      <xdr:col>13</xdr:col>
      <xdr:colOff>76200</xdr:colOff>
      <xdr:row>45</xdr:row>
      <xdr:rowOff>130629</xdr:rowOff>
    </xdr:from>
    <xdr:to>
      <xdr:col>21</xdr:col>
      <xdr:colOff>10886</xdr:colOff>
      <xdr:row>67</xdr:row>
      <xdr:rowOff>152400</xdr:rowOff>
    </xdr:to>
    <xdr:sp macro="" textlink="">
      <xdr:nvSpPr>
        <xdr:cNvPr id="6" name="CasellaDiTesto 5">
          <a:extLst>
            <a:ext uri="{FF2B5EF4-FFF2-40B4-BE49-F238E27FC236}">
              <a16:creationId xmlns:a16="http://schemas.microsoft.com/office/drawing/2014/main" id="{D318B151-9583-497C-BE30-92C99E21981B}"/>
            </a:ext>
          </a:extLst>
        </xdr:cNvPr>
        <xdr:cNvSpPr txBox="1"/>
      </xdr:nvSpPr>
      <xdr:spPr>
        <a:xfrm>
          <a:off x="20345400" y="8839200"/>
          <a:ext cx="4811486" cy="41692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a:t>Using</a:t>
          </a:r>
          <a:r>
            <a:rPr lang="it-IT" sz="1400" baseline="0"/>
            <a:t> results from Python analytical work and above results we performed three different approaches to get WACC. </a:t>
          </a:r>
        </a:p>
        <a:p>
          <a:endParaRPr lang="it-IT" sz="1400" baseline="0"/>
        </a:p>
        <a:p>
          <a:r>
            <a:rPr lang="it-IT" sz="1400" baseline="0"/>
            <a:t>Approach 1: </a:t>
          </a:r>
          <a:br>
            <a:rPr lang="it-IT" sz="1400" baseline="0"/>
          </a:br>
          <a:r>
            <a:rPr lang="it-IT" sz="1400" baseline="0"/>
            <a:t>Damodaran dataset to obtain cost of debt netted of marginal taxes. </a:t>
          </a:r>
        </a:p>
        <a:p>
          <a:r>
            <a:rPr lang="it-IT" sz="1400" baseline="0"/>
            <a:t>Python regression Beta. </a:t>
          </a:r>
        </a:p>
        <a:p>
          <a:endParaRPr lang="it-IT" sz="1400" baseline="0"/>
        </a:p>
        <a:p>
          <a:endParaRPr lang="it-IT" sz="1400" baseline="0"/>
        </a:p>
        <a:p>
          <a:r>
            <a:rPr lang="it-IT" sz="1400" baseline="0"/>
            <a:t>Approach 2: </a:t>
          </a:r>
          <a:br>
            <a:rPr lang="it-IT" sz="1400" baseline="0"/>
          </a:br>
          <a:r>
            <a:rPr lang="it-IT" sz="1400" baseline="0">
              <a:solidFill>
                <a:schemeClr val="dk1"/>
              </a:solidFill>
              <a:effectLst/>
              <a:latin typeface="+mn-lt"/>
              <a:ea typeface="+mn-ea"/>
              <a:cs typeface="+mn-cs"/>
            </a:rPr>
            <a:t>Damodaran dataset to obtain cost of debt netted of marginal taxes.</a:t>
          </a:r>
        </a:p>
        <a:p>
          <a:r>
            <a:rPr lang="it-IT" sz="1400" baseline="0">
              <a:solidFill>
                <a:schemeClr val="dk1"/>
              </a:solidFill>
              <a:effectLst/>
              <a:latin typeface="+mn-lt"/>
              <a:ea typeface="+mn-ea"/>
              <a:cs typeface="+mn-cs"/>
            </a:rPr>
            <a:t>Bottom up beta at market value. </a:t>
          </a:r>
        </a:p>
        <a:p>
          <a:endParaRPr lang="it-IT" sz="1400" baseline="0">
            <a:solidFill>
              <a:schemeClr val="dk1"/>
            </a:solidFill>
            <a:effectLst/>
            <a:latin typeface="+mn-lt"/>
            <a:ea typeface="+mn-ea"/>
            <a:cs typeface="+mn-cs"/>
          </a:endParaRPr>
        </a:p>
        <a:p>
          <a:r>
            <a:rPr lang="it-IT" sz="1400" baseline="0">
              <a:solidFill>
                <a:schemeClr val="dk1"/>
              </a:solidFill>
              <a:effectLst/>
              <a:latin typeface="+mn-lt"/>
              <a:ea typeface="+mn-ea"/>
              <a:cs typeface="+mn-cs"/>
            </a:rPr>
            <a:t>Approach 3: </a:t>
          </a:r>
          <a:br>
            <a:rPr lang="it-IT" sz="1400" baseline="0">
              <a:solidFill>
                <a:schemeClr val="dk1"/>
              </a:solidFill>
              <a:effectLst/>
              <a:latin typeface="+mn-lt"/>
              <a:ea typeface="+mn-ea"/>
              <a:cs typeface="+mn-cs"/>
            </a:rPr>
          </a:br>
          <a:r>
            <a:rPr lang="it-IT" sz="1400" baseline="0">
              <a:solidFill>
                <a:schemeClr val="dk1"/>
              </a:solidFill>
              <a:effectLst/>
              <a:latin typeface="+mn-lt"/>
              <a:ea typeface="+mn-ea"/>
              <a:cs typeface="+mn-cs"/>
            </a:rPr>
            <a:t>A2A debt policy to get cost of debt. </a:t>
          </a:r>
        </a:p>
        <a:p>
          <a:r>
            <a:rPr lang="it-IT" sz="1400" baseline="0">
              <a:solidFill>
                <a:schemeClr val="dk1"/>
              </a:solidFill>
              <a:effectLst/>
              <a:latin typeface="+mn-lt"/>
              <a:ea typeface="+mn-ea"/>
              <a:cs typeface="+mn-cs"/>
            </a:rPr>
            <a:t>Python regression beta. </a:t>
          </a:r>
        </a:p>
        <a:p>
          <a:endParaRPr lang="it-IT" sz="1100" baseline="0"/>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5</xdr:col>
      <xdr:colOff>476250</xdr:colOff>
      <xdr:row>4</xdr:row>
      <xdr:rowOff>142876</xdr:rowOff>
    </xdr:from>
    <xdr:ext cx="3695700" cy="685799"/>
    <mc:AlternateContent xmlns:mc="http://schemas.openxmlformats.org/markup-compatibility/2006" xmlns:a14="http://schemas.microsoft.com/office/drawing/2010/main">
      <mc:Choice Requires="a14">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14:m>
                <m:oMath xmlns:m="http://schemas.openxmlformats.org/officeDocument/2006/math">
                  <m:nary>
                    <m:naryPr>
                      <m:chr m:val="∑"/>
                      <m:subHide m:val="on"/>
                      <m:supHide m:val="on"/>
                      <m:ctrlPr>
                        <a:rPr lang="it-IT" sz="1800" b="0" i="1">
                          <a:latin typeface="Cambria Math" panose="02040503050406030204" pitchFamily="18" charset="0"/>
                        </a:rPr>
                      </m:ctrlPr>
                    </m:naryPr>
                    <m:sub/>
                    <m:sup/>
                    <m:e>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𝑛</m:t>
                              </m:r>
                            </m:sub>
                          </m:sSub>
                        </m:num>
                        <m:den>
                          <m:sSup>
                            <m:sSupPr>
                              <m:ctrlPr>
                                <a:rPr lang="it-IT" sz="1800" b="0" i="1">
                                  <a:solidFill>
                                    <a:schemeClr val="tx1"/>
                                  </a:solidFill>
                                  <a:effectLst/>
                                  <a:latin typeface="Cambria Math" panose="02040503050406030204" pitchFamily="18" charset="0"/>
                                  <a:ea typeface="+mn-ea"/>
                                  <a:cs typeface="+mn-cs"/>
                                </a:rPr>
                              </m:ctrlPr>
                            </m:sSupPr>
                            <m:e>
                              <m:r>
                                <a:rPr lang="it-IT" sz="1800" b="0" i="1">
                                  <a:solidFill>
                                    <a:schemeClr val="tx1"/>
                                  </a:solidFill>
                                  <a:effectLst/>
                                  <a:latin typeface="Cambria Math" panose="02040503050406030204" pitchFamily="18" charset="0"/>
                                  <a:ea typeface="+mn-ea"/>
                                  <a:cs typeface="+mn-cs"/>
                                </a:rPr>
                                <m:t>(1+</m:t>
                              </m:r>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m:t>
                              </m:r>
                            </m:e>
                            <m:sup>
                              <m:r>
                                <a:rPr lang="it-IT" sz="1800" b="0" i="1">
                                  <a:solidFill>
                                    <a:schemeClr val="tx1"/>
                                  </a:solidFill>
                                  <a:effectLst/>
                                  <a:latin typeface="Cambria Math" panose="02040503050406030204" pitchFamily="18" charset="0"/>
                                  <a:ea typeface="+mn-ea"/>
                                  <a:cs typeface="+mn-cs"/>
                                </a:rPr>
                                <m:t>𝑛</m:t>
                              </m:r>
                            </m:sup>
                          </m:sSup>
                        </m:den>
                      </m:f>
                    </m:e>
                  </m:nary>
                  <m:r>
                    <a:rPr lang="it-IT" sz="1800" b="0" i="1">
                      <a:latin typeface="Cambria Math" panose="02040503050406030204" pitchFamily="18" charset="0"/>
                    </a:rPr>
                    <m:t>+</m:t>
                  </m:r>
                  <m:f>
                    <m:fPr>
                      <m:ctrlPr>
                        <a:rPr lang="it-IT" sz="1800" b="0" i="1">
                          <a:latin typeface="Cambria Math" panose="02040503050406030204" pitchFamily="18" charset="0"/>
                        </a:rPr>
                      </m:ctrlPr>
                    </m:fPr>
                    <m:num>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𝑡</m:t>
                              </m:r>
                            </m:sub>
                          </m:sSub>
                        </m:num>
                        <m:den>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 −</m:t>
                          </m:r>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𝑔</m:t>
                              </m:r>
                            </m:e>
                            <m:sub>
                              <m:r>
                                <a:rPr lang="it-IT" sz="1800" b="0" i="1">
                                  <a:solidFill>
                                    <a:schemeClr val="tx1"/>
                                  </a:solidFill>
                                  <a:effectLst/>
                                  <a:latin typeface="Cambria Math" panose="02040503050406030204" pitchFamily="18" charset="0"/>
                                  <a:ea typeface="+mn-ea"/>
                                  <a:cs typeface="+mn-cs"/>
                                </a:rPr>
                                <m:t>𝑡</m:t>
                              </m:r>
                            </m:sub>
                          </m:sSub>
                        </m:den>
                      </m:f>
                    </m:num>
                    <m:den>
                      <m:sSup>
                        <m:sSupPr>
                          <m:ctrlPr>
                            <a:rPr lang="it-IT" sz="1800" b="0" i="1">
                              <a:latin typeface="Cambria Math" panose="02040503050406030204" pitchFamily="18" charset="0"/>
                            </a:rPr>
                          </m:ctrlPr>
                        </m:sSupPr>
                        <m:e>
                          <m:r>
                            <a:rPr lang="it-IT" sz="1100" b="0" i="1">
                              <a:solidFill>
                                <a:schemeClr val="tx1"/>
                              </a:solidFill>
                              <a:effectLst/>
                              <a:latin typeface="Cambria Math" panose="02040503050406030204" pitchFamily="18" charset="0"/>
                              <a:ea typeface="+mn-ea"/>
                              <a:cs typeface="+mn-cs"/>
                            </a:rPr>
                            <m:t>1+</m:t>
                          </m:r>
                          <m:sSub>
                            <m:sSubPr>
                              <m:ctrlPr>
                                <a:rPr lang="it-IT" sz="1100" b="0" i="1">
                                  <a:solidFill>
                                    <a:schemeClr val="tx1"/>
                                  </a:solidFill>
                                  <a:effectLst/>
                                  <a:latin typeface="Cambria Math" panose="02040503050406030204" pitchFamily="18" charset="0"/>
                                  <a:ea typeface="+mn-ea"/>
                                  <a:cs typeface="+mn-cs"/>
                                </a:rPr>
                              </m:ctrlPr>
                            </m:sSubPr>
                            <m:e>
                              <m:r>
                                <a:rPr lang="it-IT" sz="1100" b="0" i="1">
                                  <a:solidFill>
                                    <a:schemeClr val="tx1"/>
                                  </a:solidFill>
                                  <a:effectLst/>
                                  <a:latin typeface="Cambria Math" panose="02040503050406030204" pitchFamily="18" charset="0"/>
                                  <a:ea typeface="+mn-ea"/>
                                  <a:cs typeface="+mn-cs"/>
                                </a:rPr>
                                <m:t>𝑊𝐴𝐶𝐶</m:t>
                              </m:r>
                            </m:e>
                            <m:sub>
                              <m:r>
                                <a:rPr lang="it-IT" sz="1100" b="0" i="1">
                                  <a:solidFill>
                                    <a:schemeClr val="tx1"/>
                                  </a:solidFill>
                                  <a:effectLst/>
                                  <a:latin typeface="Cambria Math" panose="02040503050406030204" pitchFamily="18" charset="0"/>
                                  <a:ea typeface="+mn-ea"/>
                                  <a:cs typeface="+mn-cs"/>
                                </a:rPr>
                                <m:t>𝑡</m:t>
                              </m:r>
                            </m:sub>
                          </m:sSub>
                        </m:e>
                        <m:sup>
                          <m:r>
                            <a:rPr lang="it-IT" sz="1800" b="0" i="1">
                              <a:latin typeface="Cambria Math" panose="02040503050406030204" pitchFamily="18" charset="0"/>
                            </a:rPr>
                            <m:t>𝑡</m:t>
                          </m:r>
                        </m:sup>
                      </m:sSup>
                    </m:den>
                  </m:f>
                </m:oMath>
              </a14:m>
              <a:endParaRPr lang="it-IT" sz="1800">
                <a:latin typeface="Biome" panose="020B0503030204020804" pitchFamily="34" charset="0"/>
                <a:cs typeface="Biome" panose="020B0503030204020804" pitchFamily="34" charset="0"/>
              </a:endParaRPr>
            </a:p>
          </xdr:txBody>
        </xdr:sp>
      </mc:Choice>
      <mc:Fallback xmlns="">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▒〖𝐹𝐶𝐹𝐹〗_𝑛/〖(1+𝑊𝐴𝐶𝐶)〗^𝑛 </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〖𝐹𝐶𝐹𝐹〗_𝑡/(𝑊𝐴𝐶𝐶 −𝑔_𝑡 ))/〖</a:t>
              </a:r>
              <a:r>
                <a:rPr lang="it-IT" sz="1100" b="0" i="0">
                  <a:solidFill>
                    <a:schemeClr val="tx1"/>
                  </a:solidFill>
                  <a:effectLst/>
                  <a:latin typeface="Cambria Math" panose="02040503050406030204" pitchFamily="18" charset="0"/>
                  <a:ea typeface="+mn-ea"/>
                  <a:cs typeface="+mn-cs"/>
                </a:rPr>
                <a:t>1+〖𝑊𝐴𝐶𝐶〗_𝑡</a:t>
              </a:r>
              <a:r>
                <a:rPr lang="it-IT" sz="1800" b="0" i="0">
                  <a:solidFill>
                    <a:schemeClr val="tx1"/>
                  </a:solidFill>
                  <a:effectLst/>
                  <a:latin typeface="Cambria Math" panose="02040503050406030204" pitchFamily="18" charset="0"/>
                  <a:ea typeface="+mn-ea"/>
                  <a:cs typeface="+mn-cs"/>
                </a:rPr>
                <a:t>〗^</a:t>
              </a:r>
              <a:r>
                <a:rPr lang="it-IT" sz="1800" b="0" i="0">
                  <a:latin typeface="Cambria Math" panose="02040503050406030204" pitchFamily="18" charset="0"/>
                </a:rPr>
                <a:t>𝑡 </a:t>
              </a:r>
              <a:endParaRPr lang="it-IT" sz="1800">
                <a:latin typeface="Biome" panose="020B0503030204020804" pitchFamily="34" charset="0"/>
                <a:cs typeface="Biome" panose="020B0503030204020804" pitchFamily="34" charset="0"/>
              </a:endParaRPr>
            </a:p>
          </xdr:txBody>
        </xdr:sp>
      </mc:Fallback>
    </mc:AlternateContent>
    <xdr:clientData/>
  </xdr:oneCellAnchor>
  <xdr:oneCellAnchor>
    <xdr:from>
      <xdr:col>13</xdr:col>
      <xdr:colOff>214314</xdr:colOff>
      <xdr:row>68</xdr:row>
      <xdr:rowOff>161924</xdr:rowOff>
    </xdr:from>
    <xdr:ext cx="4793113" cy="1525362"/>
    <xdr:sp macro="" textlink="">
      <xdr:nvSpPr>
        <xdr:cNvPr id="3" name="CasellaDiTesto 2">
          <a:extLst>
            <a:ext uri="{FF2B5EF4-FFF2-40B4-BE49-F238E27FC236}">
              <a16:creationId xmlns:a16="http://schemas.microsoft.com/office/drawing/2014/main" id="{64F9D700-D82A-4857-AE7C-5331298958B0}"/>
            </a:ext>
          </a:extLst>
        </xdr:cNvPr>
        <xdr:cNvSpPr txBox="1"/>
      </xdr:nvSpPr>
      <xdr:spPr>
        <a:xfrm>
          <a:off x="13317993" y="13673817"/>
          <a:ext cx="4793113" cy="1525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200"/>
            <a:t>i've used</a:t>
          </a:r>
          <a:r>
            <a:rPr lang="it-IT" sz="1200" baseline="0"/>
            <a:t> this atypical way to compute stable growth rate for several</a:t>
          </a:r>
        </a:p>
        <a:p>
          <a:r>
            <a:rPr lang="it-IT" sz="1200" baseline="0"/>
            <a:t>reasons:</a:t>
          </a:r>
        </a:p>
        <a:p>
          <a:r>
            <a:rPr lang="it-IT" sz="1200" baseline="0"/>
            <a:t>1)the growth of italian economy is really low </a:t>
          </a:r>
        </a:p>
        <a:p>
          <a:r>
            <a:rPr lang="it-IT" sz="1200" baseline="0"/>
            <a:t>2)A2A is a very competitive and innovative company </a:t>
          </a:r>
        </a:p>
        <a:p>
          <a:r>
            <a:rPr lang="it-IT" sz="1200" baseline="0"/>
            <a:t>3)one of principle aim for this company is sustainability, and in these years</a:t>
          </a:r>
        </a:p>
        <a:p>
          <a:r>
            <a:rPr lang="it-IT" sz="1200" baseline="0"/>
            <a:t>sustainability </a:t>
          </a:r>
          <a:r>
            <a:rPr lang="it-IT" sz="1100" b="0" i="0">
              <a:solidFill>
                <a:schemeClr val="tx1"/>
              </a:solidFill>
              <a:effectLst/>
              <a:latin typeface="+mn-lt"/>
              <a:ea typeface="+mn-ea"/>
              <a:cs typeface="+mn-cs"/>
            </a:rPr>
            <a:t>is on everyone's lips, markets,</a:t>
          </a:r>
          <a:r>
            <a:rPr lang="it-IT" sz="1100" b="0" i="0" baseline="0">
              <a:solidFill>
                <a:schemeClr val="tx1"/>
              </a:solidFill>
              <a:effectLst/>
              <a:latin typeface="+mn-lt"/>
              <a:ea typeface="+mn-ea"/>
              <a:cs typeface="+mn-cs"/>
            </a:rPr>
            <a:t> investors (retail and not) and manager</a:t>
          </a:r>
        </a:p>
        <a:p>
          <a:r>
            <a:rPr lang="it-IT" sz="1100" b="0" i="0" baseline="0">
              <a:solidFill>
                <a:schemeClr val="tx1"/>
              </a:solidFill>
              <a:effectLst/>
              <a:latin typeface="+mn-lt"/>
              <a:ea typeface="+mn-ea"/>
              <a:cs typeface="+mn-cs"/>
            </a:rPr>
            <a:t>4)A2A is openenig its horizon to internazionalizzation </a:t>
          </a:r>
        </a:p>
        <a:p>
          <a:r>
            <a:rPr lang="it-IT" sz="1100" b="0" i="0" baseline="0">
              <a:solidFill>
                <a:schemeClr val="tx1"/>
              </a:solidFill>
              <a:effectLst/>
              <a:latin typeface="+mn-lt"/>
              <a:ea typeface="+mn-ea"/>
              <a:cs typeface="+mn-cs"/>
            </a:rPr>
            <a:t>5) A2A declared also an increase in investments </a:t>
          </a:r>
        </a:p>
        <a:p>
          <a:endParaRPr lang="it-IT" sz="1200" baseline="0"/>
        </a:p>
        <a:p>
          <a:endParaRPr lang="it-IT" sz="1200"/>
        </a:p>
      </xdr:txBody>
    </xdr:sp>
    <xdr:clientData/>
  </xdr:oneCellAnchor>
  <xdr:oneCellAnchor>
    <xdr:from>
      <xdr:col>27</xdr:col>
      <xdr:colOff>581025</xdr:colOff>
      <xdr:row>3</xdr:row>
      <xdr:rowOff>66675</xdr:rowOff>
    </xdr:from>
    <xdr:ext cx="65" cy="172227"/>
    <xdr:sp macro="" textlink="">
      <xdr:nvSpPr>
        <xdr:cNvPr id="4" name="CasellaDiTesto 3">
          <a:extLst>
            <a:ext uri="{FF2B5EF4-FFF2-40B4-BE49-F238E27FC236}">
              <a16:creationId xmlns:a16="http://schemas.microsoft.com/office/drawing/2014/main" id="{88CF0F69-4993-4AA6-BDAB-4B7E49E8D912}"/>
            </a:ext>
          </a:extLst>
        </xdr:cNvPr>
        <xdr:cNvSpPr txBox="1"/>
      </xdr:nvSpPr>
      <xdr:spPr>
        <a:xfrm>
          <a:off x="16430625" y="781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5</xdr:col>
      <xdr:colOff>154782</xdr:colOff>
      <xdr:row>60</xdr:row>
      <xdr:rowOff>100009</xdr:rowOff>
    </xdr:from>
    <xdr:to>
      <xdr:col>12</xdr:col>
      <xdr:colOff>976312</xdr:colOff>
      <xdr:row>79</xdr:row>
      <xdr:rowOff>176893</xdr:rowOff>
    </xdr:to>
    <xdr:sp macro="" textlink="">
      <xdr:nvSpPr>
        <xdr:cNvPr id="5" name="CasellaDiTesto 4">
          <a:extLst>
            <a:ext uri="{FF2B5EF4-FFF2-40B4-BE49-F238E27FC236}">
              <a16:creationId xmlns:a16="http://schemas.microsoft.com/office/drawing/2014/main" id="{DD6DC8D2-E122-4EFE-A784-D409D8DB1039}"/>
            </a:ext>
          </a:extLst>
        </xdr:cNvPr>
        <xdr:cNvSpPr txBox="1"/>
      </xdr:nvSpPr>
      <xdr:spPr>
        <a:xfrm>
          <a:off x="3774282" y="12087902"/>
          <a:ext cx="9162709" cy="36963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Methodology for First scenario:</a:t>
          </a:r>
        </a:p>
        <a:p>
          <a:r>
            <a:rPr lang="it-IT" sz="1100">
              <a:solidFill>
                <a:schemeClr val="dk1"/>
              </a:solidFill>
              <a:effectLst/>
              <a:latin typeface="+mn-lt"/>
              <a:ea typeface="+mn-ea"/>
              <a:cs typeface="+mn-cs"/>
            </a:rPr>
            <a:t>Starting from the top I've decided to forecast Revenues using a constant growth rate given by the average of historical data. After that, to forecast EBITDA I've used a growth rate extracted by a Damodaran dataset, which reflects a growth rate for a utility company in the eurozone. </a:t>
          </a:r>
        </a:p>
        <a:p>
          <a:r>
            <a:rPr lang="it-IT" sz="1100">
              <a:solidFill>
                <a:schemeClr val="dk1"/>
              </a:solidFill>
              <a:effectLst/>
              <a:latin typeface="+mn-lt"/>
              <a:ea typeface="+mn-ea"/>
              <a:cs typeface="+mn-cs"/>
            </a:rPr>
            <a:t>To arrive at EBIT, I've subtracted out Accruals and Depreciation and Amortization (this due to the fact that we have computed FCFF in a different way) than Damodaran's methodology)and assuming a constant tax rate and constant tax shield (average of historicals), I've forecasted NOPAT.</a:t>
          </a:r>
        </a:p>
        <a:p>
          <a:r>
            <a:rPr lang="it-IT" sz="1100">
              <a:solidFill>
                <a:schemeClr val="dk1"/>
              </a:solidFill>
              <a:effectLst/>
              <a:latin typeface="+mn-lt"/>
              <a:ea typeface="+mn-ea"/>
              <a:cs typeface="+mn-cs"/>
            </a:rPr>
            <a:t>To obtain the forecasted values for FCFF I've assumed: CAPEX as a constant percentage of revenues (11%, the last value recorded), D&amp;A as a constant percentage of CAPEX (60%, an average of historicals) and for every item after these,</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values based on an average of historical changes of each one.</a:t>
          </a:r>
        </a:p>
        <a:p>
          <a:r>
            <a:rPr lang="it-IT" sz="1100">
              <a:solidFill>
                <a:schemeClr val="dk1"/>
              </a:solidFill>
              <a:effectLst/>
              <a:latin typeface="+mn-lt"/>
              <a:ea typeface="+mn-ea"/>
              <a:cs typeface="+mn-cs"/>
            </a:rPr>
            <a:t>After all these computations I discounted the FCFFs using a WACC = 4,7% (look the WACC sheet, Third Approach), obtaining all the present values.</a:t>
          </a:r>
        </a:p>
        <a:p>
          <a:r>
            <a:rPr lang="it-IT" sz="1100">
              <a:solidFill>
                <a:schemeClr val="dk1"/>
              </a:solidFill>
              <a:effectLst/>
              <a:latin typeface="+mn-lt"/>
              <a:ea typeface="+mn-ea"/>
              <a:cs typeface="+mn-cs"/>
            </a:rPr>
            <a:t>To compute the terminal value:</a:t>
          </a:r>
        </a:p>
        <a:p>
          <a:r>
            <a:rPr lang="it-IT" sz="1100">
              <a:solidFill>
                <a:schemeClr val="dk1"/>
              </a:solidFill>
              <a:effectLst/>
              <a:latin typeface="+mn-lt"/>
              <a:ea typeface="+mn-ea"/>
              <a:cs typeface="+mn-cs"/>
            </a:rPr>
            <a:t>I changed the growth rate for EBITDA, passing from 7,68% to 4,44% (value obtained doing an average between the first growth rate and the growth rate of Italian economy) and taking constant all other items</a:t>
          </a:r>
        </a:p>
        <a:p>
          <a:r>
            <a:rPr lang="it-IT" sz="1100">
              <a:solidFill>
                <a:schemeClr val="dk1"/>
              </a:solidFill>
              <a:effectLst/>
              <a:latin typeface="+mn-lt"/>
              <a:ea typeface="+mn-ea"/>
              <a:cs typeface="+mn-cs"/>
            </a:rPr>
            <a:t>I've computed a Reinvestment Rate in the steady-state using new growth rate.</a:t>
          </a:r>
        </a:p>
        <a:p>
          <a:r>
            <a:rPr lang="it-IT" sz="1100">
              <a:solidFill>
                <a:schemeClr val="dk1"/>
              </a:solidFill>
              <a:effectLst/>
              <a:latin typeface="+mn-lt"/>
              <a:ea typeface="+mn-ea"/>
              <a:cs typeface="+mn-cs"/>
            </a:rPr>
            <a:t>I passed to a stable WACC with beta = 1 </a:t>
          </a:r>
        </a:p>
        <a:p>
          <a:r>
            <a:rPr lang="it-IT" sz="1100">
              <a:solidFill>
                <a:schemeClr val="dk1"/>
              </a:solidFill>
              <a:effectLst/>
              <a:latin typeface="+mn-lt"/>
              <a:ea typeface="+mn-ea"/>
              <a:cs typeface="+mn-cs"/>
            </a:rPr>
            <a:t>And after that I multiplied the EBIT net of tax for (1 - Reinvestment Rate), (1+ new growth rate), and after I divided this product by the difference between WACC and growth rate.</a:t>
          </a:r>
        </a:p>
        <a:p>
          <a:r>
            <a:rPr lang="it-IT" sz="1100">
              <a:solidFill>
                <a:schemeClr val="dk1"/>
              </a:solidFill>
              <a:effectLst/>
              <a:latin typeface="+mn-lt"/>
              <a:ea typeface="+mn-ea"/>
              <a:cs typeface="+mn-cs"/>
            </a:rPr>
            <a:t>To obtain the total value:</a:t>
          </a:r>
        </a:p>
        <a:p>
          <a:r>
            <a:rPr lang="it-IT" sz="1100">
              <a:solidFill>
                <a:schemeClr val="dk1"/>
              </a:solidFill>
              <a:effectLst/>
              <a:latin typeface="+mn-lt"/>
              <a:ea typeface="+mn-ea"/>
              <a:cs typeface="+mn-cs"/>
            </a:rPr>
            <a:t> first, I discounted the terminal value for a compounded WACC, and after I summed up all the present values obtained before.</a:t>
          </a:r>
        </a:p>
        <a:p>
          <a:r>
            <a:rPr lang="it-IT" sz="1100">
              <a:solidFill>
                <a:schemeClr val="dk1"/>
              </a:solidFill>
              <a:effectLst/>
              <a:latin typeface="+mn-lt"/>
              <a:ea typeface="+mn-ea"/>
              <a:cs typeface="+mn-cs"/>
            </a:rPr>
            <a:t>Finally to get the EPS:</a:t>
          </a:r>
        </a:p>
        <a:p>
          <a:r>
            <a:rPr lang="it-IT" sz="1100">
              <a:solidFill>
                <a:schemeClr val="dk1"/>
              </a:solidFill>
              <a:effectLst/>
              <a:latin typeface="+mn-lt"/>
              <a:ea typeface="+mn-ea"/>
              <a:cs typeface="+mn-cs"/>
            </a:rPr>
            <a:t>I have added to total value cash and marketable securities and the difference between Debt and Non-op asset (in this case I added this difference because it resulted positive) and subtracted out the amount of minority interest, getting the value of Equity in common stock. dividing this value by the number of outstanding shares I obtained the EPS.</a:t>
          </a:r>
        </a:p>
        <a:p>
          <a:endParaRPr lang="it-IT" sz="1100"/>
        </a:p>
      </xdr:txBody>
    </xdr:sp>
    <xdr:clientData/>
  </xdr:twoCellAnchor>
  <xdr:twoCellAnchor>
    <xdr:from>
      <xdr:col>1</xdr:col>
      <xdr:colOff>19050</xdr:colOff>
      <xdr:row>3</xdr:row>
      <xdr:rowOff>104776</xdr:rowOff>
    </xdr:from>
    <xdr:to>
      <xdr:col>16</xdr:col>
      <xdr:colOff>95250</xdr:colOff>
      <xdr:row>4</xdr:row>
      <xdr:rowOff>180975</xdr:rowOff>
    </xdr:to>
    <xdr:sp macro="" textlink="">
      <xdr:nvSpPr>
        <xdr:cNvPr id="6" name="CasellaDiTesto 5">
          <a:extLst>
            <a:ext uri="{FF2B5EF4-FFF2-40B4-BE49-F238E27FC236}">
              <a16:creationId xmlns:a16="http://schemas.microsoft.com/office/drawing/2014/main" id="{0290B9A0-383D-40EF-A219-B161DE245069}"/>
            </a:ext>
          </a:extLst>
        </xdr:cNvPr>
        <xdr:cNvSpPr txBox="1"/>
      </xdr:nvSpPr>
      <xdr:spPr>
        <a:xfrm>
          <a:off x="171450" y="819151"/>
          <a:ext cx="13344525" cy="266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latin typeface="Biome" panose="020B0503030204020804" pitchFamily="34" charset="0"/>
              <a:cs typeface="Biome" panose="020B0503030204020804" pitchFamily="34" charset="0"/>
            </a:rPr>
            <a:t>This approach is</a:t>
          </a:r>
          <a:r>
            <a:rPr lang="it-IT" sz="1100" baseline="0">
              <a:latin typeface="Biome" panose="020B0503030204020804" pitchFamily="34" charset="0"/>
              <a:cs typeface="Biome" panose="020B0503030204020804" pitchFamily="34" charset="0"/>
            </a:rPr>
            <a:t> a two-stage model, so i'm assuming that ther are two different period of growth:  one of high growth rate and the second at a stable growth rate. </a:t>
          </a:r>
          <a:endParaRPr lang="it-IT" sz="1100">
            <a:latin typeface="Biome" panose="020B0503030204020804" pitchFamily="34" charset="0"/>
            <a:cs typeface="Biome" panose="020B0503030204020804" pitchFamily="34" charset="0"/>
          </a:endParaRPr>
        </a:p>
      </xdr:txBody>
    </xdr:sp>
    <xdr:clientData/>
  </xdr:twoCellAnchor>
  <xdr:oneCellAnchor>
    <xdr:from>
      <xdr:col>1</xdr:col>
      <xdr:colOff>190500</xdr:colOff>
      <xdr:row>14</xdr:row>
      <xdr:rowOff>152398</xdr:rowOff>
    </xdr:from>
    <xdr:ext cx="333375" cy="227242"/>
    <mc:AlternateContent xmlns:mc="http://schemas.openxmlformats.org/markup-compatibility/2006" xmlns:a14="http://schemas.microsoft.com/office/drawing/2010/main">
      <mc:Choice Requires="a14">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345281" y="2938461"/>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400" i="1">
                            <a:latin typeface="Cambria Math" panose="02040503050406030204" pitchFamily="18" charset="0"/>
                          </a:rPr>
                        </m:ctrlPr>
                      </m:sSubPr>
                      <m:e>
                        <m:r>
                          <a:rPr lang="it-IT" sz="1400" b="0" i="1">
                            <a:latin typeface="Cambria Math" panose="02040503050406030204" pitchFamily="18" charset="0"/>
                          </a:rPr>
                          <m:t>𝑔</m:t>
                        </m:r>
                      </m:e>
                      <m:sub>
                        <m:r>
                          <a:rPr lang="it-IT" sz="1400" b="0" i="1">
                            <a:latin typeface="Cambria Math" panose="02040503050406030204" pitchFamily="18" charset="0"/>
                          </a:rPr>
                          <m:t>𝑡</m:t>
                        </m:r>
                      </m:sub>
                    </m:sSub>
                  </m:oMath>
                </m:oMathPara>
              </a14:m>
              <a:endParaRPr lang="it-IT" sz="1400">
                <a:latin typeface="Biome" panose="020B0503030204020804" pitchFamily="34" charset="0"/>
                <a:cs typeface="Biome" panose="020B0503030204020804" pitchFamily="34" charset="0"/>
              </a:endParaRPr>
            </a:p>
          </xdr:txBody>
        </xdr:sp>
      </mc:Choice>
      <mc:Fallback xmlns="">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345281" y="2938461"/>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400" b="0" i="0">
                  <a:latin typeface="Cambria Math" panose="02040503050406030204" pitchFamily="18" charset="0"/>
                </a:rPr>
                <a:t>𝑔_𝑡</a:t>
              </a:r>
              <a:endParaRPr lang="it-IT" sz="1400">
                <a:latin typeface="Biome" panose="020B0503030204020804" pitchFamily="34" charset="0"/>
                <a:cs typeface="Biome" panose="020B0503030204020804" pitchFamily="34" charset="0"/>
              </a:endParaRPr>
            </a:p>
          </xdr:txBody>
        </xdr:sp>
      </mc:Fallback>
    </mc:AlternateContent>
    <xdr:clientData/>
  </xdr:oneCellAnchor>
  <xdr:oneCellAnchor>
    <xdr:from>
      <xdr:col>1</xdr:col>
      <xdr:colOff>83343</xdr:colOff>
      <xdr:row>16</xdr:row>
      <xdr:rowOff>21431</xdr:rowOff>
    </xdr:from>
    <xdr:ext cx="466725" cy="171449"/>
    <mc:AlternateContent xmlns:mc="http://schemas.openxmlformats.org/markup-compatibility/2006" xmlns:a14="http://schemas.microsoft.com/office/drawing/2010/main">
      <mc:Choice Requires="a14">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238124" y="3188494"/>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𝑊𝐴𝐶𝐶</m:t>
                        </m:r>
                      </m:e>
                      <m:sub>
                        <m:r>
                          <a:rPr lang="it-IT" sz="1100" b="0" i="1">
                            <a:latin typeface="Cambria Math" panose="02040503050406030204" pitchFamily="18" charset="0"/>
                          </a:rPr>
                          <m:t>𝑡</m:t>
                        </m:r>
                      </m:sub>
                    </m:sSub>
                  </m:oMath>
                </m:oMathPara>
              </a14:m>
              <a:endParaRPr lang="it-IT" sz="1100"/>
            </a:p>
          </xdr:txBody>
        </xdr:sp>
      </mc:Choice>
      <mc:Fallback xmlns="">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238124" y="3188494"/>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it-IT" sz="1100" i="0">
                  <a:latin typeface="Cambria Math" panose="02040503050406030204" pitchFamily="18" charset="0"/>
                </a:rPr>
                <a:t>〖</a:t>
              </a:r>
              <a:r>
                <a:rPr lang="it-IT" sz="1100" b="0" i="0">
                  <a:latin typeface="Cambria Math" panose="02040503050406030204" pitchFamily="18" charset="0"/>
                </a:rPr>
                <a:t>𝑊𝐴𝐶𝐶〗_𝑡</a:t>
              </a:r>
              <a:endParaRPr lang="it-IT" sz="1100"/>
            </a:p>
          </xdr:txBody>
        </xdr:sp>
      </mc:Fallback>
    </mc:AlternateContent>
    <xdr:clientData/>
  </xdr:oneCellAnchor>
  <xdr:twoCellAnchor>
    <xdr:from>
      <xdr:col>0</xdr:col>
      <xdr:colOff>23812</xdr:colOff>
      <xdr:row>11</xdr:row>
      <xdr:rowOff>126206</xdr:rowOff>
    </xdr:from>
    <xdr:to>
      <xdr:col>1</xdr:col>
      <xdr:colOff>4762</xdr:colOff>
      <xdr:row>11</xdr:row>
      <xdr:rowOff>126206</xdr:rowOff>
    </xdr:to>
    <xdr:cxnSp macro="">
      <xdr:nvCxnSpPr>
        <xdr:cNvPr id="11" name="Connettore 2 10">
          <a:extLst>
            <a:ext uri="{FF2B5EF4-FFF2-40B4-BE49-F238E27FC236}">
              <a16:creationId xmlns:a16="http://schemas.microsoft.com/office/drawing/2014/main" id="{09EB7006-DA3D-4933-8771-476B3EB98CE5}"/>
            </a:ext>
          </a:extLst>
        </xdr:cNvPr>
        <xdr:cNvCxnSpPr/>
      </xdr:nvCxnSpPr>
      <xdr:spPr>
        <a:xfrm>
          <a:off x="23812" y="2340769"/>
          <a:ext cx="135731" cy="0"/>
        </a:xfrm>
        <a:prstGeom prst="straightConnector1">
          <a:avLst/>
        </a:prstGeom>
        <a:ln>
          <a:solidFill>
            <a:srgbClr val="00206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38100</xdr:colOff>
      <xdr:row>13</xdr:row>
      <xdr:rowOff>123825</xdr:rowOff>
    </xdr:from>
    <xdr:to>
      <xdr:col>1</xdr:col>
      <xdr:colOff>0</xdr:colOff>
      <xdr:row>13</xdr:row>
      <xdr:rowOff>123825</xdr:rowOff>
    </xdr:to>
    <xdr:cxnSp macro="">
      <xdr:nvCxnSpPr>
        <xdr:cNvPr id="13" name="Connettore 2 12">
          <a:extLst>
            <a:ext uri="{FF2B5EF4-FFF2-40B4-BE49-F238E27FC236}">
              <a16:creationId xmlns:a16="http://schemas.microsoft.com/office/drawing/2014/main" id="{28B95967-3E1F-4108-AB02-F2264D84485C}"/>
            </a:ext>
          </a:extLst>
        </xdr:cNvPr>
        <xdr:cNvCxnSpPr/>
      </xdr:nvCxnSpPr>
      <xdr:spPr>
        <a:xfrm>
          <a:off x="38100" y="2714625"/>
          <a:ext cx="114300" cy="0"/>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xdr:colOff>
      <xdr:row>14</xdr:row>
      <xdr:rowOff>123825</xdr:rowOff>
    </xdr:from>
    <xdr:to>
      <xdr:col>0</xdr:col>
      <xdr:colOff>123825</xdr:colOff>
      <xdr:row>14</xdr:row>
      <xdr:rowOff>123826</xdr:rowOff>
    </xdr:to>
    <xdr:cxnSp macro="">
      <xdr:nvCxnSpPr>
        <xdr:cNvPr id="15" name="Connettore 2 14">
          <a:extLst>
            <a:ext uri="{FF2B5EF4-FFF2-40B4-BE49-F238E27FC236}">
              <a16:creationId xmlns:a16="http://schemas.microsoft.com/office/drawing/2014/main" id="{9B4DCBF8-8B89-4944-8663-12C3C210D461}"/>
            </a:ext>
          </a:extLst>
        </xdr:cNvPr>
        <xdr:cNvCxnSpPr/>
      </xdr:nvCxnSpPr>
      <xdr:spPr>
        <a:xfrm>
          <a:off x="19050" y="29051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52387</xdr:colOff>
      <xdr:row>15</xdr:row>
      <xdr:rowOff>111918</xdr:rowOff>
    </xdr:from>
    <xdr:to>
      <xdr:col>1</xdr:col>
      <xdr:colOff>2381</xdr:colOff>
      <xdr:row>15</xdr:row>
      <xdr:rowOff>111919</xdr:rowOff>
    </xdr:to>
    <xdr:cxnSp macro="">
      <xdr:nvCxnSpPr>
        <xdr:cNvPr id="16" name="Connettore 2 15">
          <a:extLst>
            <a:ext uri="{FF2B5EF4-FFF2-40B4-BE49-F238E27FC236}">
              <a16:creationId xmlns:a16="http://schemas.microsoft.com/office/drawing/2014/main" id="{E76E3399-4943-45AF-BC11-D205E4DA05D9}"/>
            </a:ext>
          </a:extLst>
        </xdr:cNvPr>
        <xdr:cNvCxnSpPr/>
      </xdr:nvCxnSpPr>
      <xdr:spPr>
        <a:xfrm>
          <a:off x="52387" y="3088481"/>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16</xdr:row>
      <xdr:rowOff>104775</xdr:rowOff>
    </xdr:from>
    <xdr:to>
      <xdr:col>1</xdr:col>
      <xdr:colOff>0</xdr:colOff>
      <xdr:row>16</xdr:row>
      <xdr:rowOff>104776</xdr:rowOff>
    </xdr:to>
    <xdr:cxnSp macro="">
      <xdr:nvCxnSpPr>
        <xdr:cNvPr id="17" name="Connettore 2 16">
          <a:extLst>
            <a:ext uri="{FF2B5EF4-FFF2-40B4-BE49-F238E27FC236}">
              <a16:creationId xmlns:a16="http://schemas.microsoft.com/office/drawing/2014/main" id="{BAF17A86-8298-498A-9743-9B1BE9AD3004}"/>
            </a:ext>
          </a:extLst>
        </xdr:cNvPr>
        <xdr:cNvCxnSpPr/>
      </xdr:nvCxnSpPr>
      <xdr:spPr>
        <a:xfrm>
          <a:off x="47625" y="3267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17</xdr:row>
      <xdr:rowOff>104775</xdr:rowOff>
    </xdr:from>
    <xdr:to>
      <xdr:col>1</xdr:col>
      <xdr:colOff>0</xdr:colOff>
      <xdr:row>17</xdr:row>
      <xdr:rowOff>104776</xdr:rowOff>
    </xdr:to>
    <xdr:cxnSp macro="">
      <xdr:nvCxnSpPr>
        <xdr:cNvPr id="18" name="Connettore 2 17">
          <a:extLst>
            <a:ext uri="{FF2B5EF4-FFF2-40B4-BE49-F238E27FC236}">
              <a16:creationId xmlns:a16="http://schemas.microsoft.com/office/drawing/2014/main" id="{D5EEFCFB-3BF6-4FBE-88A4-9B05664C029B}"/>
            </a:ext>
          </a:extLst>
        </xdr:cNvPr>
        <xdr:cNvCxnSpPr/>
      </xdr:nvCxnSpPr>
      <xdr:spPr>
        <a:xfrm>
          <a:off x="47625" y="34575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9</xdr:row>
      <xdr:rowOff>107157</xdr:rowOff>
    </xdr:from>
    <xdr:to>
      <xdr:col>1</xdr:col>
      <xdr:colOff>0</xdr:colOff>
      <xdr:row>9</xdr:row>
      <xdr:rowOff>107158</xdr:rowOff>
    </xdr:to>
    <xdr:cxnSp macro="">
      <xdr:nvCxnSpPr>
        <xdr:cNvPr id="19" name="Connettore 2 18">
          <a:extLst>
            <a:ext uri="{FF2B5EF4-FFF2-40B4-BE49-F238E27FC236}">
              <a16:creationId xmlns:a16="http://schemas.microsoft.com/office/drawing/2014/main" id="{BF20BE67-7A85-4E2A-90DF-D932512A060F}"/>
            </a:ext>
          </a:extLst>
        </xdr:cNvPr>
        <xdr:cNvCxnSpPr/>
      </xdr:nvCxnSpPr>
      <xdr:spPr>
        <a:xfrm>
          <a:off x="47625" y="1940720"/>
          <a:ext cx="107156"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12</xdr:row>
      <xdr:rowOff>123825</xdr:rowOff>
    </xdr:from>
    <xdr:to>
      <xdr:col>0</xdr:col>
      <xdr:colOff>142875</xdr:colOff>
      <xdr:row>12</xdr:row>
      <xdr:rowOff>123826</xdr:rowOff>
    </xdr:to>
    <xdr:cxnSp macro="">
      <xdr:nvCxnSpPr>
        <xdr:cNvPr id="25" name="Connettore 2 24">
          <a:extLst>
            <a:ext uri="{FF2B5EF4-FFF2-40B4-BE49-F238E27FC236}">
              <a16:creationId xmlns:a16="http://schemas.microsoft.com/office/drawing/2014/main" id="{CBAACDD7-BFA6-49C8-A743-527DF9E2AA7C}"/>
            </a:ext>
          </a:extLst>
        </xdr:cNvPr>
        <xdr:cNvCxnSpPr/>
      </xdr:nvCxnSpPr>
      <xdr:spPr>
        <a:xfrm>
          <a:off x="38100" y="27146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20</xdr:row>
      <xdr:rowOff>104775</xdr:rowOff>
    </xdr:from>
    <xdr:to>
      <xdr:col>0</xdr:col>
      <xdr:colOff>133350</xdr:colOff>
      <xdr:row>20</xdr:row>
      <xdr:rowOff>104776</xdr:rowOff>
    </xdr:to>
    <xdr:cxnSp macro="">
      <xdr:nvCxnSpPr>
        <xdr:cNvPr id="26" name="Connettore 2 25">
          <a:extLst>
            <a:ext uri="{FF2B5EF4-FFF2-40B4-BE49-F238E27FC236}">
              <a16:creationId xmlns:a16="http://schemas.microsoft.com/office/drawing/2014/main" id="{4C09B329-09A5-4309-83CD-1981DC8CD273}"/>
            </a:ext>
          </a:extLst>
        </xdr:cNvPr>
        <xdr:cNvCxnSpPr/>
      </xdr:nvCxnSpPr>
      <xdr:spPr>
        <a:xfrm>
          <a:off x="28575" y="4029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23</xdr:row>
      <xdr:rowOff>85725</xdr:rowOff>
    </xdr:from>
    <xdr:to>
      <xdr:col>1</xdr:col>
      <xdr:colOff>0</xdr:colOff>
      <xdr:row>23</xdr:row>
      <xdr:rowOff>85726</xdr:rowOff>
    </xdr:to>
    <xdr:cxnSp macro="">
      <xdr:nvCxnSpPr>
        <xdr:cNvPr id="27" name="Connettore 2 26">
          <a:extLst>
            <a:ext uri="{FF2B5EF4-FFF2-40B4-BE49-F238E27FC236}">
              <a16:creationId xmlns:a16="http://schemas.microsoft.com/office/drawing/2014/main" id="{0A8741BC-9A0D-4341-9D1B-4D826D75EA61}"/>
            </a:ext>
          </a:extLst>
        </xdr:cNvPr>
        <xdr:cNvCxnSpPr/>
      </xdr:nvCxnSpPr>
      <xdr:spPr>
        <a:xfrm>
          <a:off x="47625" y="45815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21</xdr:row>
      <xdr:rowOff>95250</xdr:rowOff>
    </xdr:from>
    <xdr:to>
      <xdr:col>0</xdr:col>
      <xdr:colOff>142875</xdr:colOff>
      <xdr:row>21</xdr:row>
      <xdr:rowOff>95251</xdr:rowOff>
    </xdr:to>
    <xdr:cxnSp macro="">
      <xdr:nvCxnSpPr>
        <xdr:cNvPr id="28" name="Connettore 2 27">
          <a:extLst>
            <a:ext uri="{FF2B5EF4-FFF2-40B4-BE49-F238E27FC236}">
              <a16:creationId xmlns:a16="http://schemas.microsoft.com/office/drawing/2014/main" id="{0F8F9FDF-FEDD-4E20-9448-E249304F9234}"/>
            </a:ext>
          </a:extLst>
        </xdr:cNvPr>
        <xdr:cNvCxnSpPr/>
      </xdr:nvCxnSpPr>
      <xdr:spPr>
        <a:xfrm>
          <a:off x="38100" y="421005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22</xdr:row>
      <xdr:rowOff>104775</xdr:rowOff>
    </xdr:from>
    <xdr:to>
      <xdr:col>0</xdr:col>
      <xdr:colOff>142875</xdr:colOff>
      <xdr:row>22</xdr:row>
      <xdr:rowOff>104776</xdr:rowOff>
    </xdr:to>
    <xdr:cxnSp macro="">
      <xdr:nvCxnSpPr>
        <xdr:cNvPr id="29" name="Connettore 2 28">
          <a:extLst>
            <a:ext uri="{FF2B5EF4-FFF2-40B4-BE49-F238E27FC236}">
              <a16:creationId xmlns:a16="http://schemas.microsoft.com/office/drawing/2014/main" id="{1BE5B4A9-9E58-4B9F-B58D-80A184C3ACAC}"/>
            </a:ext>
          </a:extLst>
        </xdr:cNvPr>
        <xdr:cNvCxnSpPr/>
      </xdr:nvCxnSpPr>
      <xdr:spPr>
        <a:xfrm>
          <a:off x="38100" y="4410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xdr:colOff>
      <xdr:row>19</xdr:row>
      <xdr:rowOff>114300</xdr:rowOff>
    </xdr:from>
    <xdr:to>
      <xdr:col>1</xdr:col>
      <xdr:colOff>9525</xdr:colOff>
      <xdr:row>19</xdr:row>
      <xdr:rowOff>114301</xdr:rowOff>
    </xdr:to>
    <xdr:cxnSp macro="">
      <xdr:nvCxnSpPr>
        <xdr:cNvPr id="30" name="Connettore 2 29">
          <a:extLst>
            <a:ext uri="{FF2B5EF4-FFF2-40B4-BE49-F238E27FC236}">
              <a16:creationId xmlns:a16="http://schemas.microsoft.com/office/drawing/2014/main" id="{877B27A2-8920-4BD5-A087-491BB9CB29B7}"/>
            </a:ext>
          </a:extLst>
        </xdr:cNvPr>
        <xdr:cNvCxnSpPr/>
      </xdr:nvCxnSpPr>
      <xdr:spPr>
        <a:xfrm>
          <a:off x="57150" y="38481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18</xdr:row>
      <xdr:rowOff>114300</xdr:rowOff>
    </xdr:from>
    <xdr:to>
      <xdr:col>1</xdr:col>
      <xdr:colOff>0</xdr:colOff>
      <xdr:row>18</xdr:row>
      <xdr:rowOff>114301</xdr:rowOff>
    </xdr:to>
    <xdr:cxnSp macro="">
      <xdr:nvCxnSpPr>
        <xdr:cNvPr id="32" name="Connettore 2 31">
          <a:extLst>
            <a:ext uri="{FF2B5EF4-FFF2-40B4-BE49-F238E27FC236}">
              <a16:creationId xmlns:a16="http://schemas.microsoft.com/office/drawing/2014/main" id="{0599599F-65C0-4E5B-8A37-211B3AD4DCBF}"/>
            </a:ext>
          </a:extLst>
        </xdr:cNvPr>
        <xdr:cNvCxnSpPr/>
      </xdr:nvCxnSpPr>
      <xdr:spPr>
        <a:xfrm>
          <a:off x="47625" y="36576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54769</xdr:colOff>
      <xdr:row>24</xdr:row>
      <xdr:rowOff>102394</xdr:rowOff>
    </xdr:from>
    <xdr:to>
      <xdr:col>1</xdr:col>
      <xdr:colOff>7144</xdr:colOff>
      <xdr:row>24</xdr:row>
      <xdr:rowOff>102395</xdr:rowOff>
    </xdr:to>
    <xdr:cxnSp macro="">
      <xdr:nvCxnSpPr>
        <xdr:cNvPr id="45" name="Connettore 2 44">
          <a:extLst>
            <a:ext uri="{FF2B5EF4-FFF2-40B4-BE49-F238E27FC236}">
              <a16:creationId xmlns:a16="http://schemas.microsoft.com/office/drawing/2014/main" id="{C205473C-C368-4C7A-9340-D79A9B52C69B}"/>
            </a:ext>
          </a:extLst>
        </xdr:cNvPr>
        <xdr:cNvCxnSpPr/>
      </xdr:nvCxnSpPr>
      <xdr:spPr>
        <a:xfrm>
          <a:off x="54769" y="4793457"/>
          <a:ext cx="107156"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83343</xdr:colOff>
      <xdr:row>27</xdr:row>
      <xdr:rowOff>156481</xdr:rowOff>
    </xdr:from>
    <xdr:to>
      <xdr:col>19</xdr:col>
      <xdr:colOff>231321</xdr:colOff>
      <xdr:row>56</xdr:row>
      <xdr:rowOff>47625</xdr:rowOff>
    </xdr:to>
    <xdr:sp macro="" textlink="">
      <xdr:nvSpPr>
        <xdr:cNvPr id="10" name="CasellaDiTesto 9">
          <a:extLst>
            <a:ext uri="{FF2B5EF4-FFF2-40B4-BE49-F238E27FC236}">
              <a16:creationId xmlns:a16="http://schemas.microsoft.com/office/drawing/2014/main" id="{67FB3A8B-607D-4610-BC5B-47E4AD351252}"/>
            </a:ext>
          </a:extLst>
        </xdr:cNvPr>
        <xdr:cNvSpPr txBox="1"/>
      </xdr:nvSpPr>
      <xdr:spPr>
        <a:xfrm>
          <a:off x="15454312" y="5859575"/>
          <a:ext cx="3815103" cy="54156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To forecast all this item I've made some assumption about them:</a:t>
          </a:r>
        </a:p>
        <a:p>
          <a:r>
            <a:rPr lang="it-IT" sz="1100">
              <a:solidFill>
                <a:schemeClr val="dk1"/>
              </a:solidFill>
              <a:effectLst/>
              <a:latin typeface="+mn-lt"/>
              <a:ea typeface="+mn-ea"/>
              <a:cs typeface="+mn-cs"/>
            </a:rPr>
            <a:t>1)Revenues: to forecast them I'm going to multiply the last value available for the average of historical growth rate, ad so on</a:t>
          </a:r>
        </a:p>
        <a:p>
          <a:r>
            <a:rPr lang="it-IT" sz="1100">
              <a:solidFill>
                <a:schemeClr val="dk1"/>
              </a:solidFill>
              <a:effectLst/>
              <a:latin typeface="+mn-lt"/>
              <a:ea typeface="+mn-ea"/>
              <a:cs typeface="+mn-cs"/>
            </a:rPr>
            <a:t>2) EBITDA: I'm going to use a growth rate extracted by Damodaran's dataset of fundamental growth.</a:t>
          </a:r>
        </a:p>
        <a:p>
          <a:r>
            <a:rPr lang="it-IT" sz="1100">
              <a:solidFill>
                <a:schemeClr val="dk1"/>
              </a:solidFill>
              <a:effectLst/>
              <a:latin typeface="+mn-lt"/>
              <a:ea typeface="+mn-ea"/>
              <a:cs typeface="+mn-cs"/>
            </a:rPr>
            <a:t>3)ACCRUALS: constant accruals given by the average of historicals.</a:t>
          </a:r>
        </a:p>
        <a:p>
          <a:r>
            <a:rPr lang="it-IT" sz="1100">
              <a:solidFill>
                <a:schemeClr val="dk1"/>
              </a:solidFill>
              <a:effectLst/>
              <a:latin typeface="+mn-lt"/>
              <a:ea typeface="+mn-ea"/>
              <a:cs typeface="+mn-cs"/>
            </a:rPr>
            <a:t>4)EBIT: given by the difference between EBITDA and D&amp;A and accruals. </a:t>
          </a:r>
        </a:p>
        <a:p>
          <a:r>
            <a:rPr lang="it-IT" sz="1100">
              <a:solidFill>
                <a:schemeClr val="dk1"/>
              </a:solidFill>
              <a:effectLst/>
              <a:latin typeface="+mn-lt"/>
              <a:ea typeface="+mn-ea"/>
              <a:cs typeface="+mn-cs"/>
            </a:rPr>
            <a:t>5) TAX SHIELD: a constant tax shield given by the average of historicals </a:t>
          </a:r>
        </a:p>
        <a:p>
          <a:r>
            <a:rPr lang="it-IT" sz="1100">
              <a:solidFill>
                <a:schemeClr val="dk1"/>
              </a:solidFill>
              <a:effectLst/>
              <a:latin typeface="+mn-lt"/>
              <a:ea typeface="+mn-ea"/>
              <a:cs typeface="+mn-cs"/>
            </a:rPr>
            <a:t>6)CAPEX: assuming it as a % of Revenues, so I've computed an average between percentages in historical data, and use it, constant, to forecast future period </a:t>
          </a:r>
        </a:p>
        <a:p>
          <a:r>
            <a:rPr lang="it-IT" sz="1100">
              <a:solidFill>
                <a:schemeClr val="dk1"/>
              </a:solidFill>
              <a:effectLst/>
              <a:latin typeface="+mn-lt"/>
              <a:ea typeface="+mn-ea"/>
              <a:cs typeface="+mn-cs"/>
            </a:rPr>
            <a:t>7)D&amp;A: assuming it as a percentage of CAPEX, with the same methodology for CAPEX</a:t>
          </a:r>
        </a:p>
        <a:p>
          <a:r>
            <a:rPr lang="it-IT" sz="1100">
              <a:solidFill>
                <a:schemeClr val="dk1"/>
              </a:solidFill>
              <a:effectLst/>
              <a:latin typeface="+mn-lt"/>
              <a:ea typeface="+mn-ea"/>
              <a:cs typeface="+mn-cs"/>
            </a:rPr>
            <a:t>8) Changes in Provision: assuming constant positive changes because they are unpredictable. </a:t>
          </a:r>
        </a:p>
        <a:p>
          <a:r>
            <a:rPr lang="it-IT" sz="1100">
              <a:solidFill>
                <a:schemeClr val="dk1"/>
              </a:solidFill>
              <a:effectLst/>
              <a:latin typeface="+mn-lt"/>
              <a:ea typeface="+mn-ea"/>
              <a:cs typeface="+mn-cs"/>
            </a:rPr>
            <a:t>9)Changes in Employees Benefit: being this asset not too volatile I'm going to use as forecast values the same value given by the average of changes </a:t>
          </a:r>
        </a:p>
        <a:p>
          <a:r>
            <a:rPr lang="it-IT" sz="1100">
              <a:solidFill>
                <a:schemeClr val="dk1"/>
              </a:solidFill>
              <a:effectLst/>
              <a:latin typeface="+mn-lt"/>
              <a:ea typeface="+mn-ea"/>
              <a:cs typeface="+mn-cs"/>
            </a:rPr>
            <a:t>10)Changes in TAX asset: I decide to take the last value of that asset and use it for my forecast</a:t>
          </a:r>
        </a:p>
        <a:p>
          <a:r>
            <a:rPr lang="it-IT" sz="1100">
              <a:solidFill>
                <a:schemeClr val="dk1"/>
              </a:solidFill>
              <a:effectLst/>
              <a:latin typeface="+mn-lt"/>
              <a:ea typeface="+mn-ea"/>
              <a:cs typeface="+mn-cs"/>
            </a:rPr>
            <a:t>11)Other minors: as previous items, I computed an average of changes during years and use it to forecast values for the  future period </a:t>
          </a:r>
        </a:p>
        <a:p>
          <a:r>
            <a:rPr lang="it-IT" sz="1100">
              <a:solidFill>
                <a:schemeClr val="dk1"/>
              </a:solidFill>
              <a:effectLst/>
              <a:latin typeface="+mn-lt"/>
              <a:ea typeface="+mn-ea"/>
              <a:cs typeface="+mn-cs"/>
            </a:rPr>
            <a:t>12)Changes in NWC: I've assumed that they are a % of Revenues, after that, I've made an average, and I used this value for each year in the forecast period</a:t>
          </a:r>
        </a:p>
        <a:p>
          <a:endParaRPr lang="it-IT" sz="1100"/>
        </a:p>
      </xdr:txBody>
    </xdr:sp>
    <xdr:clientData/>
  </xdr:twoCellAnchor>
  <xdr:oneCellAnchor>
    <xdr:from>
      <xdr:col>8</xdr:col>
      <xdr:colOff>906065</xdr:colOff>
      <xdr:row>14</xdr:row>
      <xdr:rowOff>132159</xdr:rowOff>
    </xdr:from>
    <xdr:ext cx="65" cy="172227"/>
    <xdr:sp macro="" textlink="">
      <xdr:nvSpPr>
        <xdr:cNvPr id="20" name="CasellaDiTesto 19">
          <a:extLst>
            <a:ext uri="{FF2B5EF4-FFF2-40B4-BE49-F238E27FC236}">
              <a16:creationId xmlns:a16="http://schemas.microsoft.com/office/drawing/2014/main" id="{3100BBD5-5373-4715-B1CD-0B0E55668FA0}"/>
            </a:ext>
          </a:extLst>
        </xdr:cNvPr>
        <xdr:cNvSpPr txBox="1"/>
      </xdr:nvSpPr>
      <xdr:spPr>
        <a:xfrm>
          <a:off x="7561659" y="29182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oneCellAnchor>
    <xdr:from>
      <xdr:col>8</xdr:col>
      <xdr:colOff>906065</xdr:colOff>
      <xdr:row>9</xdr:row>
      <xdr:rowOff>179784</xdr:rowOff>
    </xdr:from>
    <xdr:ext cx="65" cy="172227"/>
    <xdr:sp macro="" textlink="">
      <xdr:nvSpPr>
        <xdr:cNvPr id="21" name="CasellaDiTesto 20">
          <a:extLst>
            <a:ext uri="{FF2B5EF4-FFF2-40B4-BE49-F238E27FC236}">
              <a16:creationId xmlns:a16="http://schemas.microsoft.com/office/drawing/2014/main" id="{6B6F0B9A-E675-49F7-A93B-C16486E08891}"/>
            </a:ext>
          </a:extLst>
        </xdr:cNvPr>
        <xdr:cNvSpPr txBox="1"/>
      </xdr:nvSpPr>
      <xdr:spPr>
        <a:xfrm>
          <a:off x="7561659" y="201334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0</xdr:col>
      <xdr:colOff>35718</xdr:colOff>
      <xdr:row>82</xdr:row>
      <xdr:rowOff>95250</xdr:rowOff>
    </xdr:from>
    <xdr:to>
      <xdr:col>0</xdr:col>
      <xdr:colOff>137772</xdr:colOff>
      <xdr:row>82</xdr:row>
      <xdr:rowOff>95251</xdr:rowOff>
    </xdr:to>
    <xdr:cxnSp macro="">
      <xdr:nvCxnSpPr>
        <xdr:cNvPr id="31" name="Connettore 2 30">
          <a:extLst>
            <a:ext uri="{FF2B5EF4-FFF2-40B4-BE49-F238E27FC236}">
              <a16:creationId xmlns:a16="http://schemas.microsoft.com/office/drawing/2014/main" id="{C7BD0D9F-80A2-45BB-B3C7-B631E1B2CD7C}"/>
            </a:ext>
          </a:extLst>
        </xdr:cNvPr>
        <xdr:cNvCxnSpPr/>
      </xdr:nvCxnSpPr>
      <xdr:spPr>
        <a:xfrm>
          <a:off x="35718" y="15370969"/>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xdr:colOff>
      <xdr:row>83</xdr:row>
      <xdr:rowOff>107156</xdr:rowOff>
    </xdr:from>
    <xdr:to>
      <xdr:col>0</xdr:col>
      <xdr:colOff>125866</xdr:colOff>
      <xdr:row>83</xdr:row>
      <xdr:rowOff>107157</xdr:rowOff>
    </xdr:to>
    <xdr:cxnSp macro="">
      <xdr:nvCxnSpPr>
        <xdr:cNvPr id="33" name="Connettore 2 32">
          <a:extLst>
            <a:ext uri="{FF2B5EF4-FFF2-40B4-BE49-F238E27FC236}">
              <a16:creationId xmlns:a16="http://schemas.microsoft.com/office/drawing/2014/main" id="{1388A9E4-3268-47AD-951C-13F0F71DD07D}"/>
            </a:ext>
          </a:extLst>
        </xdr:cNvPr>
        <xdr:cNvCxnSpPr/>
      </xdr:nvCxnSpPr>
      <xdr:spPr>
        <a:xfrm>
          <a:off x="23812" y="15573375"/>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xdr:colOff>
      <xdr:row>84</xdr:row>
      <xdr:rowOff>107156</xdr:rowOff>
    </xdr:from>
    <xdr:to>
      <xdr:col>0</xdr:col>
      <xdr:colOff>113960</xdr:colOff>
      <xdr:row>84</xdr:row>
      <xdr:rowOff>107157</xdr:rowOff>
    </xdr:to>
    <xdr:cxnSp macro="">
      <xdr:nvCxnSpPr>
        <xdr:cNvPr id="34" name="Connettore 2 33">
          <a:extLst>
            <a:ext uri="{FF2B5EF4-FFF2-40B4-BE49-F238E27FC236}">
              <a16:creationId xmlns:a16="http://schemas.microsoft.com/office/drawing/2014/main" id="{103F161B-7BB9-4DC8-B91C-7683E7A53A99}"/>
            </a:ext>
          </a:extLst>
        </xdr:cNvPr>
        <xdr:cNvCxnSpPr/>
      </xdr:nvCxnSpPr>
      <xdr:spPr>
        <a:xfrm>
          <a:off x="11906" y="15763875"/>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35719</xdr:colOff>
      <xdr:row>85</xdr:row>
      <xdr:rowOff>95250</xdr:rowOff>
    </xdr:from>
    <xdr:to>
      <xdr:col>0</xdr:col>
      <xdr:colOff>137773</xdr:colOff>
      <xdr:row>85</xdr:row>
      <xdr:rowOff>95251</xdr:rowOff>
    </xdr:to>
    <xdr:cxnSp macro="">
      <xdr:nvCxnSpPr>
        <xdr:cNvPr id="35" name="Connettore 2 34">
          <a:extLst>
            <a:ext uri="{FF2B5EF4-FFF2-40B4-BE49-F238E27FC236}">
              <a16:creationId xmlns:a16="http://schemas.microsoft.com/office/drawing/2014/main" id="{0D815ED7-CEFB-4597-BB26-C069150EC318}"/>
            </a:ext>
          </a:extLst>
        </xdr:cNvPr>
        <xdr:cNvCxnSpPr/>
      </xdr:nvCxnSpPr>
      <xdr:spPr>
        <a:xfrm>
          <a:off x="35719" y="17335500"/>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86</xdr:row>
      <xdr:rowOff>107157</xdr:rowOff>
    </xdr:from>
    <xdr:to>
      <xdr:col>0</xdr:col>
      <xdr:colOff>149679</xdr:colOff>
      <xdr:row>86</xdr:row>
      <xdr:rowOff>107158</xdr:rowOff>
    </xdr:to>
    <xdr:cxnSp macro="">
      <xdr:nvCxnSpPr>
        <xdr:cNvPr id="36" name="Connettore 2 35">
          <a:extLst>
            <a:ext uri="{FF2B5EF4-FFF2-40B4-BE49-F238E27FC236}">
              <a16:creationId xmlns:a16="http://schemas.microsoft.com/office/drawing/2014/main" id="{86659AD8-4160-45AD-9A5C-BF9CFD8B7BBF}"/>
            </a:ext>
          </a:extLst>
        </xdr:cNvPr>
        <xdr:cNvCxnSpPr/>
      </xdr:nvCxnSpPr>
      <xdr:spPr>
        <a:xfrm>
          <a:off x="47625" y="17537907"/>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34017</xdr:colOff>
      <xdr:row>88</xdr:row>
      <xdr:rowOff>125868</xdr:rowOff>
    </xdr:from>
    <xdr:to>
      <xdr:col>0</xdr:col>
      <xdr:colOff>130969</xdr:colOff>
      <xdr:row>88</xdr:row>
      <xdr:rowOff>125869</xdr:rowOff>
    </xdr:to>
    <xdr:cxnSp macro="">
      <xdr:nvCxnSpPr>
        <xdr:cNvPr id="37" name="Connettore 2 36">
          <a:extLst>
            <a:ext uri="{FF2B5EF4-FFF2-40B4-BE49-F238E27FC236}">
              <a16:creationId xmlns:a16="http://schemas.microsoft.com/office/drawing/2014/main" id="{156434C6-58BC-49FD-BFF5-25BD14F8D0EC}"/>
            </a:ext>
          </a:extLst>
        </xdr:cNvPr>
        <xdr:cNvCxnSpPr/>
      </xdr:nvCxnSpPr>
      <xdr:spPr>
        <a:xfrm>
          <a:off x="34017" y="17774332"/>
          <a:ext cx="96952"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702468</xdr:colOff>
      <xdr:row>69</xdr:row>
      <xdr:rowOff>71436</xdr:rowOff>
    </xdr:from>
    <xdr:to>
      <xdr:col>13</xdr:col>
      <xdr:colOff>202406</xdr:colOff>
      <xdr:row>69</xdr:row>
      <xdr:rowOff>71436</xdr:rowOff>
    </xdr:to>
    <xdr:cxnSp macro="">
      <xdr:nvCxnSpPr>
        <xdr:cNvPr id="14" name="Connettore 2 13">
          <a:extLst>
            <a:ext uri="{FF2B5EF4-FFF2-40B4-BE49-F238E27FC236}">
              <a16:creationId xmlns:a16="http://schemas.microsoft.com/office/drawing/2014/main" id="{4C741FB0-FC5E-47D9-9B30-A0DB0AD945F7}"/>
            </a:ext>
          </a:extLst>
        </xdr:cNvPr>
        <xdr:cNvCxnSpPr/>
      </xdr:nvCxnSpPr>
      <xdr:spPr>
        <a:xfrm>
          <a:off x="12668249" y="13858874"/>
          <a:ext cx="6429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10204</xdr:colOff>
      <xdr:row>124</xdr:row>
      <xdr:rowOff>122461</xdr:rowOff>
    </xdr:from>
    <xdr:to>
      <xdr:col>17</xdr:col>
      <xdr:colOff>0</xdr:colOff>
      <xdr:row>143</xdr:row>
      <xdr:rowOff>47624</xdr:rowOff>
    </xdr:to>
    <xdr:sp macro="" textlink="">
      <xdr:nvSpPr>
        <xdr:cNvPr id="7" name="CasellaDiTesto 6">
          <a:extLst>
            <a:ext uri="{FF2B5EF4-FFF2-40B4-BE49-F238E27FC236}">
              <a16:creationId xmlns:a16="http://schemas.microsoft.com/office/drawing/2014/main" id="{322AC23B-D80B-43AF-96B5-BB63E34343BD}"/>
            </a:ext>
          </a:extLst>
        </xdr:cNvPr>
        <xdr:cNvSpPr txBox="1"/>
      </xdr:nvSpPr>
      <xdr:spPr>
        <a:xfrm>
          <a:off x="9689985" y="24708867"/>
          <a:ext cx="7645515" cy="35446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Methodology for Second Scenario:</a:t>
          </a:r>
        </a:p>
        <a:p>
          <a:r>
            <a:rPr lang="it-IT" sz="1100">
              <a:solidFill>
                <a:schemeClr val="dk1"/>
              </a:solidFill>
              <a:effectLst/>
              <a:latin typeface="+mn-lt"/>
              <a:ea typeface="+mn-ea"/>
              <a:cs typeface="+mn-cs"/>
            </a:rPr>
            <a:t>In this scenario, I decided to use what management declared in the strategic plan for what about Compounded annual growth rate for EBITDA and the amount of CAPEX that the Company'll reach in 2024, but I wanted to make two different output.</a:t>
          </a:r>
        </a:p>
        <a:p>
          <a:r>
            <a:rPr lang="it-IT" sz="1100">
              <a:solidFill>
                <a:schemeClr val="dk1"/>
              </a:solidFill>
              <a:effectLst/>
              <a:latin typeface="+mn-lt"/>
              <a:ea typeface="+mn-ea"/>
              <a:cs typeface="+mn-cs"/>
            </a:rPr>
            <a:t>So I used the same assumption for WACC in the high growth, WACC in steady-state, Depreciation and Amortization, the growth rate in Revenues, Other minors, tax rate, and changes in Provision, Tax asset, Employees benefit, and Net Working Capital. </a:t>
          </a:r>
        </a:p>
        <a:p>
          <a:pPr marL="0" marR="0" lvl="0" indent="0" defTabSz="914400" rtl="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To forecast EBITDA I used a CAGR of 6,4% until 2024 and to compute EBITDA in the steady-state I switched growth rate, passing to the growth rate of the Italian economy (1,2%, this value is an average of the last three years), while in the second steady state I passed to a growth rate </a:t>
          </a:r>
          <a:r>
            <a:rPr lang="en-US" sz="1100">
              <a:solidFill>
                <a:schemeClr val="dk1"/>
              </a:solidFill>
              <a:effectLst/>
              <a:latin typeface="+mn-lt"/>
              <a:ea typeface="+mn-ea"/>
              <a:cs typeface="+mn-cs"/>
            </a:rPr>
            <a:t>given by the average of historicals and that one declared by management.</a:t>
          </a:r>
          <a:endParaRPr lang="it-IT" sz="1100">
            <a:solidFill>
              <a:schemeClr val="dk1"/>
            </a:solidFill>
            <a:effectLst/>
            <a:latin typeface="+mn-lt"/>
            <a:ea typeface="+mn-ea"/>
            <a:cs typeface="+mn-cs"/>
          </a:endParaRPr>
        </a:p>
        <a:p>
          <a:r>
            <a:rPr lang="it-IT" sz="1100">
              <a:solidFill>
                <a:schemeClr val="dk1"/>
              </a:solidFill>
              <a:effectLst/>
              <a:latin typeface="+mn-lt"/>
              <a:ea typeface="+mn-ea"/>
              <a:cs typeface="+mn-cs"/>
            </a:rPr>
            <a:t>For CAPEX I wanted to maintain the relationship between CAPEX  and Revenues. So  I</a:t>
          </a:r>
          <a:r>
            <a:rPr lang="it-IT" sz="1100" baseline="0">
              <a:solidFill>
                <a:schemeClr val="dk1"/>
              </a:solidFill>
              <a:effectLst/>
              <a:latin typeface="+mn-lt"/>
              <a:ea typeface="+mn-ea"/>
              <a:cs typeface="+mn-cs"/>
            </a:rPr>
            <a:t> took</a:t>
          </a:r>
          <a:r>
            <a:rPr lang="it-IT" sz="1100">
              <a:solidFill>
                <a:schemeClr val="dk1"/>
              </a:solidFill>
              <a:effectLst/>
              <a:latin typeface="+mn-lt"/>
              <a:ea typeface="+mn-ea"/>
              <a:cs typeface="+mn-cs"/>
            </a:rPr>
            <a:t> the value declared as aim for 2024 (4476 m EUR) and the growth rate for Revenues. After that using a simple equation (see the</a:t>
          </a:r>
          <a:r>
            <a:rPr lang="it-IT" sz="1100" baseline="0">
              <a:solidFill>
                <a:schemeClr val="dk1"/>
              </a:solidFill>
              <a:effectLst/>
              <a:latin typeface="+mn-lt"/>
              <a:ea typeface="+mn-ea"/>
              <a:cs typeface="+mn-cs"/>
            </a:rPr>
            <a:t> last assumption above) </a:t>
          </a:r>
          <a:r>
            <a:rPr lang="it-IT" sz="1100">
              <a:solidFill>
                <a:schemeClr val="dk1"/>
              </a:solidFill>
              <a:effectLst/>
              <a:latin typeface="+mn-lt"/>
              <a:ea typeface="+mn-ea"/>
              <a:cs typeface="+mn-cs"/>
            </a:rPr>
            <a:t>I got the initial value for CAPEX (31/12/2020) divided the value declared by the compounded growth rates. I've done it to not assume a constant CAPEX in a high growth period. </a:t>
          </a:r>
        </a:p>
        <a:p>
          <a:r>
            <a:rPr lang="it-IT" sz="1100">
              <a:solidFill>
                <a:schemeClr val="dk1"/>
              </a:solidFill>
              <a:effectLst/>
              <a:latin typeface="+mn-lt"/>
              <a:ea typeface="+mn-ea"/>
              <a:cs typeface="+mn-cs"/>
            </a:rPr>
            <a:t>For both</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steady-states, I assumed constant CAPEX, equals to the last forecasted value.</a:t>
          </a:r>
        </a:p>
        <a:p>
          <a:r>
            <a:rPr lang="it-IT" sz="1100">
              <a:solidFill>
                <a:schemeClr val="dk1"/>
              </a:solidFill>
              <a:effectLst/>
              <a:latin typeface="+mn-lt"/>
              <a:ea typeface="+mn-ea"/>
              <a:cs typeface="+mn-cs"/>
            </a:rPr>
            <a:t>In the end, I decide to make two outputs, the first one using the growth rate of the Italian economy, and the second using the same approach as before (averaging</a:t>
          </a:r>
          <a:r>
            <a:rPr lang="it-IT" sz="1100" baseline="0">
              <a:solidFill>
                <a:schemeClr val="dk1"/>
              </a:solidFill>
              <a:effectLst/>
              <a:latin typeface="+mn-lt"/>
              <a:ea typeface="+mn-ea"/>
              <a:cs typeface="+mn-cs"/>
            </a:rPr>
            <a:t> growth rates)</a:t>
          </a:r>
          <a:r>
            <a:rPr lang="it-IT" sz="1100">
              <a:solidFill>
                <a:schemeClr val="dk1"/>
              </a:solidFill>
              <a:effectLst/>
              <a:latin typeface="+mn-lt"/>
              <a:ea typeface="+mn-ea"/>
              <a:cs typeface="+mn-cs"/>
            </a:rPr>
            <a:t>. </a:t>
          </a:r>
        </a:p>
        <a:p>
          <a:r>
            <a:rPr lang="it-IT" sz="1100">
              <a:solidFill>
                <a:schemeClr val="dk1"/>
              </a:solidFill>
              <a:effectLst/>
              <a:latin typeface="+mn-lt"/>
              <a:ea typeface="+mn-ea"/>
              <a:cs typeface="+mn-cs"/>
            </a:rPr>
            <a:t>As we can look, the first output gives a worthless ( in my opinion) result, this due to the fact that a really low growth rate leads, first,  to low Reinvestment Rate, but also has an important effect on the denominator used for terminal value computation.</a:t>
          </a:r>
        </a:p>
        <a:p>
          <a:r>
            <a:rPr lang="it-IT" sz="1100">
              <a:solidFill>
                <a:schemeClr val="dk1"/>
              </a:solidFill>
              <a:effectLst/>
              <a:latin typeface="+mn-lt"/>
              <a:ea typeface="+mn-ea"/>
              <a:cs typeface="+mn-cs"/>
            </a:rPr>
            <a:t>The second output returns a value so near to the value recorded pre COVID-19 crisis. For this output, I've used a different growth rate for the steady-state given by the average between the historical growth rate and which one declared by the management. I've done it for the same reason mentioned above. </a:t>
          </a:r>
        </a:p>
        <a:p>
          <a:endParaRPr lang="it-IT" sz="1100"/>
        </a:p>
      </xdr:txBody>
    </xdr:sp>
    <xdr:clientData/>
  </xdr:twoCellAnchor>
  <xdr:oneCellAnchor>
    <xdr:from>
      <xdr:col>3</xdr:col>
      <xdr:colOff>784450</xdr:colOff>
      <xdr:row>85</xdr:row>
      <xdr:rowOff>158523</xdr:rowOff>
    </xdr:from>
    <xdr:ext cx="1511754" cy="363433"/>
    <mc:AlternateContent xmlns:mc="http://schemas.openxmlformats.org/markup-compatibility/2006" xmlns:a14="http://schemas.microsoft.com/office/drawing/2010/main">
      <mc:Choice Requires="a14">
        <xdr:sp macro="" textlink="">
          <xdr:nvSpPr>
            <xdr:cNvPr id="22" name="CasellaDiTesto 21">
              <a:extLst>
                <a:ext uri="{FF2B5EF4-FFF2-40B4-BE49-F238E27FC236}">
                  <a16:creationId xmlns:a16="http://schemas.microsoft.com/office/drawing/2014/main" id="{758A40B7-457A-49A7-92F2-1434BD4DFB60}"/>
                </a:ext>
              </a:extLst>
            </xdr:cNvPr>
            <xdr:cNvSpPr txBox="1"/>
          </xdr:nvSpPr>
          <xdr:spPr>
            <a:xfrm>
              <a:off x="2332263" y="17291617"/>
              <a:ext cx="1511754" cy="36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it-IT" sz="1100" i="1">
                        <a:latin typeface="Cambria Math" panose="02040503050406030204" pitchFamily="18" charset="0"/>
                      </a:rPr>
                      <m:t>𝑥</m:t>
                    </m:r>
                    <m:r>
                      <a:rPr lang="it-IT" sz="1100" i="0">
                        <a:latin typeface="Cambria Math" panose="02040503050406030204" pitchFamily="18" charset="0"/>
                      </a:rPr>
                      <m:t>=</m:t>
                    </m:r>
                    <m:f>
                      <m:fPr>
                        <m:ctrlPr>
                          <a:rPr lang="it-IT" sz="1100" i="1">
                            <a:latin typeface="Cambria Math" panose="02040503050406030204" pitchFamily="18" charset="0"/>
                          </a:rPr>
                        </m:ctrlPr>
                      </m:fPr>
                      <m:num>
                        <m:r>
                          <a:rPr lang="it-IT" sz="1100" i="0">
                            <a:latin typeface="Cambria Math" panose="02040503050406030204" pitchFamily="18" charset="0"/>
                          </a:rPr>
                          <m:t>4476</m:t>
                        </m:r>
                      </m:num>
                      <m:den>
                        <m:nary>
                          <m:naryPr>
                            <m:chr m:val="∑"/>
                            <m:limLoc m:val="undOvr"/>
                            <m:grow m:val="on"/>
                            <m:ctrlPr>
                              <a:rPr lang="it-IT" sz="1100" i="1">
                                <a:latin typeface="Cambria Math" panose="02040503050406030204" pitchFamily="18" charset="0"/>
                              </a:rPr>
                            </m:ctrlPr>
                          </m:naryPr>
                          <m:sub>
                            <m:r>
                              <a:rPr lang="it-IT" sz="1100" i="1">
                                <a:latin typeface="Cambria Math" panose="02040503050406030204" pitchFamily="18" charset="0"/>
                              </a:rPr>
                              <m:t>𝑡</m:t>
                            </m:r>
                            <m:r>
                              <a:rPr lang="it-IT" sz="1100" i="0">
                                <a:latin typeface="Cambria Math" panose="02040503050406030204" pitchFamily="18" charset="0"/>
                              </a:rPr>
                              <m:t>=1</m:t>
                            </m:r>
                          </m:sub>
                          <m:sup>
                            <m:r>
                              <a:rPr lang="it-IT" sz="1100" i="0">
                                <a:latin typeface="Cambria Math" panose="02040503050406030204" pitchFamily="18" charset="0"/>
                              </a:rPr>
                              <m:t>5</m:t>
                            </m:r>
                          </m:sup>
                          <m:e>
                            <m:sSup>
                              <m:sSupPr>
                                <m:ctrlPr>
                                  <a:rPr lang="it-IT" sz="1100" i="1">
                                    <a:latin typeface="Cambria Math" panose="02040503050406030204" pitchFamily="18" charset="0"/>
                                  </a:rPr>
                                </m:ctrlPr>
                              </m:sSupPr>
                              <m:e>
                                <m:d>
                                  <m:dPr>
                                    <m:ctrlPr>
                                      <a:rPr lang="it-IT" sz="1100" i="1">
                                        <a:latin typeface="Cambria Math" panose="02040503050406030204" pitchFamily="18" charset="0"/>
                                      </a:rPr>
                                    </m:ctrlPr>
                                  </m:dPr>
                                  <m:e>
                                    <m:r>
                                      <a:rPr lang="it-IT" sz="1100" i="0">
                                        <a:latin typeface="Cambria Math" panose="02040503050406030204" pitchFamily="18" charset="0"/>
                                      </a:rPr>
                                      <m:t>1+</m:t>
                                    </m:r>
                                    <m:r>
                                      <a:rPr lang="it-IT" sz="1100" i="1">
                                        <a:latin typeface="Cambria Math" panose="02040503050406030204" pitchFamily="18" charset="0"/>
                                      </a:rPr>
                                      <m:t>𝑔</m:t>
                                    </m:r>
                                  </m:e>
                                </m:d>
                              </m:e>
                              <m:sup>
                                <m:r>
                                  <a:rPr lang="it-IT" sz="1100" i="1">
                                    <a:latin typeface="Cambria Math" panose="02040503050406030204" pitchFamily="18" charset="0"/>
                                  </a:rPr>
                                  <m:t>𝑡</m:t>
                                </m:r>
                              </m:sup>
                            </m:sSup>
                          </m:e>
                        </m:nary>
                      </m:den>
                    </m:f>
                  </m:oMath>
                </m:oMathPara>
              </a14:m>
              <a:endParaRPr lang="it-IT" sz="1100"/>
            </a:p>
          </xdr:txBody>
        </xdr:sp>
      </mc:Choice>
      <mc:Fallback xmlns="">
        <xdr:sp macro="" textlink="">
          <xdr:nvSpPr>
            <xdr:cNvPr id="22" name="CasellaDiTesto 21">
              <a:extLst>
                <a:ext uri="{FF2B5EF4-FFF2-40B4-BE49-F238E27FC236}">
                  <a16:creationId xmlns:a16="http://schemas.microsoft.com/office/drawing/2014/main" id="{758A40B7-457A-49A7-92F2-1434BD4DFB60}"/>
                </a:ext>
              </a:extLst>
            </xdr:cNvPr>
            <xdr:cNvSpPr txBox="1"/>
          </xdr:nvSpPr>
          <xdr:spPr>
            <a:xfrm>
              <a:off x="2332263" y="17291617"/>
              <a:ext cx="1511754" cy="36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100" i="0">
                  <a:latin typeface="Cambria Math" panose="02040503050406030204" pitchFamily="18" charset="0"/>
                </a:rPr>
                <a:t>𝑥=4476/(∑129_(𝑡=1)^5▒(1+𝑔)^𝑡 )</a:t>
              </a:r>
              <a:endParaRPr lang="it-IT" sz="1100"/>
            </a:p>
          </xdr:txBody>
        </xdr:sp>
      </mc:Fallback>
    </mc:AlternateContent>
    <xdr:clientData/>
  </xdr:oneCellAnchor>
</xdr:wsDr>
</file>

<file path=xl/drawings/drawing9.xml><?xml version="1.0" encoding="utf-8"?>
<xdr:wsDr xmlns:xdr="http://schemas.openxmlformats.org/drawingml/2006/spreadsheetDrawing" xmlns:a="http://schemas.openxmlformats.org/drawingml/2006/main">
  <xdr:oneCellAnchor>
    <xdr:from>
      <xdr:col>11</xdr:col>
      <xdr:colOff>0</xdr:colOff>
      <xdr:row>169</xdr:row>
      <xdr:rowOff>152400</xdr:rowOff>
    </xdr:from>
    <xdr:ext cx="65" cy="172227"/>
    <xdr:sp macro="" textlink="">
      <xdr:nvSpPr>
        <xdr:cNvPr id="4" name="CasellaDiTesto 3">
          <a:extLst>
            <a:ext uri="{FF2B5EF4-FFF2-40B4-BE49-F238E27FC236}">
              <a16:creationId xmlns:a16="http://schemas.microsoft.com/office/drawing/2014/main" id="{051518B6-D02D-47E1-AD41-1D70133B53C9}"/>
            </a:ext>
          </a:extLst>
        </xdr:cNvPr>
        <xdr:cNvSpPr txBox="1"/>
      </xdr:nvSpPr>
      <xdr:spPr>
        <a:xfrm>
          <a:off x="10296525" y="36642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12</xdr:col>
      <xdr:colOff>28575</xdr:colOff>
      <xdr:row>3</xdr:row>
      <xdr:rowOff>180974</xdr:rowOff>
    </xdr:from>
    <xdr:to>
      <xdr:col>16</xdr:col>
      <xdr:colOff>1238250</xdr:colOff>
      <xdr:row>15</xdr:row>
      <xdr:rowOff>38100</xdr:rowOff>
    </xdr:to>
    <xdr:sp macro="" textlink="">
      <xdr:nvSpPr>
        <xdr:cNvPr id="11" name="CasellaDiTesto 10">
          <a:extLst>
            <a:ext uri="{FF2B5EF4-FFF2-40B4-BE49-F238E27FC236}">
              <a16:creationId xmlns:a16="http://schemas.microsoft.com/office/drawing/2014/main" id="{1BEE7603-86F7-42D4-B43B-AD222CC4D726}"/>
            </a:ext>
          </a:extLst>
        </xdr:cNvPr>
        <xdr:cNvSpPr txBox="1"/>
      </xdr:nvSpPr>
      <xdr:spPr>
        <a:xfrm>
          <a:off x="10772775" y="866774"/>
          <a:ext cx="4419600" cy="20574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its EBITDA target for 2024 of 1626</a:t>
          </a:r>
        </a:p>
        <a:p>
          <a:endParaRPr lang="it-IT" sz="1100" baseline="0"/>
        </a:p>
        <a:p>
          <a:r>
            <a:rPr lang="it-IT" sz="1100" baseline="0"/>
            <a:t>- I used a constant growth rate in order to reach it. </a:t>
          </a:r>
        </a:p>
        <a:p>
          <a:endParaRPr lang="it-IT" sz="1100" baseline="0"/>
        </a:p>
        <a:p>
          <a:r>
            <a:rPr lang="it-IT" sz="1100" baseline="0"/>
            <a:t>- In order to get respective sales forecast I used the average Ebitda margin   </a:t>
          </a:r>
        </a:p>
        <a:p>
          <a:r>
            <a:rPr lang="it-IT" sz="1100" baseline="0"/>
            <a:t>  from past 5 years as target for 2024, to reach according to a constant        growth rate.  This allows me to highlight higher sales for early future years. </a:t>
          </a:r>
        </a:p>
        <a:p>
          <a:endParaRPr lang="it-IT" sz="1100" baseline="0"/>
        </a:p>
        <a:p>
          <a:r>
            <a:rPr lang="it-IT" sz="1100" baseline="0"/>
            <a:t>- For what about operational costs I used averages of percentages over    sales as represented in the right side table. </a:t>
          </a:r>
        </a:p>
        <a:p>
          <a:endParaRPr lang="it-IT" sz="1100"/>
        </a:p>
      </xdr:txBody>
    </xdr:sp>
    <xdr:clientData/>
  </xdr:twoCellAnchor>
  <xdr:twoCellAnchor>
    <xdr:from>
      <xdr:col>12</xdr:col>
      <xdr:colOff>66675</xdr:colOff>
      <xdr:row>29</xdr:row>
      <xdr:rowOff>9525</xdr:rowOff>
    </xdr:from>
    <xdr:to>
      <xdr:col>17</xdr:col>
      <xdr:colOff>1</xdr:colOff>
      <xdr:row>47</xdr:row>
      <xdr:rowOff>28575</xdr:rowOff>
    </xdr:to>
    <xdr:sp macro="" textlink="">
      <xdr:nvSpPr>
        <xdr:cNvPr id="12" name="CasellaDiTesto 11">
          <a:extLst>
            <a:ext uri="{FF2B5EF4-FFF2-40B4-BE49-F238E27FC236}">
              <a16:creationId xmlns:a16="http://schemas.microsoft.com/office/drawing/2014/main" id="{69D27678-E6B4-4228-9216-95F29624EE94}"/>
            </a:ext>
          </a:extLst>
        </xdr:cNvPr>
        <xdr:cNvSpPr txBox="1"/>
      </xdr:nvSpPr>
      <xdr:spPr>
        <a:xfrm>
          <a:off x="10810875" y="5448300"/>
          <a:ext cx="4391026"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a cumulative capex target for 2024 of 4476. </a:t>
          </a:r>
        </a:p>
        <a:p>
          <a:endParaRPr lang="it-IT" sz="1100" baseline="0"/>
        </a:p>
        <a:p>
          <a:r>
            <a:rPr lang="it-IT" sz="1100" baseline="0"/>
            <a:t>I simply considered cumulative capex, divided by cumulative sales (in order to better distribute capital expenditures) and assigned it according to each year sales.  Computations in right-side table. </a:t>
          </a:r>
        </a:p>
        <a:p>
          <a:endParaRPr lang="it-IT" sz="1100" baseline="0"/>
        </a:p>
        <a:p>
          <a:r>
            <a:rPr lang="it-IT" sz="1100"/>
            <a:t>Then</a:t>
          </a:r>
          <a:r>
            <a:rPr lang="it-IT" sz="1100" baseline="0"/>
            <a:t>, I used the mean of past two year percentages of tangibles and intangibles over total fixed assets as references to split this value. </a:t>
          </a:r>
        </a:p>
        <a:p>
          <a:endParaRPr lang="it-IT" sz="1100" baseline="0"/>
        </a:p>
        <a:p>
          <a:r>
            <a:rPr lang="it-IT" sz="1100"/>
            <a:t>For</a:t>
          </a:r>
          <a:r>
            <a:rPr lang="it-IT" sz="1100" baseline="0"/>
            <a:t> what about D&amp;A I used averages of past two years of percentages of D&amp;A over EOP tangibles (or intangibles). </a:t>
          </a:r>
        </a:p>
        <a:p>
          <a:r>
            <a:rPr lang="it-IT" sz="1100" baseline="0"/>
            <a:t>Notice that in D&amp;A for tangibles I also have included write downs. </a:t>
          </a:r>
        </a:p>
        <a:p>
          <a:endParaRPr lang="it-IT" sz="1100"/>
        </a:p>
        <a:p>
          <a:r>
            <a:rPr lang="it-IT" sz="1100"/>
            <a:t>Accruals are computed as a constant value given by mean value of past</a:t>
          </a:r>
          <a:r>
            <a:rPr lang="it-IT" sz="1100" baseline="0"/>
            <a:t> 5 results. </a:t>
          </a:r>
        </a:p>
        <a:p>
          <a:endParaRPr lang="it-IT" sz="1100" baseline="0"/>
        </a:p>
        <a:p>
          <a:r>
            <a:rPr lang="it-IT" sz="1100" baseline="0"/>
            <a:t>Finally I defined the evolution of tangibles and intangibles adding capex and subtracting D&amp;A  getting forecasts for fixed assets. </a:t>
          </a:r>
        </a:p>
        <a:p>
          <a:endParaRPr lang="it-IT" sz="1100"/>
        </a:p>
      </xdr:txBody>
    </xdr:sp>
    <xdr:clientData/>
  </xdr:twoCellAnchor>
  <xdr:twoCellAnchor>
    <xdr:from>
      <xdr:col>12</xdr:col>
      <xdr:colOff>133350</xdr:colOff>
      <xdr:row>79</xdr:row>
      <xdr:rowOff>104775</xdr:rowOff>
    </xdr:from>
    <xdr:to>
      <xdr:col>17</xdr:col>
      <xdr:colOff>0</xdr:colOff>
      <xdr:row>86</xdr:row>
      <xdr:rowOff>171450</xdr:rowOff>
    </xdr:to>
    <xdr:sp macro="" textlink="">
      <xdr:nvSpPr>
        <xdr:cNvPr id="13" name="CasellaDiTesto 12">
          <a:extLst>
            <a:ext uri="{FF2B5EF4-FFF2-40B4-BE49-F238E27FC236}">
              <a16:creationId xmlns:a16="http://schemas.microsoft.com/office/drawing/2014/main" id="{2C73EE78-4CA7-4877-9A74-C3A1B6F0238A}"/>
            </a:ext>
          </a:extLst>
        </xdr:cNvPr>
        <xdr:cNvSpPr txBox="1"/>
      </xdr:nvSpPr>
      <xdr:spPr>
        <a:xfrm>
          <a:off x="11610975" y="14668500"/>
          <a:ext cx="4324350"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other items</a:t>
          </a:r>
          <a:r>
            <a:rPr lang="it-IT" sz="1100" baseline="0"/>
            <a:t> in Restated Balance Sheet I have decided to maintian them constant over time due to unpredictability of them. </a:t>
          </a:r>
        </a:p>
        <a:p>
          <a:r>
            <a:rPr lang="it-IT" sz="1100" baseline="0"/>
            <a:t>This of course according to the logic that Employee benefits should tend to zero in the long term . </a:t>
          </a:r>
        </a:p>
        <a:p>
          <a:endParaRPr lang="it-IT" sz="1100" baseline="0"/>
        </a:p>
      </xdr:txBody>
    </xdr:sp>
    <xdr:clientData/>
  </xdr:twoCellAnchor>
  <xdr:twoCellAnchor>
    <xdr:from>
      <xdr:col>12</xdr:col>
      <xdr:colOff>114300</xdr:colOff>
      <xdr:row>74</xdr:row>
      <xdr:rowOff>47625</xdr:rowOff>
    </xdr:from>
    <xdr:to>
      <xdr:col>17</xdr:col>
      <xdr:colOff>38100</xdr:colOff>
      <xdr:row>78</xdr:row>
      <xdr:rowOff>85725</xdr:rowOff>
    </xdr:to>
    <xdr:sp macro="" textlink="">
      <xdr:nvSpPr>
        <xdr:cNvPr id="14" name="CasellaDiTesto 13">
          <a:extLst>
            <a:ext uri="{FF2B5EF4-FFF2-40B4-BE49-F238E27FC236}">
              <a16:creationId xmlns:a16="http://schemas.microsoft.com/office/drawing/2014/main" id="{34D9924B-9472-45A0-886C-3A27E586405D}"/>
            </a:ext>
          </a:extLst>
        </xdr:cNvPr>
        <xdr:cNvSpPr txBox="1"/>
      </xdr:nvSpPr>
      <xdr:spPr>
        <a:xfrm>
          <a:off x="11591925" y="13706475"/>
          <a:ext cx="43815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a:t>
          </a:r>
          <a:r>
            <a:rPr lang="it-IT" sz="1100" baseline="0"/>
            <a:t> Net Working Capital I took past two NWC/sales and used incrementing each year to reach as 2024 value the mean of past three years (4.59%)</a:t>
          </a:r>
        </a:p>
        <a:p>
          <a:endParaRPr lang="it-IT" sz="1100" baseline="0"/>
        </a:p>
        <a:p>
          <a:endParaRPr lang="it-IT" sz="1100"/>
        </a:p>
      </xdr:txBody>
    </xdr:sp>
    <xdr:clientData/>
  </xdr:twoCellAnchor>
  <xdr:twoCellAnchor>
    <xdr:from>
      <xdr:col>12</xdr:col>
      <xdr:colOff>142875</xdr:colOff>
      <xdr:row>93</xdr:row>
      <xdr:rowOff>57150</xdr:rowOff>
    </xdr:from>
    <xdr:to>
      <xdr:col>17</xdr:col>
      <xdr:colOff>9526</xdr:colOff>
      <xdr:row>104</xdr:row>
      <xdr:rowOff>47625</xdr:rowOff>
    </xdr:to>
    <xdr:sp macro="" textlink="">
      <xdr:nvSpPr>
        <xdr:cNvPr id="15" name="CasellaDiTesto 14">
          <a:extLst>
            <a:ext uri="{FF2B5EF4-FFF2-40B4-BE49-F238E27FC236}">
              <a16:creationId xmlns:a16="http://schemas.microsoft.com/office/drawing/2014/main" id="{9FE7225F-CB8F-4E4D-A507-F68ECB25A846}"/>
            </a:ext>
          </a:extLst>
        </xdr:cNvPr>
        <xdr:cNvSpPr txBox="1"/>
      </xdr:nvSpPr>
      <xdr:spPr>
        <a:xfrm>
          <a:off x="11620500" y="17192625"/>
          <a:ext cx="4324351" cy="1990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 to reduce NFP</a:t>
          </a:r>
          <a:r>
            <a:rPr lang="it-IT" sz="1100" baseline="0"/>
            <a:t> over EBITDA from approximately 2,6 in 2019 to 2,3 </a:t>
          </a:r>
        </a:p>
        <a:p>
          <a:r>
            <a:rPr lang="it-IT" sz="1100" baseline="0"/>
            <a:t>We assume to have this decrease linearly </a:t>
          </a:r>
          <a:br>
            <a:rPr lang="it-IT" sz="1100" baseline="0"/>
          </a:br>
          <a:r>
            <a:rPr lang="it-IT" sz="1100" baseline="0"/>
            <a:t>(-2,24476% per year).</a:t>
          </a:r>
        </a:p>
        <a:p>
          <a:endParaRPr lang="it-IT" sz="1100" baseline="0"/>
        </a:p>
        <a:p>
          <a:r>
            <a:rPr lang="it-IT" sz="1100" baseline="0"/>
            <a:t>In order to get Total Debt from Net Debt I used an inverse formula starting from the average NFP/Total Debt from past 5 Years (almost constant).  </a:t>
          </a:r>
        </a:p>
        <a:p>
          <a:r>
            <a:rPr lang="it-IT" sz="1100" baseline="0"/>
            <a:t>Then going backward I can distinguish between ST and M/L Term financing</a:t>
          </a:r>
          <a:endParaRPr lang="it-IT" sz="1100"/>
        </a:p>
      </xdr:txBody>
    </xdr:sp>
    <xdr:clientData/>
  </xdr:twoCellAnchor>
  <xdr:twoCellAnchor>
    <xdr:from>
      <xdr:col>12</xdr:col>
      <xdr:colOff>133350</xdr:colOff>
      <xdr:row>87</xdr:row>
      <xdr:rowOff>76201</xdr:rowOff>
    </xdr:from>
    <xdr:to>
      <xdr:col>17</xdr:col>
      <xdr:colOff>0</xdr:colOff>
      <xdr:row>92</xdr:row>
      <xdr:rowOff>142876</xdr:rowOff>
    </xdr:to>
    <xdr:sp macro="" textlink="">
      <xdr:nvSpPr>
        <xdr:cNvPr id="16" name="CasellaDiTesto 15">
          <a:extLst>
            <a:ext uri="{FF2B5EF4-FFF2-40B4-BE49-F238E27FC236}">
              <a16:creationId xmlns:a16="http://schemas.microsoft.com/office/drawing/2014/main" id="{C469628A-6958-4515-8609-E972BCE0C272}"/>
            </a:ext>
          </a:extLst>
        </xdr:cNvPr>
        <xdr:cNvSpPr txBox="1"/>
      </xdr:nvSpPr>
      <xdr:spPr>
        <a:xfrm>
          <a:off x="11610975" y="16106776"/>
          <a:ext cx="432435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 took information from A2A</a:t>
          </a:r>
          <a:r>
            <a:rPr lang="it-IT" sz="1100" baseline="0"/>
            <a:t> Debt composition about percentages of Bond over total debt and future debt short term financial debt directly correlated with future debt repayments. </a:t>
          </a:r>
          <a:endParaRPr lang="it-IT" sz="1100"/>
        </a:p>
      </xdr:txBody>
    </xdr:sp>
    <xdr:clientData/>
  </xdr:twoCellAnchor>
  <xdr:twoCellAnchor>
    <xdr:from>
      <xdr:col>12</xdr:col>
      <xdr:colOff>142875</xdr:colOff>
      <xdr:row>104</xdr:row>
      <xdr:rowOff>104776</xdr:rowOff>
    </xdr:from>
    <xdr:to>
      <xdr:col>17</xdr:col>
      <xdr:colOff>38101</xdr:colOff>
      <xdr:row>108</xdr:row>
      <xdr:rowOff>142875</xdr:rowOff>
    </xdr:to>
    <xdr:sp macro="" textlink="">
      <xdr:nvSpPr>
        <xdr:cNvPr id="17" name="CasellaDiTesto 16">
          <a:extLst>
            <a:ext uri="{FF2B5EF4-FFF2-40B4-BE49-F238E27FC236}">
              <a16:creationId xmlns:a16="http://schemas.microsoft.com/office/drawing/2014/main" id="{067E0163-5E58-4AD8-9DE0-265C67111324}"/>
            </a:ext>
          </a:extLst>
        </xdr:cNvPr>
        <xdr:cNvSpPr txBox="1"/>
      </xdr:nvSpPr>
      <xdr:spPr>
        <a:xfrm>
          <a:off x="11620500" y="19240501"/>
          <a:ext cx="4352926" cy="781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Due to the fact</a:t>
          </a:r>
          <a:r>
            <a:rPr lang="it-IT" sz="1100" baseline="0"/>
            <a:t> I assumed the total debt to be a certain multiple of NFP I can easily compute future debt issues given debt repayment schedule. </a:t>
          </a:r>
          <a:endParaRPr lang="it-IT" sz="1100"/>
        </a:p>
      </xdr:txBody>
    </xdr:sp>
    <xdr:clientData/>
  </xdr:twoCellAnchor>
  <xdr:twoCellAnchor>
    <xdr:from>
      <xdr:col>11</xdr:col>
      <xdr:colOff>161925</xdr:colOff>
      <xdr:row>98</xdr:row>
      <xdr:rowOff>38101</xdr:rowOff>
    </xdr:from>
    <xdr:to>
      <xdr:col>11</xdr:col>
      <xdr:colOff>171450</xdr:colOff>
      <xdr:row>103</xdr:row>
      <xdr:rowOff>0</xdr:rowOff>
    </xdr:to>
    <xdr:cxnSp macro="">
      <xdr:nvCxnSpPr>
        <xdr:cNvPr id="18" name="Connettore 2 17">
          <a:extLst>
            <a:ext uri="{FF2B5EF4-FFF2-40B4-BE49-F238E27FC236}">
              <a16:creationId xmlns:a16="http://schemas.microsoft.com/office/drawing/2014/main" id="{D75276C5-0CAB-4F97-A9C5-7BEA7AB1CF82}"/>
            </a:ext>
          </a:extLst>
        </xdr:cNvPr>
        <xdr:cNvCxnSpPr/>
      </xdr:nvCxnSpPr>
      <xdr:spPr>
        <a:xfrm flipH="1" flipV="1">
          <a:off x="11439525" y="23460076"/>
          <a:ext cx="9525" cy="91439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13</xdr:col>
      <xdr:colOff>238125</xdr:colOff>
      <xdr:row>114</xdr:row>
      <xdr:rowOff>95250</xdr:rowOff>
    </xdr:from>
    <xdr:ext cx="184731" cy="264560"/>
    <xdr:sp macro="" textlink="">
      <xdr:nvSpPr>
        <xdr:cNvPr id="19" name="CasellaDiTesto 18">
          <a:extLst>
            <a:ext uri="{FF2B5EF4-FFF2-40B4-BE49-F238E27FC236}">
              <a16:creationId xmlns:a16="http://schemas.microsoft.com/office/drawing/2014/main" id="{F8D002AC-18AB-4348-B8BA-83C95A4C9247}"/>
            </a:ext>
          </a:extLst>
        </xdr:cNvPr>
        <xdr:cNvSpPr txBox="1"/>
      </xdr:nvSpPr>
      <xdr:spPr>
        <a:xfrm>
          <a:off x="13192125" y="2659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twoCellAnchor>
    <xdr:from>
      <xdr:col>12</xdr:col>
      <xdr:colOff>133350</xdr:colOff>
      <xdr:row>109</xdr:row>
      <xdr:rowOff>38100</xdr:rowOff>
    </xdr:from>
    <xdr:to>
      <xdr:col>17</xdr:col>
      <xdr:colOff>28576</xdr:colOff>
      <xdr:row>123</xdr:row>
      <xdr:rowOff>171450</xdr:rowOff>
    </xdr:to>
    <xdr:sp macro="" textlink="">
      <xdr:nvSpPr>
        <xdr:cNvPr id="20" name="CasellaDiTesto 19">
          <a:extLst>
            <a:ext uri="{FF2B5EF4-FFF2-40B4-BE49-F238E27FC236}">
              <a16:creationId xmlns:a16="http://schemas.microsoft.com/office/drawing/2014/main" id="{E54BB268-2A72-4C68-B58D-21C4B75A5168}"/>
            </a:ext>
          </a:extLst>
        </xdr:cNvPr>
        <xdr:cNvSpPr txBox="1"/>
      </xdr:nvSpPr>
      <xdr:spPr>
        <a:xfrm>
          <a:off x="11610975" y="20107275"/>
          <a:ext cx="4352926" cy="2695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Interests assumptions</a:t>
          </a:r>
          <a:r>
            <a:rPr lang="it-IT" sz="1100"/>
            <a:t>:</a:t>
          </a:r>
        </a:p>
        <a:p>
          <a:r>
            <a:rPr lang="it-IT" sz="1100"/>
            <a:t>For</a:t>
          </a:r>
          <a:r>
            <a:rPr lang="it-IT" sz="1100" baseline="0"/>
            <a:t> bond interests I used the following assumption: all new issues will pay at average cost of debt, therefore the average interest will tend to decrease as reported in right-side table. </a:t>
          </a:r>
        </a:p>
        <a:p>
          <a:r>
            <a:rPr lang="it-IT" sz="1100" baseline="0"/>
            <a:t>For bank interests I simply used the average interests/other financing over past 2</a:t>
          </a:r>
        </a:p>
        <a:p>
          <a:r>
            <a:rPr lang="it-IT" sz="1100" baseline="0"/>
            <a:t> years ( 0,51%) .</a:t>
          </a:r>
        </a:p>
        <a:p>
          <a:r>
            <a:rPr lang="it-IT" sz="1100" baseline="0"/>
            <a:t>Now (strict assumption) in order to get a forecast for total financial expenses I use the average Interest % of total of past two years. </a:t>
          </a:r>
        </a:p>
        <a:p>
          <a:r>
            <a:rPr lang="it-IT" sz="1100" baseline="0"/>
            <a:t>(78,60%)</a:t>
          </a:r>
        </a:p>
        <a:p>
          <a:r>
            <a:rPr lang="it-IT" sz="1100" baseline="0"/>
            <a:t>Due to unpredictability of financial balance and financial items I will consider this result as a proxy for their forecasts (no interest income and other nonr recurring results assumption). </a:t>
          </a:r>
        </a:p>
        <a:p>
          <a:endParaRPr lang="it-IT" sz="1100" baseline="0"/>
        </a:p>
        <a:p>
          <a:endParaRPr lang="it-IT" sz="1100" baseline="0"/>
        </a:p>
        <a:p>
          <a:endParaRPr lang="it-IT" sz="1100"/>
        </a:p>
      </xdr:txBody>
    </xdr:sp>
    <xdr:clientData/>
  </xdr:twoCellAnchor>
  <xdr:twoCellAnchor>
    <xdr:from>
      <xdr:col>12</xdr:col>
      <xdr:colOff>104775</xdr:colOff>
      <xdr:row>60</xdr:row>
      <xdr:rowOff>133349</xdr:rowOff>
    </xdr:from>
    <xdr:to>
      <xdr:col>17</xdr:col>
      <xdr:colOff>0</xdr:colOff>
      <xdr:row>71</xdr:row>
      <xdr:rowOff>85725</xdr:rowOff>
    </xdr:to>
    <xdr:sp macro="" textlink="">
      <xdr:nvSpPr>
        <xdr:cNvPr id="21" name="CasellaDiTesto 20">
          <a:extLst>
            <a:ext uri="{FF2B5EF4-FFF2-40B4-BE49-F238E27FC236}">
              <a16:creationId xmlns:a16="http://schemas.microsoft.com/office/drawing/2014/main" id="{4A1532E4-5ECC-4BCD-BFFE-978AA54ED4E7}"/>
            </a:ext>
          </a:extLst>
        </xdr:cNvPr>
        <xdr:cNvSpPr txBox="1"/>
      </xdr:nvSpPr>
      <xdr:spPr>
        <a:xfrm>
          <a:off x="11582400" y="11239499"/>
          <a:ext cx="4352925" cy="1952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DSO, DPO and DIO I used respectively sales, operational</a:t>
          </a:r>
          <a:r>
            <a:rPr lang="it-IT" sz="1100" baseline="0"/>
            <a:t> costs and raw materials expenses. </a:t>
          </a:r>
        </a:p>
        <a:p>
          <a:endParaRPr lang="it-IT" sz="1100" baseline="0"/>
        </a:p>
        <a:p>
          <a:r>
            <a:rPr lang="it-IT" sz="1100" baseline="0"/>
            <a:t>For what about Days for other A&amp;L I used sales, notice that their values were always negative having a positive impact in Cash Conversion Cycle even for the future. </a:t>
          </a:r>
        </a:p>
        <a:p>
          <a:r>
            <a:rPr lang="it-IT" sz="1100"/>
            <a:t>Forecasts</a:t>
          </a:r>
          <a:r>
            <a:rPr lang="it-IT" sz="1100" baseline="0"/>
            <a:t> were made according to average of past two years results.</a:t>
          </a:r>
        </a:p>
        <a:p>
          <a:r>
            <a:rPr lang="it-IT" sz="1100" baseline="0"/>
            <a:t> </a:t>
          </a:r>
        </a:p>
        <a:p>
          <a:r>
            <a:rPr lang="it-IT" sz="1100" baseline="0"/>
            <a:t>In order to not allow for the high peak there could be in first year forecasts for 2020 I used same days as in 2019. </a:t>
          </a:r>
          <a:endParaRPr lang="it-IT" sz="1100"/>
        </a:p>
      </xdr:txBody>
    </xdr:sp>
    <xdr:clientData/>
  </xdr:twoCellAnchor>
  <xdr:twoCellAnchor>
    <xdr:from>
      <xdr:col>14</xdr:col>
      <xdr:colOff>361950</xdr:colOff>
      <xdr:row>0</xdr:row>
      <xdr:rowOff>238125</xdr:rowOff>
    </xdr:from>
    <xdr:to>
      <xdr:col>15</xdr:col>
      <xdr:colOff>66675</xdr:colOff>
      <xdr:row>3</xdr:row>
      <xdr:rowOff>85725</xdr:rowOff>
    </xdr:to>
    <xdr:sp macro="" textlink="">
      <xdr:nvSpPr>
        <xdr:cNvPr id="22" name="Freccia in giù 21">
          <a:extLst>
            <a:ext uri="{FF2B5EF4-FFF2-40B4-BE49-F238E27FC236}">
              <a16:creationId xmlns:a16="http://schemas.microsoft.com/office/drawing/2014/main" id="{1605F3CA-D8A8-40AC-9423-32F334803134}"/>
            </a:ext>
          </a:extLst>
        </xdr:cNvPr>
        <xdr:cNvSpPr/>
      </xdr:nvSpPr>
      <xdr:spPr>
        <a:xfrm>
          <a:off x="12582525" y="238125"/>
          <a:ext cx="571500"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18</xdr:col>
      <xdr:colOff>1924050</xdr:colOff>
      <xdr:row>0</xdr:row>
      <xdr:rowOff>219075</xdr:rowOff>
    </xdr:from>
    <xdr:to>
      <xdr:col>19</xdr:col>
      <xdr:colOff>19050</xdr:colOff>
      <xdr:row>2</xdr:row>
      <xdr:rowOff>161925</xdr:rowOff>
    </xdr:to>
    <xdr:sp macro="" textlink="">
      <xdr:nvSpPr>
        <xdr:cNvPr id="26" name="Freccia in giù 25">
          <a:extLst>
            <a:ext uri="{FF2B5EF4-FFF2-40B4-BE49-F238E27FC236}">
              <a16:creationId xmlns:a16="http://schemas.microsoft.com/office/drawing/2014/main" id="{9041F44E-A7B5-4757-ACFA-498F39C75238}"/>
            </a:ext>
          </a:extLst>
        </xdr:cNvPr>
        <xdr:cNvSpPr/>
      </xdr:nvSpPr>
      <xdr:spPr>
        <a:xfrm>
          <a:off x="17992725" y="219075"/>
          <a:ext cx="457200" cy="438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12</xdr:col>
      <xdr:colOff>228600</xdr:colOff>
      <xdr:row>149</xdr:row>
      <xdr:rowOff>38100</xdr:rowOff>
    </xdr:from>
    <xdr:to>
      <xdr:col>13</xdr:col>
      <xdr:colOff>304800</xdr:colOff>
      <xdr:row>150</xdr:row>
      <xdr:rowOff>85725</xdr:rowOff>
    </xdr:to>
    <xdr:sp macro="" textlink="">
      <xdr:nvSpPr>
        <xdr:cNvPr id="2" name="Freccia a destra 1">
          <a:extLst>
            <a:ext uri="{FF2B5EF4-FFF2-40B4-BE49-F238E27FC236}">
              <a16:creationId xmlns:a16="http://schemas.microsoft.com/office/drawing/2014/main" id="{3F37BAC8-853E-4DAD-8345-810AD5765847}"/>
            </a:ext>
          </a:extLst>
        </xdr:cNvPr>
        <xdr:cNvSpPr/>
      </xdr:nvSpPr>
      <xdr:spPr>
        <a:xfrm>
          <a:off x="11706225" y="27422475"/>
          <a:ext cx="942975" cy="3143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18</xdr:col>
      <xdr:colOff>695325</xdr:colOff>
      <xdr:row>149</xdr:row>
      <xdr:rowOff>76200</xdr:rowOff>
    </xdr:from>
    <xdr:to>
      <xdr:col>18</xdr:col>
      <xdr:colOff>1638300</xdr:colOff>
      <xdr:row>150</xdr:row>
      <xdr:rowOff>123825</xdr:rowOff>
    </xdr:to>
    <xdr:sp macro="" textlink="">
      <xdr:nvSpPr>
        <xdr:cNvPr id="28" name="Freccia a destra 27">
          <a:extLst>
            <a:ext uri="{FF2B5EF4-FFF2-40B4-BE49-F238E27FC236}">
              <a16:creationId xmlns:a16="http://schemas.microsoft.com/office/drawing/2014/main" id="{660D45C2-EEC6-43A1-AD29-FFA54CCA6AB4}"/>
            </a:ext>
          </a:extLst>
        </xdr:cNvPr>
        <xdr:cNvSpPr/>
      </xdr:nvSpPr>
      <xdr:spPr>
        <a:xfrm>
          <a:off x="17497425" y="27460575"/>
          <a:ext cx="942975" cy="3143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14</xdr:col>
      <xdr:colOff>28575</xdr:colOff>
      <xdr:row>154</xdr:row>
      <xdr:rowOff>85725</xdr:rowOff>
    </xdr:from>
    <xdr:to>
      <xdr:col>17</xdr:col>
      <xdr:colOff>857250</xdr:colOff>
      <xdr:row>173</xdr:row>
      <xdr:rowOff>38100</xdr:rowOff>
    </xdr:to>
    <xdr:sp macro="" textlink="">
      <xdr:nvSpPr>
        <xdr:cNvPr id="3" name="CasellaDiTesto 2">
          <a:extLst>
            <a:ext uri="{FF2B5EF4-FFF2-40B4-BE49-F238E27FC236}">
              <a16:creationId xmlns:a16="http://schemas.microsoft.com/office/drawing/2014/main" id="{FF6B36CF-9BD3-41EF-BC4A-772F7CB9316C}"/>
            </a:ext>
          </a:extLst>
        </xdr:cNvPr>
        <xdr:cNvSpPr txBox="1"/>
      </xdr:nvSpPr>
      <xdr:spPr>
        <a:xfrm>
          <a:off x="12982575" y="28479750"/>
          <a:ext cx="3810000" cy="3400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 strategic plan 2019-2023</a:t>
          </a:r>
          <a:r>
            <a:rPr lang="it-IT" sz="1100" baseline="0"/>
            <a:t> A2A declared a NI of 462 million for 2023 against 518 from my result. </a:t>
          </a:r>
        </a:p>
        <a:p>
          <a:r>
            <a:rPr lang="it-IT" sz="1100" baseline="0"/>
            <a:t>Of course this result was a forecast made in 2018, anyway it highlights that it could be reasonable to try to adjust it. </a:t>
          </a:r>
        </a:p>
        <a:p>
          <a:endParaRPr lang="it-IT" sz="1100" baseline="0"/>
        </a:p>
        <a:p>
          <a:r>
            <a:rPr lang="it-IT" sz="1100" baseline="0"/>
            <a:t>The sources in order to reduce final results are respectively D&amp;A and financial items. </a:t>
          </a:r>
        </a:p>
        <a:p>
          <a:endParaRPr lang="it-IT" sz="1100" baseline="0"/>
        </a:p>
        <a:p>
          <a:endParaRPr lang="it-IT" sz="1100" baseline="0"/>
        </a:p>
        <a:p>
          <a:r>
            <a:rPr lang="it-IT" sz="1100" baseline="0"/>
            <a:t>Especially I worked on tangible D&amp;A allowing for lower impact in percentage terms in early years, increasing them linearly to the average of 9,97%. </a:t>
          </a:r>
        </a:p>
        <a:p>
          <a:endParaRPr lang="it-IT" sz="1100" baseline="0"/>
        </a:p>
        <a:p>
          <a:endParaRPr lang="it-IT" sz="1100" baseline="0"/>
        </a:p>
        <a:p>
          <a:r>
            <a:rPr lang="it-IT" sz="1100"/>
            <a:t>I changed considerations about</a:t>
          </a:r>
          <a:r>
            <a:rPr lang="it-IT" sz="1100" baseline="0"/>
            <a:t> financial items simply using past year financial items / total debt; in this way as debt increase financial items too. Anyway, this result is not much consistent with cost of debt decrease as highlighted. </a:t>
          </a:r>
          <a:endParaRPr lang="it-IT" sz="1100"/>
        </a:p>
      </xdr:txBody>
    </xdr:sp>
    <xdr:clientData/>
  </xdr:twoCellAnchor>
  <xdr:twoCellAnchor>
    <xdr:from>
      <xdr:col>14</xdr:col>
      <xdr:colOff>47624</xdr:colOff>
      <xdr:row>191</xdr:row>
      <xdr:rowOff>133351</xdr:rowOff>
    </xdr:from>
    <xdr:to>
      <xdr:col>18</xdr:col>
      <xdr:colOff>152399</xdr:colOff>
      <xdr:row>199</xdr:row>
      <xdr:rowOff>57151</xdr:rowOff>
    </xdr:to>
    <xdr:sp macro="" textlink="">
      <xdr:nvSpPr>
        <xdr:cNvPr id="5" name="CasellaDiTesto 4">
          <a:extLst>
            <a:ext uri="{FF2B5EF4-FFF2-40B4-BE49-F238E27FC236}">
              <a16:creationId xmlns:a16="http://schemas.microsoft.com/office/drawing/2014/main" id="{6273C4C8-B701-48A1-8CFD-921244C0A045}"/>
            </a:ext>
          </a:extLst>
        </xdr:cNvPr>
        <xdr:cNvSpPr txBox="1"/>
      </xdr:nvSpPr>
      <xdr:spPr>
        <a:xfrm>
          <a:off x="13001624" y="35261551"/>
          <a:ext cx="3952875"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it-IT" sz="1100"/>
        </a:p>
        <a:p>
          <a:r>
            <a:rPr lang="it-IT" sz="1100" b="1"/>
            <a:t>Notice: </a:t>
          </a:r>
          <a:r>
            <a:rPr lang="it-IT" sz="1100"/>
            <a:t>as we</a:t>
          </a:r>
          <a:r>
            <a:rPr lang="it-IT" sz="1100" baseline="0"/>
            <a:t> can see here I used directly forecasts for NWC which are presented in upside section. </a:t>
          </a:r>
        </a:p>
        <a:p>
          <a:endParaRPr lang="it-IT" sz="1100" baseline="0"/>
        </a:p>
        <a:p>
          <a:r>
            <a:rPr lang="it-IT" sz="1100" baseline="0"/>
            <a:t>Of course, in order to avoid "white spaces" specific forecasts can be used. Anyway, I prefer to use the former result, more helpful for my purposes. </a:t>
          </a:r>
          <a:endParaRPr lang="it-IT" sz="1100"/>
        </a:p>
      </xdr:txBody>
    </xdr:sp>
    <xdr:clientData/>
  </xdr:twoCellAnchor>
  <xdr:twoCellAnchor>
    <xdr:from>
      <xdr:col>14</xdr:col>
      <xdr:colOff>57150</xdr:colOff>
      <xdr:row>201</xdr:row>
      <xdr:rowOff>114299</xdr:rowOff>
    </xdr:from>
    <xdr:to>
      <xdr:col>18</xdr:col>
      <xdr:colOff>161925</xdr:colOff>
      <xdr:row>213</xdr:row>
      <xdr:rowOff>133349</xdr:rowOff>
    </xdr:to>
    <xdr:sp macro="" textlink="">
      <xdr:nvSpPr>
        <xdr:cNvPr id="6" name="CasellaDiTesto 5">
          <a:extLst>
            <a:ext uri="{FF2B5EF4-FFF2-40B4-BE49-F238E27FC236}">
              <a16:creationId xmlns:a16="http://schemas.microsoft.com/office/drawing/2014/main" id="{990F1BEC-0CDA-4100-A440-DE8D62347DEB}"/>
            </a:ext>
          </a:extLst>
        </xdr:cNvPr>
        <xdr:cNvSpPr txBox="1"/>
      </xdr:nvSpPr>
      <xdr:spPr>
        <a:xfrm>
          <a:off x="13011150" y="37052249"/>
          <a:ext cx="3952875" cy="2200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a:t>
          </a:r>
          <a:r>
            <a:rPr lang="it-IT" sz="1100" baseline="0"/>
            <a:t> these results I fixed total debt obtained from upside analysis (i.e. from the provided NFP/EBITDA of 2.3). </a:t>
          </a:r>
        </a:p>
        <a:p>
          <a:br>
            <a:rPr lang="it-IT" sz="1100" baseline="0"/>
          </a:br>
          <a:r>
            <a:rPr lang="it-IT" sz="1100" baseline="0"/>
            <a:t>Anyway, then I used cash positions obtained from reorganized cash flow which yields to slightly different results. </a:t>
          </a:r>
        </a:p>
        <a:p>
          <a:r>
            <a:rPr lang="it-IT" sz="1100" baseline="0"/>
            <a:t>A NFP/EBITDA of 2.21 against starting 2.3. </a:t>
          </a:r>
        </a:p>
        <a:p>
          <a:endParaRPr lang="it-IT" sz="1100" baseline="0"/>
        </a:p>
        <a:p>
          <a:r>
            <a:rPr lang="it-IT" sz="1100" baseline="0"/>
            <a:t>One direct way is represented by reducing  cash generated during the years. </a:t>
          </a:r>
        </a:p>
        <a:p>
          <a:endParaRPr lang="it-IT" sz="1100" baseline="0"/>
        </a:p>
        <a:p>
          <a:r>
            <a:rPr lang="it-IT" sz="1100" baseline="0"/>
            <a:t>My intervenction on D&amp;A and Financial items corrected this ratio to 2.28. </a:t>
          </a:r>
        </a:p>
        <a:p>
          <a:endParaRPr lang="it-IT" sz="1100" baseline="0"/>
        </a:p>
        <a:p>
          <a:endParaRPr lang="it-IT"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A2A%20con%20rati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Corporate-project-/Project/Work%20in%20progress/A2A%20Sim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Reorganised IS"/>
      <sheetName val="Trailing 12-months"/>
      <sheetName val="analysis"/>
      <sheetName val="ratio"/>
    </sheetNames>
    <sheetDataSet>
      <sheetData sheetId="0"/>
      <sheetData sheetId="1"/>
      <sheetData sheetId="2">
        <row r="77">
          <cell r="E77">
            <v>73</v>
          </cell>
          <cell r="F77">
            <v>232</v>
          </cell>
          <cell r="G77">
            <v>293</v>
          </cell>
          <cell r="H77">
            <v>344</v>
          </cell>
        </row>
      </sheetData>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Consob Reorg "/>
      <sheetName val="Trailing 12-months"/>
      <sheetName val="WACC "/>
      <sheetName val="Forecasts Simo "/>
      <sheetName val="Output forecasts simo "/>
      <sheetName val="Forecasts Gianma "/>
    </sheetNames>
    <sheetDataSet>
      <sheetData sheetId="0" refreshError="1"/>
      <sheetData sheetId="1" refreshError="1"/>
      <sheetData sheetId="2" refreshError="1"/>
      <sheetData sheetId="3" refreshError="1">
        <row r="5">
          <cell r="D5">
            <v>5067</v>
          </cell>
        </row>
        <row r="35">
          <cell r="H35">
            <v>-3651</v>
          </cell>
        </row>
        <row r="114">
          <cell r="D114">
            <v>75</v>
          </cell>
          <cell r="E114">
            <v>232</v>
          </cell>
          <cell r="F114">
            <v>293</v>
          </cell>
          <cell r="G114">
            <v>344</v>
          </cell>
          <cell r="H114">
            <v>389</v>
          </cell>
        </row>
      </sheetData>
      <sheetData sheetId="4" refreshError="1"/>
      <sheetData sheetId="5" refreshError="1"/>
      <sheetData sheetId="6" refreshError="1"/>
      <sheetData sheetId="7" refreshError="1">
        <row r="22">
          <cell r="C22">
            <v>2.1758250683779193E-2</v>
          </cell>
        </row>
      </sheetData>
      <sheetData sheetId="8" refreshError="1"/>
      <sheetData sheetId="9" refreshError="1">
        <row r="18">
          <cell r="G18">
            <v>646.49225759199862</v>
          </cell>
        </row>
        <row r="27">
          <cell r="G27">
            <v>384.67815390052436</v>
          </cell>
          <cell r="H27">
            <v>415.36648672688739</v>
          </cell>
          <cell r="I27">
            <v>461.8616445794558</v>
          </cell>
          <cell r="J27">
            <v>517.68266766890713</v>
          </cell>
          <cell r="K27">
            <v>571.2106979399332</v>
          </cell>
        </row>
      </sheetData>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583"/>
  <sheetViews>
    <sheetView topLeftCell="B1" zoomScale="84" zoomScaleNormal="84" workbookViewId="0">
      <pane xSplit="3" ySplit="3" topLeftCell="E181" activePane="bottomRight" state="frozen"/>
      <selection activeCell="B1" sqref="B1"/>
      <selection pane="topRight" activeCell="E1" sqref="E1"/>
      <selection pane="bottomLeft" activeCell="B4" sqref="B4"/>
      <selection pane="bottomRight" activeCell="K95" sqref="K95"/>
    </sheetView>
  </sheetViews>
  <sheetFormatPr defaultRowHeight="14.4"/>
  <cols>
    <col min="1" max="1" width="1.5546875" style="1" hidden="1" customWidth="1"/>
    <col min="2" max="2" width="2" style="1" customWidth="1"/>
    <col min="3" max="3" width="68.33203125" customWidth="1"/>
    <col min="4" max="4" width="54.6640625" hidden="1" customWidth="1"/>
    <col min="5" max="5" width="8.109375" style="48" bestFit="1" customWidth="1"/>
    <col min="6" max="10" width="14.33203125" style="49" bestFit="1" customWidth="1"/>
    <col min="11" max="11" width="100.109375" style="49" bestFit="1" customWidth="1"/>
    <col min="12" max="12" width="11.6640625" style="49" customWidth="1"/>
    <col min="13" max="13" width="16.109375" style="49" bestFit="1" customWidth="1"/>
    <col min="14" max="14" width="11.6640625" style="49" customWidth="1"/>
    <col min="15" max="15" width="16.109375" style="50" customWidth="1"/>
    <col min="16" max="19" width="0" hidden="1" customWidth="1"/>
    <col min="20" max="20" width="9.109375" hidden="1" customWidth="1"/>
  </cols>
  <sheetData>
    <row r="1" spans="2:144" ht="4.5" customHeight="1">
      <c r="B1" s="59"/>
      <c r="C1" s="59"/>
      <c r="D1" s="1"/>
      <c r="E1" s="247"/>
      <c r="F1" s="247"/>
      <c r="G1" s="247"/>
      <c r="H1" s="247"/>
      <c r="I1" s="247"/>
      <c r="J1" s="247"/>
      <c r="K1" s="52"/>
      <c r="L1" s="52"/>
      <c r="M1" s="104"/>
      <c r="N1" s="104"/>
      <c r="O1" s="104"/>
    </row>
    <row r="2" spans="2:144" ht="27.75" customHeight="1">
      <c r="B2" s="59"/>
      <c r="C2" s="426" t="s">
        <v>536</v>
      </c>
      <c r="D2" s="1"/>
      <c r="E2" s="913" t="s">
        <v>158</v>
      </c>
      <c r="F2" s="913"/>
      <c r="G2" s="913"/>
      <c r="H2" s="913"/>
      <c r="I2" s="913"/>
      <c r="J2" s="913"/>
      <c r="K2" s="52"/>
      <c r="L2" s="52"/>
      <c r="M2" s="104"/>
      <c r="N2" s="104"/>
      <c r="O2" s="104"/>
    </row>
    <row r="3" spans="2:144">
      <c r="B3" s="62"/>
      <c r="C3" s="62"/>
      <c r="D3" s="1"/>
      <c r="E3" s="122" t="s">
        <v>1</v>
      </c>
      <c r="F3" s="124">
        <v>42369</v>
      </c>
      <c r="G3" s="124">
        <v>42735</v>
      </c>
      <c r="H3" s="124">
        <v>43100</v>
      </c>
      <c r="I3" s="124">
        <v>43465</v>
      </c>
      <c r="J3" s="124">
        <v>43830</v>
      </c>
      <c r="K3" s="52"/>
      <c r="L3" s="52"/>
      <c r="M3" s="104"/>
      <c r="N3" s="104"/>
      <c r="O3" s="104"/>
    </row>
    <row r="4" spans="2:144" ht="30.75" customHeight="1">
      <c r="B4" s="59"/>
      <c r="C4" s="57" t="s">
        <v>0</v>
      </c>
      <c r="D4" s="60"/>
      <c r="E4" s="247"/>
      <c r="F4" s="247"/>
      <c r="G4" s="247"/>
      <c r="H4" s="247"/>
      <c r="I4" s="247"/>
      <c r="J4" s="247"/>
      <c r="K4" s="161"/>
      <c r="L4" s="161"/>
      <c r="M4" s="161"/>
      <c r="N4" s="161"/>
      <c r="O4" s="16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row>
    <row r="5" spans="2:144" ht="6.75" customHeight="1">
      <c r="B5" s="62"/>
      <c r="C5" s="122"/>
      <c r="D5" s="122"/>
      <c r="E5" s="122"/>
      <c r="F5" s="122"/>
      <c r="G5" s="122"/>
      <c r="H5" s="122"/>
      <c r="I5" s="122"/>
      <c r="J5" s="122"/>
      <c r="K5" s="52"/>
      <c r="L5" s="52"/>
      <c r="M5" s="52"/>
      <c r="N5" s="52"/>
      <c r="O5" s="52"/>
      <c r="P5" s="162" t="s">
        <v>311</v>
      </c>
      <c r="Q5" s="163" t="s">
        <v>312</v>
      </c>
      <c r="R5" s="163" t="s">
        <v>313</v>
      </c>
      <c r="S5" s="163" t="s">
        <v>314</v>
      </c>
      <c r="T5" s="162">
        <v>43921</v>
      </c>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row>
    <row r="6" spans="2:144" ht="21">
      <c r="C6" s="119" t="s">
        <v>2</v>
      </c>
      <c r="D6" s="2"/>
      <c r="E6" s="4"/>
      <c r="F6" s="194"/>
      <c r="G6" s="195"/>
      <c r="H6" s="195"/>
      <c r="I6" s="195"/>
      <c r="J6" s="195"/>
      <c r="K6" s="47"/>
      <c r="L6" s="52"/>
      <c r="M6" s="52"/>
      <c r="N6" s="52"/>
      <c r="O6" s="52"/>
      <c r="P6" s="25"/>
      <c r="Q6" s="26"/>
      <c r="R6" s="26"/>
      <c r="S6" s="26"/>
      <c r="T6" s="27"/>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row>
    <row r="7" spans="2:144" ht="19.2">
      <c r="C7" s="3" t="s">
        <v>3</v>
      </c>
      <c r="D7" s="2" t="s">
        <v>4</v>
      </c>
      <c r="E7" s="2"/>
      <c r="F7" s="194"/>
      <c r="G7" s="195"/>
      <c r="H7" s="195"/>
      <c r="I7" s="195"/>
      <c r="J7" s="195"/>
      <c r="K7" s="47"/>
      <c r="L7" s="52"/>
      <c r="M7" s="52"/>
      <c r="N7" s="52"/>
      <c r="O7" s="52"/>
      <c r="P7" s="26"/>
      <c r="Q7" s="26"/>
      <c r="R7" s="26"/>
      <c r="S7" s="26"/>
      <c r="T7" s="27"/>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row>
    <row r="8" spans="2:144">
      <c r="C8" s="5" t="s">
        <v>5</v>
      </c>
      <c r="D8" s="2" t="s">
        <v>6</v>
      </c>
      <c r="E8" s="2"/>
      <c r="F8" s="194"/>
      <c r="G8" s="195"/>
      <c r="H8" s="195"/>
      <c r="I8" s="195"/>
      <c r="J8" s="195"/>
      <c r="K8" s="47"/>
      <c r="L8" s="52"/>
      <c r="M8" s="52"/>
      <c r="N8" s="52"/>
      <c r="O8" s="52"/>
      <c r="P8" s="26"/>
      <c r="Q8" s="26"/>
      <c r="R8" s="26"/>
      <c r="S8" s="26"/>
      <c r="T8" s="27"/>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row>
    <row r="9" spans="2:144">
      <c r="C9" s="2" t="s">
        <v>7</v>
      </c>
      <c r="D9" s="2"/>
      <c r="E9" s="2"/>
      <c r="F9" s="194">
        <v>266</v>
      </c>
      <c r="G9" s="195">
        <v>235</v>
      </c>
      <c r="H9" s="195">
        <v>113</v>
      </c>
      <c r="I9" s="195">
        <v>116</v>
      </c>
      <c r="J9" s="195">
        <v>112</v>
      </c>
      <c r="K9" s="47"/>
      <c r="L9" s="52"/>
      <c r="M9" s="52"/>
      <c r="N9" s="52"/>
      <c r="O9" s="52"/>
      <c r="P9" s="29">
        <f t="shared" ref="P9:P18" si="0">SUM(H9,-G9)/G9</f>
        <v>-0.51914893617021274</v>
      </c>
      <c r="Q9" s="29">
        <f t="shared" ref="Q9:Q18" si="1">SUM(I9,-H9)/H9</f>
        <v>2.6548672566371681E-2</v>
      </c>
      <c r="R9" s="29">
        <f t="shared" ref="R9:R18" si="2">SUM(J9,-I9)/I9</f>
        <v>-3.4482758620689655E-2</v>
      </c>
      <c r="S9" s="29"/>
      <c r="T9" s="27"/>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row>
    <row r="10" spans="2:144">
      <c r="C10" s="2" t="s">
        <v>8</v>
      </c>
      <c r="D10" s="2"/>
      <c r="E10" s="2"/>
      <c r="F10" s="194">
        <v>913</v>
      </c>
      <c r="G10" s="195">
        <v>821</v>
      </c>
      <c r="H10" s="195">
        <v>606</v>
      </c>
      <c r="I10" s="195">
        <v>590</v>
      </c>
      <c r="J10" s="195">
        <v>594</v>
      </c>
      <c r="K10" s="47"/>
      <c r="L10" s="52"/>
      <c r="M10" s="52"/>
      <c r="N10" s="52"/>
      <c r="O10" s="52"/>
      <c r="P10" s="29">
        <f t="shared" si="0"/>
        <v>-0.26187576126674789</v>
      </c>
      <c r="Q10" s="29">
        <f t="shared" si="1"/>
        <v>-2.6402640264026403E-2</v>
      </c>
      <c r="R10" s="29">
        <f t="shared" si="2"/>
        <v>6.7796610169491523E-3</v>
      </c>
      <c r="S10" s="29"/>
      <c r="T10" s="27"/>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row>
    <row r="11" spans="2:144">
      <c r="C11" s="2" t="s">
        <v>9</v>
      </c>
      <c r="D11" s="2"/>
      <c r="E11" s="2"/>
      <c r="F11" s="194">
        <v>3608</v>
      </c>
      <c r="G11" s="195">
        <v>3703</v>
      </c>
      <c r="H11" s="195">
        <v>3459</v>
      </c>
      <c r="I11" s="195">
        <v>3460</v>
      </c>
      <c r="J11" s="195">
        <v>3591</v>
      </c>
      <c r="K11" s="47"/>
      <c r="L11" s="52"/>
      <c r="M11" s="52"/>
      <c r="N11" s="52"/>
      <c r="O11" s="52"/>
      <c r="P11" s="29">
        <f t="shared" si="0"/>
        <v>-6.5892519578719957E-2</v>
      </c>
      <c r="Q11" s="29">
        <f t="shared" si="1"/>
        <v>2.8910089621277829E-4</v>
      </c>
      <c r="R11" s="29">
        <f t="shared" si="2"/>
        <v>3.786127167630058E-2</v>
      </c>
      <c r="S11" s="29"/>
      <c r="T11" s="27"/>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row>
    <row r="12" spans="2:144">
      <c r="C12" s="2" t="s">
        <v>10</v>
      </c>
      <c r="D12" s="2"/>
      <c r="E12" s="2"/>
      <c r="F12" s="194">
        <v>24</v>
      </c>
      <c r="G12" s="195">
        <v>33</v>
      </c>
      <c r="H12" s="195">
        <v>36</v>
      </c>
      <c r="I12" s="195">
        <v>38</v>
      </c>
      <c r="J12" s="195">
        <v>45</v>
      </c>
      <c r="K12" s="47"/>
      <c r="L12" s="52"/>
      <c r="M12" s="52"/>
      <c r="N12" s="52"/>
      <c r="O12" s="52"/>
      <c r="P12" s="29">
        <f t="shared" si="0"/>
        <v>9.0909090909090912E-2</v>
      </c>
      <c r="Q12" s="29">
        <f t="shared" si="1"/>
        <v>5.5555555555555552E-2</v>
      </c>
      <c r="R12" s="29">
        <f t="shared" si="2"/>
        <v>0.18421052631578946</v>
      </c>
      <c r="S12" s="29"/>
      <c r="T12" s="27"/>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row>
    <row r="13" spans="2:144">
      <c r="C13" s="2" t="s">
        <v>11</v>
      </c>
      <c r="D13" s="2"/>
      <c r="E13" s="2"/>
      <c r="F13" s="194">
        <v>56</v>
      </c>
      <c r="G13" s="195">
        <v>72</v>
      </c>
      <c r="H13" s="195">
        <v>98</v>
      </c>
      <c r="I13" s="195">
        <v>120</v>
      </c>
      <c r="J13" s="195">
        <v>127</v>
      </c>
      <c r="K13" s="47"/>
      <c r="L13" s="52"/>
      <c r="M13" s="52"/>
      <c r="N13" s="52"/>
      <c r="O13" s="52"/>
      <c r="P13" s="29">
        <f t="shared" si="0"/>
        <v>0.3611111111111111</v>
      </c>
      <c r="Q13" s="29">
        <f t="shared" si="1"/>
        <v>0.22448979591836735</v>
      </c>
      <c r="R13" s="29">
        <f t="shared" si="2"/>
        <v>5.8333333333333334E-2</v>
      </c>
      <c r="S13" s="29"/>
      <c r="T13" s="27"/>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row>
    <row r="14" spans="2:144">
      <c r="C14" s="2" t="s">
        <v>12</v>
      </c>
      <c r="D14" s="2"/>
      <c r="E14" s="2"/>
      <c r="F14" s="194">
        <v>23</v>
      </c>
      <c r="G14" s="195">
        <v>73</v>
      </c>
      <c r="H14" s="195">
        <v>66</v>
      </c>
      <c r="I14" s="195">
        <v>66</v>
      </c>
      <c r="J14" s="195">
        <v>28</v>
      </c>
      <c r="K14" s="47"/>
      <c r="L14" s="52"/>
      <c r="M14" s="52"/>
      <c r="N14" s="52"/>
      <c r="O14" s="52"/>
      <c r="P14" s="29">
        <f t="shared" si="0"/>
        <v>-9.5890410958904104E-2</v>
      </c>
      <c r="Q14" s="29">
        <f t="shared" si="1"/>
        <v>0</v>
      </c>
      <c r="R14" s="29">
        <f t="shared" si="2"/>
        <v>-0.5757575757575758</v>
      </c>
      <c r="S14" s="29"/>
      <c r="T14" s="27"/>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row>
    <row r="15" spans="2:144">
      <c r="C15" s="2" t="s">
        <v>13</v>
      </c>
      <c r="D15" s="2"/>
      <c r="E15" s="2"/>
      <c r="F15" s="194">
        <v>103</v>
      </c>
      <c r="G15" s="195">
        <v>101</v>
      </c>
      <c r="H15" s="195">
        <v>95</v>
      </c>
      <c r="I15" s="195">
        <v>85</v>
      </c>
      <c r="J15" s="195">
        <v>131</v>
      </c>
      <c r="K15" s="47"/>
      <c r="L15" s="104"/>
      <c r="M15" s="52"/>
      <c r="N15" s="52"/>
      <c r="O15" s="52"/>
      <c r="P15" s="29">
        <f t="shared" si="0"/>
        <v>-5.9405940594059403E-2</v>
      </c>
      <c r="Q15" s="29">
        <f t="shared" si="1"/>
        <v>-0.10526315789473684</v>
      </c>
      <c r="R15" s="29">
        <f t="shared" si="2"/>
        <v>0.54117647058823526</v>
      </c>
      <c r="S15" s="29"/>
      <c r="T15" s="27"/>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row>
    <row r="16" spans="2:144">
      <c r="C16" s="2" t="s">
        <v>14</v>
      </c>
      <c r="D16" s="2"/>
      <c r="E16" s="2"/>
      <c r="F16" s="194">
        <v>72</v>
      </c>
      <c r="G16" s="195">
        <v>82</v>
      </c>
      <c r="H16" s="195">
        <v>83</v>
      </c>
      <c r="I16" s="195">
        <v>91</v>
      </c>
      <c r="J16" s="195">
        <v>101</v>
      </c>
      <c r="K16" s="47"/>
      <c r="L16" s="52"/>
      <c r="M16" s="52"/>
      <c r="N16" s="52"/>
      <c r="O16" s="52"/>
      <c r="P16" s="29">
        <f t="shared" si="0"/>
        <v>1.2195121951219513E-2</v>
      </c>
      <c r="Q16" s="29">
        <f t="shared" si="1"/>
        <v>9.6385542168674704E-2</v>
      </c>
      <c r="R16" s="29">
        <f t="shared" si="2"/>
        <v>0.10989010989010989</v>
      </c>
      <c r="S16" s="29"/>
      <c r="T16" s="27"/>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row>
    <row r="17" spans="3:144">
      <c r="C17" s="2" t="s">
        <v>15</v>
      </c>
      <c r="D17" s="2"/>
      <c r="E17" s="2"/>
      <c r="F17" s="194">
        <v>2</v>
      </c>
      <c r="G17" s="195">
        <v>9</v>
      </c>
      <c r="H17" s="195">
        <v>50</v>
      </c>
      <c r="I17" s="195">
        <v>54</v>
      </c>
      <c r="J17" s="195">
        <v>140</v>
      </c>
      <c r="K17" s="47"/>
      <c r="L17" s="52"/>
      <c r="M17" s="52"/>
      <c r="N17" s="52"/>
      <c r="O17" s="52"/>
      <c r="P17" s="29">
        <f t="shared" si="0"/>
        <v>4.5555555555555554</v>
      </c>
      <c r="Q17" s="29">
        <f t="shared" si="1"/>
        <v>0.08</v>
      </c>
      <c r="R17" s="29">
        <f t="shared" si="2"/>
        <v>1.5925925925925926</v>
      </c>
      <c r="S17" s="29"/>
      <c r="T17" s="30"/>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row>
    <row r="18" spans="3:144">
      <c r="C18" s="7" t="s">
        <v>16</v>
      </c>
      <c r="D18" s="8"/>
      <c r="E18" s="9"/>
      <c r="F18" s="196">
        <f t="shared" ref="F18:G18" si="3">SUM(F9:F17)</f>
        <v>5067</v>
      </c>
      <c r="G18" s="196">
        <f t="shared" si="3"/>
        <v>5129</v>
      </c>
      <c r="H18" s="197">
        <f>SUM(H9:H17)</f>
        <v>4606</v>
      </c>
      <c r="I18" s="197">
        <f>SUM(I9:I17)</f>
        <v>4620</v>
      </c>
      <c r="J18" s="197">
        <f>SUM(J9:J17)</f>
        <v>4869</v>
      </c>
      <c r="K18" s="47"/>
      <c r="L18" s="52"/>
      <c r="M18" s="52"/>
      <c r="N18" s="52"/>
      <c r="O18" s="52"/>
      <c r="P18" s="31">
        <f t="shared" si="0"/>
        <v>-0.10196919477480991</v>
      </c>
      <c r="Q18" s="31">
        <f t="shared" si="1"/>
        <v>3.0395136778115501E-3</v>
      </c>
      <c r="R18" s="31">
        <f t="shared" si="2"/>
        <v>5.3896103896103893E-2</v>
      </c>
      <c r="S18" s="31">
        <f>SUM(T18,-J18)/J18</f>
        <v>9.8582871226124465E-3</v>
      </c>
      <c r="T18" s="32">
        <v>4917</v>
      </c>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row>
    <row r="19" spans="3:144">
      <c r="C19" s="11" t="s">
        <v>17</v>
      </c>
      <c r="D19" s="11"/>
      <c r="E19" s="11"/>
      <c r="F19" s="198"/>
      <c r="G19" s="199"/>
      <c r="H19" s="199"/>
      <c r="I19" s="199"/>
      <c r="J19" s="199"/>
      <c r="K19" s="47"/>
      <c r="L19" s="52"/>
      <c r="M19" s="52"/>
      <c r="N19" s="52"/>
      <c r="O19" s="52"/>
      <c r="P19" s="33"/>
      <c r="Q19" s="33"/>
      <c r="R19" s="33"/>
      <c r="S19" s="33"/>
      <c r="T19" s="34"/>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row>
    <row r="20" spans="3:144">
      <c r="C20" s="11" t="s">
        <v>18</v>
      </c>
      <c r="D20" s="11"/>
      <c r="E20" s="11"/>
      <c r="F20" s="198">
        <v>9838</v>
      </c>
      <c r="G20" s="199">
        <v>10421</v>
      </c>
      <c r="H20" s="199">
        <v>10070</v>
      </c>
      <c r="I20" s="199">
        <v>10520</v>
      </c>
      <c r="J20" s="199">
        <v>11065</v>
      </c>
      <c r="K20" s="47"/>
      <c r="L20" s="52"/>
      <c r="M20" s="52"/>
      <c r="N20" s="52"/>
      <c r="O20" s="52"/>
      <c r="P20" s="33">
        <f t="shared" ref="P20:R22" si="4">SUM(H20,-G20)/G20</f>
        <v>-3.3681988292870169E-2</v>
      </c>
      <c r="Q20" s="33">
        <f t="shared" si="4"/>
        <v>4.4687189672293945E-2</v>
      </c>
      <c r="R20" s="33">
        <f t="shared" si="4"/>
        <v>5.1806083650190113E-2</v>
      </c>
      <c r="S20" s="33">
        <f>SUM(T20,-J20)/J20</f>
        <v>-1</v>
      </c>
      <c r="T20" s="34"/>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row>
    <row r="21" spans="3:144">
      <c r="C21" s="11" t="s">
        <v>19</v>
      </c>
      <c r="D21" s="11"/>
      <c r="E21" s="11"/>
      <c r="F21" s="198">
        <v>-4253</v>
      </c>
      <c r="G21" s="199">
        <v>-4553</v>
      </c>
      <c r="H21" s="199">
        <v>-4725</v>
      </c>
      <c r="I21" s="199">
        <v>-5045</v>
      </c>
      <c r="J21" s="199">
        <v>-5376</v>
      </c>
      <c r="K21" s="47"/>
      <c r="L21" s="52"/>
      <c r="M21" s="52"/>
      <c r="N21" s="52"/>
      <c r="O21" s="52"/>
      <c r="P21" s="33">
        <f t="shared" si="4"/>
        <v>3.7777289699099492E-2</v>
      </c>
      <c r="Q21" s="33">
        <f t="shared" si="4"/>
        <v>6.7724867724867729E-2</v>
      </c>
      <c r="R21" s="33">
        <f t="shared" si="4"/>
        <v>6.5609514370664021E-2</v>
      </c>
      <c r="S21" s="33">
        <f>SUM(T21,-J21)/J21</f>
        <v>-1</v>
      </c>
      <c r="T21" s="34"/>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row>
    <row r="22" spans="3:144">
      <c r="C22" s="11" t="s">
        <v>20</v>
      </c>
      <c r="D22" s="11"/>
      <c r="E22" s="11"/>
      <c r="F22" s="198">
        <v>-518</v>
      </c>
      <c r="G22" s="199">
        <v>-739</v>
      </c>
      <c r="H22" s="199">
        <v>-739</v>
      </c>
      <c r="I22" s="199">
        <v>-855</v>
      </c>
      <c r="J22" s="199">
        <v>-820</v>
      </c>
      <c r="K22" s="47"/>
      <c r="L22" s="52"/>
      <c r="M22" s="52"/>
      <c r="N22" s="52"/>
      <c r="O22" s="52"/>
      <c r="P22" s="33">
        <f t="shared" si="4"/>
        <v>0</v>
      </c>
      <c r="Q22" s="33">
        <f t="shared" si="4"/>
        <v>0.15696887686062247</v>
      </c>
      <c r="R22" s="33">
        <f t="shared" si="4"/>
        <v>-4.0935672514619881E-2</v>
      </c>
      <c r="S22" s="33">
        <f>SUM(T22,-J22)/J22</f>
        <v>-1</v>
      </c>
      <c r="T22" s="34"/>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row>
    <row r="23" spans="3:144">
      <c r="C23" s="5" t="s">
        <v>21</v>
      </c>
      <c r="D23" s="2" t="s">
        <v>22</v>
      </c>
      <c r="E23" s="2"/>
      <c r="F23" s="194"/>
      <c r="G23" s="195"/>
      <c r="H23" s="195"/>
      <c r="I23" s="195"/>
      <c r="J23" s="195"/>
      <c r="K23" s="47"/>
      <c r="L23" s="52"/>
      <c r="M23" s="52"/>
      <c r="N23" s="52"/>
      <c r="O23" s="52"/>
      <c r="P23" s="29"/>
      <c r="Q23" s="29"/>
      <c r="R23" s="29"/>
      <c r="S23" s="29"/>
      <c r="T23" s="27"/>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row>
    <row r="24" spans="3:144">
      <c r="C24" s="2" t="s">
        <v>23</v>
      </c>
      <c r="D24" s="2"/>
      <c r="E24" s="2"/>
      <c r="F24" s="194">
        <v>26</v>
      </c>
      <c r="G24" s="195">
        <v>21</v>
      </c>
      <c r="H24" s="195">
        <v>19</v>
      </c>
      <c r="I24" s="195">
        <v>24</v>
      </c>
      <c r="J24" s="195">
        <v>31</v>
      </c>
      <c r="K24" s="47"/>
      <c r="L24" s="52"/>
      <c r="M24" s="52"/>
      <c r="N24" s="52"/>
      <c r="O24" s="52"/>
      <c r="P24" s="29">
        <f t="shared" ref="P24:R29" si="5">SUM(H24,-G24)/G24</f>
        <v>-9.5238095238095233E-2</v>
      </c>
      <c r="Q24" s="29">
        <f t="shared" si="5"/>
        <v>0.26315789473684209</v>
      </c>
      <c r="R24" s="29">
        <f t="shared" si="5"/>
        <v>0.29166666666666669</v>
      </c>
      <c r="S24" s="29"/>
      <c r="T24" s="27"/>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row>
    <row r="25" spans="3:144">
      <c r="C25" s="2" t="s">
        <v>24</v>
      </c>
      <c r="D25" s="2"/>
      <c r="E25" s="2"/>
      <c r="F25" s="194">
        <v>799</v>
      </c>
      <c r="G25" s="195">
        <v>1046</v>
      </c>
      <c r="H25" s="195">
        <v>1130</v>
      </c>
      <c r="I25" s="195">
        <v>1502</v>
      </c>
      <c r="J25" s="195">
        <v>1616</v>
      </c>
      <c r="K25" s="47"/>
      <c r="L25" s="52"/>
      <c r="M25" s="52"/>
      <c r="N25" s="52"/>
      <c r="O25" s="52"/>
      <c r="P25" s="29">
        <f t="shared" si="5"/>
        <v>8.0305927342256209E-2</v>
      </c>
      <c r="Q25" s="29">
        <f t="shared" si="5"/>
        <v>0.32920353982300887</v>
      </c>
      <c r="R25" s="29">
        <f t="shared" si="5"/>
        <v>7.5898801597869506E-2</v>
      </c>
      <c r="S25" s="29"/>
      <c r="T25" s="27"/>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row>
    <row r="26" spans="3:144">
      <c r="C26" s="2" t="s">
        <v>25</v>
      </c>
      <c r="D26" s="2"/>
      <c r="E26" s="2"/>
      <c r="F26" s="194">
        <v>20</v>
      </c>
      <c r="G26" s="195">
        <v>500</v>
      </c>
      <c r="H26" s="195">
        <v>457</v>
      </c>
      <c r="I26" s="195">
        <v>444</v>
      </c>
      <c r="J26" s="195">
        <v>374</v>
      </c>
      <c r="K26" s="47"/>
      <c r="L26" s="52"/>
      <c r="M26" s="52"/>
      <c r="N26" s="52"/>
      <c r="O26" s="52"/>
      <c r="P26" s="29">
        <f t="shared" si="5"/>
        <v>-8.5999999999999993E-2</v>
      </c>
      <c r="Q26" s="29">
        <f t="shared" si="5"/>
        <v>-2.8446389496717725E-2</v>
      </c>
      <c r="R26" s="29">
        <f t="shared" si="5"/>
        <v>-0.15765765765765766</v>
      </c>
      <c r="S26" s="29"/>
      <c r="T26" s="27"/>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row>
    <row r="27" spans="3:144">
      <c r="C27" s="2" t="s">
        <v>26</v>
      </c>
      <c r="D27" s="2"/>
      <c r="E27" s="2"/>
      <c r="F27" s="194">
        <v>21</v>
      </c>
      <c r="G27" s="195">
        <v>26</v>
      </c>
      <c r="H27" s="195">
        <v>40</v>
      </c>
      <c r="I27" s="195">
        <v>44</v>
      </c>
      <c r="J27" s="195">
        <v>62</v>
      </c>
      <c r="K27" s="47"/>
      <c r="L27" s="52"/>
      <c r="M27" s="52"/>
      <c r="N27" s="52"/>
      <c r="O27" s="52"/>
      <c r="P27" s="29">
        <f t="shared" si="5"/>
        <v>0.53846153846153844</v>
      </c>
      <c r="Q27" s="29">
        <f t="shared" si="5"/>
        <v>0.1</v>
      </c>
      <c r="R27" s="29">
        <f t="shared" si="5"/>
        <v>0.40909090909090912</v>
      </c>
      <c r="S27" s="29"/>
      <c r="T27" s="27"/>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row>
    <row r="28" spans="3:144">
      <c r="C28" s="2" t="s">
        <v>27</v>
      </c>
      <c r="D28" s="2"/>
      <c r="E28" s="2"/>
      <c r="F28" s="194">
        <v>482</v>
      </c>
      <c r="G28" s="195">
        <v>111</v>
      </c>
      <c r="H28" s="195">
        <v>217</v>
      </c>
      <c r="I28" s="195">
        <v>288</v>
      </c>
      <c r="J28" s="195">
        <v>296</v>
      </c>
      <c r="K28" s="47"/>
      <c r="L28" s="52"/>
      <c r="M28" s="52"/>
      <c r="N28" s="52"/>
      <c r="O28" s="52"/>
      <c r="P28" s="29">
        <f t="shared" si="5"/>
        <v>0.95495495495495497</v>
      </c>
      <c r="Q28" s="29">
        <f t="shared" si="5"/>
        <v>0.32718894009216593</v>
      </c>
      <c r="R28" s="29">
        <f t="shared" si="5"/>
        <v>2.7777777777777776E-2</v>
      </c>
      <c r="S28" s="29"/>
      <c r="T28" s="27"/>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row>
    <row r="29" spans="3:144">
      <c r="C29" s="7" t="s">
        <v>16</v>
      </c>
      <c r="D29" s="9"/>
      <c r="E29" s="9"/>
      <c r="F29" s="196">
        <f t="shared" ref="F29:G29" si="6">SUM(F24:F28)</f>
        <v>1348</v>
      </c>
      <c r="G29" s="197">
        <f t="shared" si="6"/>
        <v>1704</v>
      </c>
      <c r="H29" s="197">
        <f>SUM(H24:H28)</f>
        <v>1863</v>
      </c>
      <c r="I29" s="197">
        <f>SUM(I24:I28)</f>
        <v>2302</v>
      </c>
      <c r="J29" s="197">
        <f>SUM(J24:J28)</f>
        <v>2379</v>
      </c>
      <c r="K29" s="47"/>
      <c r="L29" s="52"/>
      <c r="M29" s="52"/>
      <c r="N29" s="52"/>
      <c r="O29" s="52"/>
      <c r="P29" s="31">
        <f t="shared" si="5"/>
        <v>9.3309859154929578E-2</v>
      </c>
      <c r="Q29" s="31">
        <f t="shared" si="5"/>
        <v>0.23564143853998926</v>
      </c>
      <c r="R29" s="31">
        <f t="shared" si="5"/>
        <v>3.3449174630755862E-2</v>
      </c>
      <c r="S29" s="31">
        <f>SUM(T29,-J29)/J29</f>
        <v>2.1017234131988232E-2</v>
      </c>
      <c r="T29" s="32">
        <v>2429</v>
      </c>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row>
    <row r="30" spans="3:144">
      <c r="C30" s="5" t="s">
        <v>28</v>
      </c>
      <c r="D30" s="2"/>
      <c r="E30" s="2"/>
      <c r="F30" s="194"/>
      <c r="G30" s="195"/>
      <c r="H30" s="195"/>
      <c r="I30" s="195"/>
      <c r="J30" s="195"/>
      <c r="K30" s="47"/>
      <c r="L30" s="52"/>
      <c r="M30" s="52"/>
      <c r="N30" s="52"/>
      <c r="O30" s="52"/>
      <c r="P30" s="29"/>
      <c r="Q30" s="29"/>
      <c r="R30" s="29"/>
      <c r="S30" s="29"/>
      <c r="T30" s="27"/>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row>
    <row r="31" spans="3:144">
      <c r="C31" s="2" t="s">
        <v>29</v>
      </c>
      <c r="D31" s="2" t="s">
        <v>30</v>
      </c>
      <c r="E31" s="2"/>
      <c r="F31" s="194">
        <v>68</v>
      </c>
      <c r="G31" s="195">
        <v>67</v>
      </c>
      <c r="H31" s="195">
        <v>63</v>
      </c>
      <c r="I31" s="195">
        <v>16</v>
      </c>
      <c r="J31" s="195">
        <v>38</v>
      </c>
      <c r="K31" s="47"/>
      <c r="L31" s="52"/>
      <c r="M31" s="52"/>
      <c r="N31" s="52"/>
      <c r="O31" s="52"/>
      <c r="P31" s="29">
        <f t="shared" ref="P31:R33" si="7">SUM(H31,-G31)/G31</f>
        <v>-5.9701492537313432E-2</v>
      </c>
      <c r="Q31" s="29">
        <f t="shared" si="7"/>
        <v>-0.74603174603174605</v>
      </c>
      <c r="R31" s="29">
        <f t="shared" si="7"/>
        <v>1.375</v>
      </c>
      <c r="S31" s="29">
        <f>SUM(T31,-J31)/J31</f>
        <v>-0.36842105263157893</v>
      </c>
      <c r="T31" s="27">
        <v>24</v>
      </c>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row>
    <row r="32" spans="3:144">
      <c r="C32" s="2" t="s">
        <v>31</v>
      </c>
      <c r="D32" s="2" t="s">
        <v>32</v>
      </c>
      <c r="E32" s="2"/>
      <c r="F32" s="194">
        <v>69</v>
      </c>
      <c r="G32" s="195">
        <v>69</v>
      </c>
      <c r="H32" s="195">
        <v>44</v>
      </c>
      <c r="I32" s="195">
        <v>29</v>
      </c>
      <c r="J32" s="195">
        <v>27</v>
      </c>
      <c r="K32" s="47"/>
      <c r="L32" s="52"/>
      <c r="M32" s="52"/>
      <c r="N32" s="52"/>
      <c r="O32" s="52"/>
      <c r="P32" s="29">
        <f t="shared" si="7"/>
        <v>-0.36231884057971014</v>
      </c>
      <c r="Q32" s="29">
        <f t="shared" si="7"/>
        <v>-0.34090909090909088</v>
      </c>
      <c r="R32" s="29">
        <f t="shared" si="7"/>
        <v>-6.8965517241379309E-2</v>
      </c>
      <c r="S32" s="29">
        <f>SUM(T32,-J32)/J32</f>
        <v>1.6296296296296295</v>
      </c>
      <c r="T32" s="27">
        <v>71</v>
      </c>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row>
    <row r="33" spans="3:144">
      <c r="C33" s="7" t="s">
        <v>16</v>
      </c>
      <c r="D33" s="9"/>
      <c r="E33" s="9"/>
      <c r="F33" s="196">
        <f ca="1">SUM(F31:F33)</f>
        <v>137</v>
      </c>
      <c r="G33" s="197">
        <f ca="1">SUM(G31:G33)</f>
        <v>136</v>
      </c>
      <c r="H33" s="197">
        <f ca="1">SUM(H31:H33)</f>
        <v>107</v>
      </c>
      <c r="I33" s="197">
        <f ca="1">SUM(I31:I33)</f>
        <v>45</v>
      </c>
      <c r="J33" s="197">
        <f ca="1">SUM(J31:J33)</f>
        <v>65</v>
      </c>
      <c r="K33" s="47"/>
      <c r="L33" s="52"/>
      <c r="M33" s="52"/>
      <c r="N33" s="52"/>
      <c r="O33" s="52"/>
      <c r="P33" s="31">
        <f t="shared" ca="1" si="7"/>
        <v>-0.21323529411764705</v>
      </c>
      <c r="Q33" s="31">
        <f t="shared" ca="1" si="7"/>
        <v>-0.57943925233644855</v>
      </c>
      <c r="R33" s="31">
        <f t="shared" ca="1" si="7"/>
        <v>0.44444444444444442</v>
      </c>
      <c r="S33" s="31">
        <f ca="1">SUM(T33,-J33)/J33</f>
        <v>0.46153846153846156</v>
      </c>
      <c r="T33" s="32">
        <f>SUM(T31:T32)</f>
        <v>95</v>
      </c>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row>
    <row r="34" spans="3:144">
      <c r="C34" s="11" t="s">
        <v>316</v>
      </c>
      <c r="D34" s="159"/>
      <c r="E34" s="164"/>
      <c r="F34" s="200">
        <v>57</v>
      </c>
      <c r="G34" s="201">
        <v>56</v>
      </c>
      <c r="H34" s="201">
        <v>36</v>
      </c>
      <c r="I34" s="201">
        <v>22</v>
      </c>
      <c r="J34" s="201">
        <v>20</v>
      </c>
      <c r="K34" s="47"/>
      <c r="L34" s="52"/>
      <c r="M34" s="52"/>
      <c r="N34" s="52"/>
      <c r="O34" s="52"/>
      <c r="P34" s="53">
        <f>SUM(H37,-G37)/G37</f>
        <v>-0.11730205278592376</v>
      </c>
      <c r="Q34" s="53">
        <f>SUM(I37,-H37)/H37</f>
        <v>-0.12292358803986711</v>
      </c>
      <c r="R34" s="53">
        <f>SUM(J37,-I37)/I37</f>
        <v>4.924242424242424E-2</v>
      </c>
      <c r="S34" s="53">
        <f>SUM(T34,-J37)/J37</f>
        <v>3.2490974729241874E-2</v>
      </c>
      <c r="T34" s="54">
        <v>286</v>
      </c>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row>
    <row r="35" spans="3:144">
      <c r="C35" s="1"/>
      <c r="D35" s="1"/>
      <c r="E35" s="52"/>
      <c r="F35" s="202"/>
      <c r="G35" s="203"/>
      <c r="H35" s="203"/>
      <c r="I35" s="203"/>
      <c r="J35" s="203"/>
      <c r="K35" s="47"/>
      <c r="L35" s="52"/>
      <c r="M35" s="52"/>
      <c r="N35" s="52"/>
      <c r="O35" s="52"/>
      <c r="P35" s="29"/>
      <c r="Q35" s="29"/>
      <c r="R35" s="29"/>
      <c r="S35" s="29"/>
      <c r="T35" s="27"/>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row>
    <row r="36" spans="3:144">
      <c r="E36" s="52"/>
      <c r="F36" s="204"/>
      <c r="G36" s="205"/>
      <c r="H36" s="205"/>
      <c r="I36" s="205"/>
      <c r="J36" s="205"/>
      <c r="K36" s="50"/>
      <c r="L36" s="52"/>
      <c r="M36" s="52"/>
      <c r="N36" s="52"/>
      <c r="O36" s="52"/>
      <c r="P36" s="29">
        <f>SUM(H39,-G39)/G39</f>
        <v>-1</v>
      </c>
      <c r="Q36" s="29"/>
      <c r="R36" s="29">
        <f>SUM(J39,-I39)/I39</f>
        <v>-0.75</v>
      </c>
      <c r="S36" s="29"/>
      <c r="T36" s="27"/>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row>
    <row r="37" spans="3:144">
      <c r="C37" s="5" t="s">
        <v>33</v>
      </c>
      <c r="D37" s="2" t="s">
        <v>34</v>
      </c>
      <c r="E37" s="2"/>
      <c r="F37" s="206">
        <v>308</v>
      </c>
      <c r="G37" s="207">
        <v>341</v>
      </c>
      <c r="H37" s="207">
        <v>301</v>
      </c>
      <c r="I37" s="207">
        <v>264</v>
      </c>
      <c r="J37" s="207">
        <v>277</v>
      </c>
      <c r="K37" s="47"/>
      <c r="L37" s="52"/>
      <c r="M37" s="52"/>
      <c r="N37" s="52"/>
      <c r="O37" s="52"/>
      <c r="P37" s="29">
        <f>SUM(H40,-G40)/G40</f>
        <v>0</v>
      </c>
      <c r="Q37" s="29">
        <f>SUM(I40,-H40)/H40</f>
        <v>0.5</v>
      </c>
      <c r="R37" s="29">
        <f>SUM(J40,-I40)/I40</f>
        <v>0.91666666666666663</v>
      </c>
      <c r="S37" s="29"/>
      <c r="T37" s="27"/>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row>
    <row r="38" spans="3:144">
      <c r="C38" s="5" t="s">
        <v>35</v>
      </c>
      <c r="D38" s="2" t="s">
        <v>32</v>
      </c>
      <c r="E38" s="2"/>
      <c r="F38" s="194"/>
      <c r="G38" s="195"/>
      <c r="H38" s="195"/>
      <c r="I38" s="195"/>
      <c r="J38" s="195"/>
      <c r="K38" s="47"/>
      <c r="L38" s="52"/>
      <c r="M38" s="52"/>
      <c r="N38" s="52"/>
      <c r="O38" s="52"/>
      <c r="P38" s="31">
        <f>SUM(H42,-G42)/G42</f>
        <v>-0.33333333333333331</v>
      </c>
      <c r="Q38" s="31">
        <f>SUM(I42,-H42)/H42</f>
        <v>1.5</v>
      </c>
      <c r="R38" s="31">
        <f>SUM(J42,-I42)/I42</f>
        <v>0.25</v>
      </c>
      <c r="S38" s="31">
        <f>SUM(T38,-J42)/J42</f>
        <v>0.12</v>
      </c>
      <c r="T38" s="35">
        <v>28</v>
      </c>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row>
    <row r="39" spans="3:144">
      <c r="C39" s="2" t="s">
        <v>36</v>
      </c>
      <c r="D39" s="2"/>
      <c r="E39" s="2"/>
      <c r="F39" s="176">
        <v>0</v>
      </c>
      <c r="G39" s="195">
        <v>4</v>
      </c>
      <c r="H39" s="177">
        <v>0</v>
      </c>
      <c r="I39" s="195">
        <v>8</v>
      </c>
      <c r="J39" s="195">
        <v>2</v>
      </c>
      <c r="K39" s="47"/>
      <c r="L39" s="52"/>
      <c r="M39" s="52"/>
      <c r="N39" s="52"/>
      <c r="O39" s="52"/>
      <c r="P39" s="36">
        <f ca="1">SUM(H46,-G46)/G46</f>
        <v>-5.9683146681234638E-2</v>
      </c>
      <c r="Q39" s="36">
        <f ca="1">SUM(I46,-H46)/H46</f>
        <v>5.3159041394335513E-2</v>
      </c>
      <c r="R39" s="36">
        <f ca="1">SUM(J46,-I46)/I46</f>
        <v>5.019997241759757E-2</v>
      </c>
      <c r="S39" s="36">
        <f ca="1">SUM(T39,-J46)/J46</f>
        <v>1.8384766907419567E-2</v>
      </c>
      <c r="T39" s="37">
        <f>SUM(T18,T29,T33,T34,T38)</f>
        <v>7755</v>
      </c>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row>
    <row r="40" spans="3:144">
      <c r="C40" s="2" t="s">
        <v>37</v>
      </c>
      <c r="D40" s="2"/>
      <c r="E40" s="2"/>
      <c r="F40" s="194">
        <v>6</v>
      </c>
      <c r="G40" s="195">
        <v>8</v>
      </c>
      <c r="H40" s="195">
        <v>8</v>
      </c>
      <c r="I40" s="195">
        <v>12</v>
      </c>
      <c r="J40" s="195">
        <v>23</v>
      </c>
      <c r="K40" s="47"/>
      <c r="L40" s="104"/>
      <c r="M40" s="52"/>
      <c r="N40" s="52"/>
      <c r="O40" s="52"/>
      <c r="P40" s="29"/>
      <c r="Q40" s="29"/>
      <c r="R40" s="29"/>
      <c r="S40" s="29"/>
      <c r="T40" s="27"/>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row>
    <row r="41" spans="3:144">
      <c r="E41" s="52"/>
      <c r="F41" s="204"/>
      <c r="G41" s="205"/>
      <c r="H41" s="205"/>
      <c r="I41" s="205"/>
      <c r="J41" s="205"/>
      <c r="K41" s="47"/>
      <c r="L41" s="52"/>
      <c r="M41" s="52"/>
      <c r="N41" s="52"/>
      <c r="O41" s="52"/>
      <c r="P41" s="29"/>
      <c r="Q41" s="29"/>
      <c r="R41" s="29"/>
      <c r="S41" s="29"/>
      <c r="T41" s="27"/>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row>
    <row r="42" spans="3:144">
      <c r="C42" s="7" t="s">
        <v>16</v>
      </c>
      <c r="D42" s="9"/>
      <c r="E42" s="10"/>
      <c r="F42" s="196">
        <f>SUM(F39:F40)</f>
        <v>6</v>
      </c>
      <c r="G42" s="197">
        <f>SUM(G39:G40)</f>
        <v>12</v>
      </c>
      <c r="H42" s="197">
        <f>SUM(H39:H40)</f>
        <v>8</v>
      </c>
      <c r="I42" s="197">
        <f>SUM(I39:I40)</f>
        <v>20</v>
      </c>
      <c r="J42" s="197">
        <f>SUM(J39:J40)</f>
        <v>25</v>
      </c>
      <c r="K42" s="47"/>
      <c r="L42" s="52"/>
      <c r="M42" s="52"/>
      <c r="N42" s="52"/>
      <c r="O42" s="52"/>
      <c r="P42" s="29"/>
      <c r="Q42" s="29"/>
      <c r="R42" s="29"/>
      <c r="S42" s="29"/>
      <c r="T42" s="27"/>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row>
    <row r="43" spans="3:144">
      <c r="C43" s="11" t="s">
        <v>316</v>
      </c>
      <c r="D43" s="11"/>
      <c r="E43" s="11"/>
      <c r="F43" s="189">
        <v>0</v>
      </c>
      <c r="G43" s="199">
        <v>4</v>
      </c>
      <c r="H43" s="190">
        <v>0</v>
      </c>
      <c r="I43" s="199">
        <v>8</v>
      </c>
      <c r="J43" s="199">
        <v>2</v>
      </c>
      <c r="K43" s="47"/>
      <c r="L43" s="52"/>
      <c r="M43" s="52"/>
      <c r="N43" s="52"/>
      <c r="O43" s="52"/>
      <c r="P43" s="29">
        <f t="shared" ref="P43:R50" si="8">SUM(H50,-G50)/G50</f>
        <v>-0.26041666666666669</v>
      </c>
      <c r="Q43" s="29">
        <f t="shared" si="8"/>
        <v>-2.8169014084507043E-2</v>
      </c>
      <c r="R43" s="29">
        <f t="shared" si="8"/>
        <v>8.6956521739130432E-2</v>
      </c>
      <c r="S43" s="29"/>
      <c r="T43" s="27"/>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row>
    <row r="44" spans="3:144">
      <c r="C44" s="2"/>
      <c r="D44" s="2"/>
      <c r="E44" s="2"/>
      <c r="F44" s="194"/>
      <c r="G44" s="195"/>
      <c r="H44" s="195"/>
      <c r="I44" s="195"/>
      <c r="J44" s="195"/>
      <c r="K44" s="47"/>
      <c r="L44" s="52"/>
      <c r="M44" s="52"/>
      <c r="N44" s="52"/>
      <c r="O44" s="52"/>
      <c r="P44" s="29">
        <f t="shared" si="8"/>
        <v>-0.33333333333333331</v>
      </c>
      <c r="Q44" s="29">
        <f t="shared" si="8"/>
        <v>-0.15</v>
      </c>
      <c r="R44" s="29">
        <f t="shared" si="8"/>
        <v>5.8823529411764705E-2</v>
      </c>
      <c r="S44" s="29"/>
      <c r="T44" s="27"/>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row>
    <row r="45" spans="3:144">
      <c r="E45" s="52"/>
      <c r="F45" s="204"/>
      <c r="G45" s="205"/>
      <c r="H45" s="205"/>
      <c r="I45" s="205"/>
      <c r="J45" s="205"/>
      <c r="K45" s="47"/>
      <c r="L45" s="52"/>
      <c r="M45" s="52"/>
      <c r="N45" s="52"/>
      <c r="O45" s="52"/>
      <c r="P45" s="29">
        <f t="shared" si="8"/>
        <v>-0.22727272727272727</v>
      </c>
      <c r="Q45" s="29">
        <f t="shared" si="8"/>
        <v>1.9607843137254902E-2</v>
      </c>
      <c r="R45" s="29">
        <f t="shared" si="8"/>
        <v>9.6153846153846159E-2</v>
      </c>
      <c r="S45" s="29"/>
      <c r="T45" s="27"/>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row>
    <row r="46" spans="3:144">
      <c r="C46" s="12" t="s">
        <v>38</v>
      </c>
      <c r="D46" s="13"/>
      <c r="E46" s="12"/>
      <c r="F46" s="208">
        <f ca="1">SUM(F18,F29,F33,F37,F42)</f>
        <v>6866</v>
      </c>
      <c r="G46" s="209">
        <f ca="1">SUM(G18,G29,G33,G37,G42)</f>
        <v>7322</v>
      </c>
      <c r="H46" s="209">
        <f ca="1">SUM(H18,H29,H33,H37,H42)</f>
        <v>6885</v>
      </c>
      <c r="I46" s="209">
        <f ca="1">SUM(I18,I29,I33,I37,I42)</f>
        <v>7251</v>
      </c>
      <c r="J46" s="209">
        <f ca="1">SUM(J18,J29,J33,J37,J42)</f>
        <v>7615</v>
      </c>
      <c r="K46" s="47"/>
      <c r="L46" s="52"/>
      <c r="M46" s="52"/>
      <c r="N46" s="52"/>
      <c r="O46" s="52"/>
      <c r="P46" s="29">
        <f t="shared" si="8"/>
        <v>0.18181818181818182</v>
      </c>
      <c r="Q46" s="29">
        <f t="shared" si="8"/>
        <v>0.4175824175824176</v>
      </c>
      <c r="R46" s="29">
        <f t="shared" si="8"/>
        <v>-0.13178294573643412</v>
      </c>
      <c r="S46" s="29"/>
      <c r="T46" s="27"/>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row>
    <row r="47" spans="3:144">
      <c r="C47" s="5"/>
      <c r="D47" s="2"/>
      <c r="E47" s="2"/>
      <c r="F47" s="194"/>
      <c r="G47" s="195"/>
      <c r="H47" s="195"/>
      <c r="I47" s="195"/>
      <c r="J47" s="195"/>
      <c r="K47" s="47"/>
      <c r="L47" s="52"/>
      <c r="M47" s="52"/>
      <c r="N47" s="52"/>
      <c r="O47" s="52"/>
      <c r="P47" s="29">
        <f t="shared" si="8"/>
        <v>-0.88888888888888884</v>
      </c>
      <c r="Q47" s="29">
        <f t="shared" si="8"/>
        <v>1</v>
      </c>
      <c r="R47" s="29">
        <f t="shared" si="8"/>
        <v>1</v>
      </c>
      <c r="S47" s="29"/>
      <c r="T47" s="27"/>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row>
    <row r="48" spans="3:144" ht="19.2">
      <c r="C48" s="3" t="s">
        <v>39</v>
      </c>
      <c r="D48" s="2"/>
      <c r="E48" s="2"/>
      <c r="F48" s="194"/>
      <c r="G48" s="195"/>
      <c r="H48" s="195"/>
      <c r="I48" s="195"/>
      <c r="J48" s="195"/>
      <c r="K48" s="47"/>
      <c r="L48" s="52"/>
      <c r="M48" s="52"/>
      <c r="N48" s="52"/>
      <c r="O48" s="52"/>
      <c r="P48" s="29">
        <f t="shared" si="8"/>
        <v>-5.921052631578947E-2</v>
      </c>
      <c r="Q48" s="29">
        <f t="shared" si="8"/>
        <v>0.27972027972027974</v>
      </c>
      <c r="R48" s="29">
        <f t="shared" si="8"/>
        <v>-5.4644808743169397E-2</v>
      </c>
      <c r="S48" s="29"/>
      <c r="T48" s="27"/>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row>
    <row r="49" spans="3:144">
      <c r="C49" s="5" t="s">
        <v>40</v>
      </c>
      <c r="D49" s="2"/>
      <c r="E49" s="2"/>
      <c r="F49" s="194"/>
      <c r="G49" s="195"/>
      <c r="H49" s="195"/>
      <c r="I49" s="195"/>
      <c r="J49" s="195"/>
      <c r="K49" s="47"/>
      <c r="L49" s="52"/>
      <c r="M49" s="52"/>
      <c r="N49" s="52"/>
      <c r="O49" s="52"/>
      <c r="P49" s="29">
        <f t="shared" si="8"/>
        <v>-0.42857142857142855</v>
      </c>
      <c r="Q49" s="29">
        <f t="shared" si="8"/>
        <v>0</v>
      </c>
      <c r="R49" s="29">
        <f t="shared" si="8"/>
        <v>1.75</v>
      </c>
      <c r="S49" s="29"/>
      <c r="T49" s="27"/>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row>
    <row r="50" spans="3:144">
      <c r="C50" s="2" t="s">
        <v>41</v>
      </c>
      <c r="D50" s="2"/>
      <c r="E50" s="2"/>
      <c r="F50" s="194">
        <v>86</v>
      </c>
      <c r="G50" s="195">
        <v>96</v>
      </c>
      <c r="H50" s="195">
        <v>71</v>
      </c>
      <c r="I50" s="195">
        <v>69</v>
      </c>
      <c r="J50" s="195">
        <v>75</v>
      </c>
      <c r="K50" s="47"/>
      <c r="L50" s="52"/>
      <c r="M50" s="52"/>
      <c r="N50" s="52"/>
      <c r="O50" s="52"/>
      <c r="P50" s="31">
        <f t="shared" si="8"/>
        <v>-7.5471698113207544E-2</v>
      </c>
      <c r="Q50" s="31">
        <f t="shared" si="8"/>
        <v>0.27210884353741499</v>
      </c>
      <c r="R50" s="31">
        <f t="shared" si="8"/>
        <v>-1.6042780748663103E-2</v>
      </c>
      <c r="S50" s="31">
        <f>SUM(T50,-J57)/J57</f>
        <v>-0.43478260869565216</v>
      </c>
      <c r="T50" s="32">
        <v>104</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row>
    <row r="51" spans="3:144">
      <c r="C51" s="2" t="s">
        <v>42</v>
      </c>
      <c r="D51" s="2"/>
      <c r="E51" s="2"/>
      <c r="F51" s="194">
        <v>-26</v>
      </c>
      <c r="G51" s="195">
        <v>-30</v>
      </c>
      <c r="H51" s="195">
        <v>-20</v>
      </c>
      <c r="I51" s="195">
        <v>-17</v>
      </c>
      <c r="J51" s="195">
        <v>-18</v>
      </c>
      <c r="K51" s="47"/>
      <c r="L51" s="52"/>
      <c r="M51" s="52"/>
      <c r="N51" s="52"/>
      <c r="O51" s="52"/>
      <c r="P51" s="29"/>
      <c r="Q51" s="29"/>
      <c r="R51" s="29"/>
      <c r="S51" s="29"/>
      <c r="T51" s="27"/>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row>
    <row r="52" spans="3:144">
      <c r="C52" s="2" t="s">
        <v>43</v>
      </c>
      <c r="D52" s="2"/>
      <c r="E52" s="2"/>
      <c r="F52" s="194">
        <f>SUM(F50:F51)</f>
        <v>60</v>
      </c>
      <c r="G52" s="194">
        <f t="shared" ref="G52:J52" si="9">SUM(G50:G51)</f>
        <v>66</v>
      </c>
      <c r="H52" s="194">
        <f t="shared" si="9"/>
        <v>51</v>
      </c>
      <c r="I52" s="194">
        <f t="shared" si="9"/>
        <v>52</v>
      </c>
      <c r="J52" s="194">
        <f t="shared" si="9"/>
        <v>57</v>
      </c>
      <c r="K52" s="47"/>
      <c r="L52" s="52"/>
      <c r="M52" s="52"/>
      <c r="N52" s="52"/>
      <c r="O52" s="52"/>
      <c r="P52" s="29">
        <f t="shared" ref="P52:R55" si="10">SUM(H59,-G59)/G59</f>
        <v>-0.11859582542694497</v>
      </c>
      <c r="Q52" s="29">
        <f t="shared" si="10"/>
        <v>0.10871905274488698</v>
      </c>
      <c r="R52" s="29">
        <f t="shared" si="10"/>
        <v>-0.26601941747572816</v>
      </c>
      <c r="S52" s="29"/>
      <c r="T52" s="27"/>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row>
    <row r="53" spans="3:144">
      <c r="C53" s="2" t="s">
        <v>44</v>
      </c>
      <c r="D53" s="2"/>
      <c r="E53" s="2"/>
      <c r="F53" s="194">
        <v>99</v>
      </c>
      <c r="G53" s="195">
        <v>77</v>
      </c>
      <c r="H53" s="195">
        <v>91</v>
      </c>
      <c r="I53" s="195">
        <v>129</v>
      </c>
      <c r="J53" s="195">
        <v>112</v>
      </c>
      <c r="K53" s="47"/>
      <c r="L53" s="52"/>
      <c r="M53" s="52"/>
      <c r="N53" s="52"/>
      <c r="O53" s="52"/>
      <c r="P53" s="29">
        <f t="shared" si="10"/>
        <v>-0.19910714285714284</v>
      </c>
      <c r="Q53" s="29">
        <f t="shared" si="10"/>
        <v>1.89520624303233E-2</v>
      </c>
      <c r="R53" s="29">
        <f t="shared" si="10"/>
        <v>0.3172866520787746</v>
      </c>
      <c r="S53" s="29"/>
      <c r="T53" s="27"/>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row>
    <row r="54" spans="3:144">
      <c r="C54" s="2" t="s">
        <v>45</v>
      </c>
      <c r="D54" s="2"/>
      <c r="E54" s="2"/>
      <c r="F54" s="194">
        <v>22</v>
      </c>
      <c r="G54" s="195">
        <v>9</v>
      </c>
      <c r="H54" s="195">
        <v>1</v>
      </c>
      <c r="I54" s="195">
        <v>2</v>
      </c>
      <c r="J54" s="195">
        <v>4</v>
      </c>
      <c r="K54" s="47"/>
      <c r="L54" s="52"/>
      <c r="M54" s="52"/>
      <c r="N54" s="52"/>
      <c r="O54" s="52"/>
      <c r="P54" s="29">
        <f t="shared" si="10"/>
        <v>-0.56090651558073656</v>
      </c>
      <c r="Q54" s="29">
        <f t="shared" si="10"/>
        <v>5.1612903225806452E-2</v>
      </c>
      <c r="R54" s="29">
        <f t="shared" si="10"/>
        <v>-0.33742331288343558</v>
      </c>
      <c r="S54" s="29"/>
      <c r="T54" s="27"/>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row>
    <row r="55" spans="3:144">
      <c r="C55" s="5" t="s">
        <v>46</v>
      </c>
      <c r="D55" s="2"/>
      <c r="E55" s="2"/>
      <c r="F55" s="194">
        <v>181</v>
      </c>
      <c r="G55" s="195">
        <f t="shared" ref="G55" si="11">SUM(G53,G52,G54)</f>
        <v>152</v>
      </c>
      <c r="H55" s="195">
        <f>SUM(H53,H52,H54)</f>
        <v>143</v>
      </c>
      <c r="I55" s="195">
        <f>SUM(I53,I52,I54)</f>
        <v>183</v>
      </c>
      <c r="J55" s="195">
        <f>SUM(J53,J52,J54)</f>
        <v>173</v>
      </c>
      <c r="K55" s="47"/>
      <c r="L55" s="52"/>
      <c r="M55" s="52"/>
      <c r="N55" s="52"/>
      <c r="O55" s="52"/>
      <c r="P55" s="31">
        <f t="shared" si="10"/>
        <v>-8.2372322899505759E-2</v>
      </c>
      <c r="Q55" s="31">
        <f t="shared" si="10"/>
        <v>6.5828845002992215E-2</v>
      </c>
      <c r="R55" s="31">
        <f t="shared" si="10"/>
        <v>3.9865244244806287E-2</v>
      </c>
      <c r="S55" s="31">
        <f>SUM(T55,-J62)/J62</f>
        <v>0.1101511879049676</v>
      </c>
      <c r="T55" s="32">
        <v>2056</v>
      </c>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row>
    <row r="56" spans="3:144">
      <c r="C56" s="2" t="s">
        <v>47</v>
      </c>
      <c r="D56" s="2"/>
      <c r="E56" s="2"/>
      <c r="F56" s="194">
        <v>3</v>
      </c>
      <c r="G56" s="195">
        <v>7</v>
      </c>
      <c r="H56" s="195">
        <v>4</v>
      </c>
      <c r="I56" s="195">
        <v>4</v>
      </c>
      <c r="J56" s="195">
        <v>11</v>
      </c>
      <c r="K56" s="47"/>
      <c r="L56" s="52"/>
      <c r="M56" s="52"/>
      <c r="N56" s="52"/>
      <c r="O56" s="52"/>
      <c r="P56" s="29"/>
      <c r="Q56" s="29"/>
      <c r="R56" s="29"/>
      <c r="S56" s="29"/>
      <c r="T56" s="27"/>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row>
    <row r="57" spans="3:144">
      <c r="C57" s="7" t="s">
        <v>16</v>
      </c>
      <c r="D57" s="9"/>
      <c r="E57" s="9"/>
      <c r="F57" s="196">
        <f t="shared" ref="F57:G57" si="12">SUM(F55,F56)</f>
        <v>184</v>
      </c>
      <c r="G57" s="197">
        <f t="shared" si="12"/>
        <v>159</v>
      </c>
      <c r="H57" s="197">
        <f>SUM(H55,H56)</f>
        <v>147</v>
      </c>
      <c r="I57" s="197">
        <f>SUM(I55,I56)</f>
        <v>187</v>
      </c>
      <c r="J57" s="197">
        <f>SUM(J55,J56)</f>
        <v>184</v>
      </c>
      <c r="K57" s="47"/>
      <c r="L57" s="52"/>
      <c r="M57" s="52"/>
      <c r="N57" s="52"/>
      <c r="O57" s="52"/>
      <c r="P57" s="29">
        <f t="shared" ref="P57:P65" si="13">SUM(H64,-G64)/G64</f>
        <v>-0.63773584905660374</v>
      </c>
      <c r="Q57" s="29">
        <f t="shared" ref="Q57:Q65" si="14">SUM(I64,-H64)/H64</f>
        <v>0.69791666666666663</v>
      </c>
      <c r="R57" s="29">
        <f t="shared" ref="R57:R65" si="15">SUM(J64,-I64)/I64</f>
        <v>1.2760736196319018</v>
      </c>
      <c r="S57" s="29"/>
      <c r="T57" s="27"/>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row>
    <row r="58" spans="3:144">
      <c r="C58" s="5" t="s">
        <v>48</v>
      </c>
      <c r="D58" s="2"/>
      <c r="E58" s="2"/>
      <c r="F58" s="194"/>
      <c r="G58" s="195"/>
      <c r="H58" s="195"/>
      <c r="I58" s="195"/>
      <c r="J58" s="195"/>
      <c r="K58" s="47"/>
      <c r="L58" s="52"/>
      <c r="M58" s="52"/>
      <c r="N58" s="52"/>
      <c r="O58" s="52"/>
      <c r="P58" s="29">
        <f t="shared" si="13"/>
        <v>-3.2258064516129031E-2</v>
      </c>
      <c r="Q58" s="29">
        <f t="shared" si="14"/>
        <v>0.25</v>
      </c>
      <c r="R58" s="29">
        <f t="shared" si="15"/>
        <v>0.30666666666666664</v>
      </c>
      <c r="S58" s="29"/>
      <c r="T58" s="27"/>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row>
    <row r="59" spans="3:144">
      <c r="C59" s="2" t="s">
        <v>49</v>
      </c>
      <c r="D59" s="2"/>
      <c r="E59" s="2"/>
      <c r="F59" s="194">
        <v>1066</v>
      </c>
      <c r="G59" s="195">
        <v>1054</v>
      </c>
      <c r="H59" s="195">
        <v>929</v>
      </c>
      <c r="I59" s="195">
        <v>1030</v>
      </c>
      <c r="J59" s="195">
        <v>756</v>
      </c>
      <c r="K59" s="47"/>
      <c r="L59" s="52"/>
      <c r="M59" s="52"/>
      <c r="N59" s="52"/>
      <c r="O59" s="52"/>
      <c r="P59" s="29">
        <f t="shared" si="13"/>
        <v>0.22500000000000001</v>
      </c>
      <c r="Q59" s="29">
        <f t="shared" si="14"/>
        <v>-6.1224489795918366E-2</v>
      </c>
      <c r="R59" s="29">
        <f t="shared" si="15"/>
        <v>0.5</v>
      </c>
      <c r="S59" s="29"/>
      <c r="T59" s="27"/>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row>
    <row r="60" spans="3:144">
      <c r="C60" s="2" t="s">
        <v>50</v>
      </c>
      <c r="D60" s="2"/>
      <c r="E60" s="2"/>
      <c r="F60" s="194">
        <v>734</v>
      </c>
      <c r="G60" s="195">
        <v>1120</v>
      </c>
      <c r="H60" s="195">
        <v>897</v>
      </c>
      <c r="I60" s="195">
        <v>914</v>
      </c>
      <c r="J60" s="195">
        <v>1204</v>
      </c>
      <c r="K60" s="47"/>
      <c r="L60" s="52"/>
      <c r="M60" s="52"/>
      <c r="N60" s="52"/>
      <c r="O60" s="52"/>
      <c r="P60" s="29">
        <f t="shared" si="13"/>
        <v>1.2727272727272727</v>
      </c>
      <c r="Q60" s="29">
        <f t="shared" si="14"/>
        <v>0.4</v>
      </c>
      <c r="R60" s="29">
        <f t="shared" si="15"/>
        <v>0.11428571428571428</v>
      </c>
      <c r="S60" s="29"/>
      <c r="T60" s="27"/>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row>
    <row r="61" spans="3:144">
      <c r="C61" s="2" t="s">
        <v>51</v>
      </c>
      <c r="D61" s="2"/>
      <c r="E61" s="2"/>
      <c r="F61" s="194">
        <v>-315</v>
      </c>
      <c r="G61" s="195">
        <v>-353</v>
      </c>
      <c r="H61" s="195">
        <v>-155</v>
      </c>
      <c r="I61" s="195">
        <v>-163</v>
      </c>
      <c r="J61" s="195">
        <v>-108</v>
      </c>
      <c r="K61" s="47"/>
      <c r="L61" s="52"/>
      <c r="M61" s="52"/>
      <c r="N61" s="52"/>
      <c r="O61" s="52"/>
      <c r="P61" s="29">
        <f t="shared" si="13"/>
        <v>0</v>
      </c>
      <c r="Q61" s="29">
        <f t="shared" si="14"/>
        <v>0</v>
      </c>
      <c r="R61" s="29">
        <f t="shared" si="15"/>
        <v>0</v>
      </c>
      <c r="S61" s="29"/>
      <c r="T61" s="27"/>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row>
    <row r="62" spans="3:144">
      <c r="C62" s="7" t="s">
        <v>16</v>
      </c>
      <c r="D62" s="9"/>
      <c r="E62" s="9"/>
      <c r="F62" s="196">
        <f t="shared" ref="F62:G62" si="16">SUM(F59:F61)</f>
        <v>1485</v>
      </c>
      <c r="G62" s="197">
        <f t="shared" si="16"/>
        <v>1821</v>
      </c>
      <c r="H62" s="197">
        <f>SUM(H59:H61)</f>
        <v>1671</v>
      </c>
      <c r="I62" s="197">
        <f>SUM(I59:I61)</f>
        <v>1781</v>
      </c>
      <c r="J62" s="197">
        <f>SUM(J59:J61)</f>
        <v>1852</v>
      </c>
      <c r="K62" s="47"/>
      <c r="L62" s="52"/>
      <c r="M62" s="52"/>
      <c r="N62" s="52"/>
      <c r="O62" s="52"/>
      <c r="P62" s="29">
        <f t="shared" si="13"/>
        <v>-0.5</v>
      </c>
      <c r="Q62" s="29">
        <f t="shared" si="14"/>
        <v>0.66666666666666663</v>
      </c>
      <c r="R62" s="29">
        <f t="shared" si="15"/>
        <v>0.4</v>
      </c>
      <c r="S62" s="29"/>
      <c r="T62" s="27"/>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row>
    <row r="63" spans="3:144">
      <c r="C63" s="5" t="s">
        <v>52</v>
      </c>
      <c r="D63" s="2"/>
      <c r="E63" s="2"/>
      <c r="F63" s="194"/>
      <c r="G63" s="195"/>
      <c r="H63" s="195"/>
      <c r="I63" s="195"/>
      <c r="J63" s="195"/>
      <c r="K63" s="47"/>
      <c r="L63" s="52"/>
      <c r="M63" s="52"/>
      <c r="N63" s="52"/>
      <c r="O63" s="52"/>
      <c r="P63" s="29">
        <f t="shared" si="13"/>
        <v>0</v>
      </c>
      <c r="Q63" s="29">
        <f t="shared" si="14"/>
        <v>0.5714285714285714</v>
      </c>
      <c r="R63" s="29">
        <f t="shared" si="15"/>
        <v>4.5454545454545456E-2</v>
      </c>
      <c r="S63" s="29"/>
      <c r="T63" s="27"/>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row>
    <row r="64" spans="3:144">
      <c r="C64" s="5" t="s">
        <v>53</v>
      </c>
      <c r="D64" s="2" t="s">
        <v>54</v>
      </c>
      <c r="E64" s="2"/>
      <c r="F64" s="180">
        <v>55</v>
      </c>
      <c r="G64" s="181">
        <v>265</v>
      </c>
      <c r="H64" s="181">
        <v>96</v>
      </c>
      <c r="I64" s="181">
        <v>163</v>
      </c>
      <c r="J64" s="181">
        <v>371</v>
      </c>
      <c r="K64" s="47"/>
      <c r="L64" s="52"/>
      <c r="M64" s="52"/>
      <c r="N64" s="52"/>
      <c r="O64" s="52"/>
      <c r="P64" s="29">
        <f t="shared" si="13"/>
        <v>-0.77777777777777779</v>
      </c>
      <c r="Q64" s="29">
        <f t="shared" si="14"/>
        <v>0</v>
      </c>
      <c r="R64" s="29">
        <f t="shared" si="15"/>
        <v>0</v>
      </c>
      <c r="S64" s="29"/>
      <c r="T64" s="27"/>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row>
    <row r="65" spans="3:144">
      <c r="C65" s="5" t="s">
        <v>55</v>
      </c>
      <c r="D65" s="2"/>
      <c r="E65" s="2"/>
      <c r="F65" s="180">
        <v>128</v>
      </c>
      <c r="G65" s="181">
        <v>124</v>
      </c>
      <c r="H65" s="181">
        <v>120</v>
      </c>
      <c r="I65" s="181">
        <v>150</v>
      </c>
      <c r="J65" s="181">
        <v>196</v>
      </c>
      <c r="K65" s="47"/>
      <c r="L65" s="52"/>
      <c r="M65" s="52"/>
      <c r="N65" s="52"/>
      <c r="O65" s="52"/>
      <c r="P65" s="29">
        <f t="shared" si="13"/>
        <v>0</v>
      </c>
      <c r="Q65" s="29">
        <f t="shared" si="14"/>
        <v>0</v>
      </c>
      <c r="R65" s="29">
        <f t="shared" si="15"/>
        <v>0</v>
      </c>
      <c r="S65" s="29"/>
      <c r="T65" s="27"/>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row>
    <row r="66" spans="3:144">
      <c r="C66" s="2" t="s">
        <v>56</v>
      </c>
      <c r="D66" s="2"/>
      <c r="E66" s="2"/>
      <c r="F66" s="180">
        <v>52</v>
      </c>
      <c r="G66" s="181">
        <v>40</v>
      </c>
      <c r="H66" s="181">
        <v>49</v>
      </c>
      <c r="I66" s="181">
        <v>46</v>
      </c>
      <c r="J66" s="181">
        <v>69</v>
      </c>
      <c r="K66" s="47"/>
      <c r="L66" s="52"/>
      <c r="M66" s="52"/>
      <c r="N66" s="52"/>
      <c r="O66" s="52"/>
      <c r="P66" s="29"/>
      <c r="Q66" s="29">
        <f t="shared" ref="Q66:R69" si="17">SUM(I73,-H73)/H73</f>
        <v>0</v>
      </c>
      <c r="R66" s="29">
        <f t="shared" si="17"/>
        <v>0</v>
      </c>
      <c r="S66" s="29"/>
      <c r="T66" s="27"/>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row>
    <row r="67" spans="3:144">
      <c r="C67" s="2" t="s">
        <v>57</v>
      </c>
      <c r="D67" s="2"/>
      <c r="E67" s="2"/>
      <c r="F67" s="180">
        <v>7</v>
      </c>
      <c r="G67" s="181">
        <v>11</v>
      </c>
      <c r="H67" s="181">
        <v>25</v>
      </c>
      <c r="I67" s="181">
        <v>35</v>
      </c>
      <c r="J67" s="181">
        <v>39</v>
      </c>
      <c r="K67" s="47"/>
      <c r="L67" s="52"/>
      <c r="M67" s="52"/>
      <c r="N67" s="52"/>
      <c r="O67" s="52"/>
      <c r="P67" s="29">
        <f t="shared" ref="P67:P75" si="18">SUM(H74,-G74)/G74</f>
        <v>0</v>
      </c>
      <c r="Q67" s="29">
        <f t="shared" si="17"/>
        <v>0</v>
      </c>
      <c r="R67" s="29">
        <f t="shared" si="17"/>
        <v>1</v>
      </c>
      <c r="S67" s="29"/>
      <c r="T67" s="27"/>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row>
    <row r="68" spans="3:144">
      <c r="C68" s="2" t="s">
        <v>58</v>
      </c>
      <c r="D68" s="2"/>
      <c r="E68" s="2"/>
      <c r="F68" s="180">
        <v>1</v>
      </c>
      <c r="G68" s="181">
        <v>1</v>
      </c>
      <c r="H68" s="181">
        <v>1</v>
      </c>
      <c r="I68" s="181">
        <v>1</v>
      </c>
      <c r="J68" s="181">
        <v>1</v>
      </c>
      <c r="K68" s="47"/>
      <c r="L68" s="52"/>
      <c r="M68" s="52"/>
      <c r="N68" s="52"/>
      <c r="O68" s="52"/>
      <c r="P68" s="29" t="e">
        <f t="shared" si="18"/>
        <v>#DIV/0!</v>
      </c>
      <c r="Q68" s="29" t="e">
        <f t="shared" si="17"/>
        <v>#DIV/0!</v>
      </c>
      <c r="R68" s="29" t="e">
        <f t="shared" si="17"/>
        <v>#DIV/0!</v>
      </c>
      <c r="S68" s="29"/>
      <c r="T68" s="27"/>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row>
    <row r="69" spans="3:144">
      <c r="C69" s="2" t="s">
        <v>59</v>
      </c>
      <c r="D69" s="2"/>
      <c r="E69" s="2"/>
      <c r="F69" s="180">
        <v>4</v>
      </c>
      <c r="G69" s="181">
        <v>12</v>
      </c>
      <c r="H69" s="181">
        <v>6</v>
      </c>
      <c r="I69" s="181">
        <v>10</v>
      </c>
      <c r="J69" s="181">
        <v>14</v>
      </c>
      <c r="K69" s="47"/>
      <c r="L69" s="52"/>
      <c r="M69" s="52"/>
      <c r="N69" s="52"/>
      <c r="O69" s="52"/>
      <c r="P69" s="29">
        <f t="shared" si="18"/>
        <v>-1</v>
      </c>
      <c r="Q69" s="29" t="e">
        <f t="shared" si="17"/>
        <v>#DIV/0!</v>
      </c>
      <c r="R69" s="29" t="e">
        <f t="shared" si="17"/>
        <v>#DIV/0!</v>
      </c>
      <c r="S69" s="29"/>
      <c r="T69" s="27"/>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row>
    <row r="70" spans="3:144">
      <c r="C70" s="2" t="s">
        <v>60</v>
      </c>
      <c r="D70" s="2"/>
      <c r="E70" s="2"/>
      <c r="F70" s="180">
        <v>12</v>
      </c>
      <c r="G70" s="181">
        <v>14</v>
      </c>
      <c r="H70" s="181">
        <v>14</v>
      </c>
      <c r="I70" s="181">
        <v>22</v>
      </c>
      <c r="J70" s="181">
        <v>23</v>
      </c>
      <c r="K70" s="47"/>
      <c r="L70" s="52"/>
      <c r="M70" s="52"/>
      <c r="N70" s="52"/>
      <c r="O70" s="52"/>
      <c r="P70" s="29">
        <f t="shared" si="18"/>
        <v>-0.4</v>
      </c>
      <c r="Q70" s="29">
        <f t="shared" ref="Q70:Q75" si="19">SUM(I77,-H77)/H77</f>
        <v>-1</v>
      </c>
      <c r="R70" s="29"/>
      <c r="S70" s="29"/>
      <c r="T70" s="27"/>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row>
    <row r="71" spans="3:144">
      <c r="C71" s="2" t="s">
        <v>61</v>
      </c>
      <c r="D71" s="2"/>
      <c r="E71" s="2"/>
      <c r="F71" s="180">
        <v>19</v>
      </c>
      <c r="G71" s="181">
        <v>9</v>
      </c>
      <c r="H71" s="181">
        <v>2</v>
      </c>
      <c r="I71" s="181">
        <v>2</v>
      </c>
      <c r="J71" s="181">
        <v>2</v>
      </c>
      <c r="K71" s="47"/>
      <c r="L71" s="52"/>
      <c r="M71" s="52"/>
      <c r="N71" s="52"/>
      <c r="O71" s="52"/>
      <c r="P71" s="29">
        <f t="shared" si="18"/>
        <v>0</v>
      </c>
      <c r="Q71" s="29">
        <f t="shared" si="19"/>
        <v>1</v>
      </c>
      <c r="R71" s="29">
        <f>SUM(J78,-I78)/I78</f>
        <v>0</v>
      </c>
      <c r="S71" s="29"/>
      <c r="T71" s="27"/>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row>
    <row r="72" spans="3:144">
      <c r="C72" s="2" t="s">
        <v>62</v>
      </c>
      <c r="D72" s="2"/>
      <c r="E72" s="2"/>
      <c r="F72" s="180">
        <v>3</v>
      </c>
      <c r="G72" s="181">
        <v>3</v>
      </c>
      <c r="H72" s="181">
        <v>3</v>
      </c>
      <c r="I72" s="181">
        <v>3</v>
      </c>
      <c r="J72" s="181">
        <v>3</v>
      </c>
      <c r="K72" s="47"/>
      <c r="L72" s="52"/>
      <c r="M72" s="52"/>
      <c r="N72" s="52"/>
      <c r="O72" s="52"/>
      <c r="P72" s="29">
        <f t="shared" si="18"/>
        <v>0</v>
      </c>
      <c r="Q72" s="29">
        <f t="shared" si="19"/>
        <v>-0.33333333333333331</v>
      </c>
      <c r="R72" s="29">
        <f>SUM(J79,-I79)/I79</f>
        <v>0.5</v>
      </c>
      <c r="S72" s="29"/>
      <c r="T72" s="27"/>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row>
    <row r="73" spans="3:144">
      <c r="C73" s="2" t="s">
        <v>63</v>
      </c>
      <c r="D73" s="2"/>
      <c r="E73" s="2"/>
      <c r="F73" s="180">
        <v>1</v>
      </c>
      <c r="G73" s="181">
        <v>0</v>
      </c>
      <c r="H73" s="181">
        <v>1</v>
      </c>
      <c r="I73" s="181">
        <v>1</v>
      </c>
      <c r="J73" s="181">
        <v>1</v>
      </c>
      <c r="K73" s="47"/>
      <c r="L73" s="52"/>
      <c r="M73" s="52"/>
      <c r="N73" s="52"/>
      <c r="O73" s="52"/>
      <c r="P73" s="29">
        <f t="shared" si="18"/>
        <v>-1</v>
      </c>
      <c r="Q73" s="29" t="e">
        <f t="shared" si="19"/>
        <v>#DIV/0!</v>
      </c>
      <c r="R73" s="29"/>
      <c r="S73" s="29"/>
      <c r="T73" s="27"/>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row>
    <row r="74" spans="3:144">
      <c r="C74" s="2" t="s">
        <v>64</v>
      </c>
      <c r="D74" s="2"/>
      <c r="E74" s="2"/>
      <c r="F74" s="180">
        <v>1</v>
      </c>
      <c r="G74" s="181">
        <v>1</v>
      </c>
      <c r="H74" s="181">
        <v>1</v>
      </c>
      <c r="I74" s="181">
        <v>1</v>
      </c>
      <c r="J74" s="181">
        <v>2</v>
      </c>
      <c r="K74" s="47"/>
      <c r="L74" s="52"/>
      <c r="M74" s="52"/>
      <c r="N74" s="52"/>
      <c r="O74" s="52"/>
      <c r="P74" s="29">
        <f t="shared" si="18"/>
        <v>0.375</v>
      </c>
      <c r="Q74" s="29">
        <f t="shared" si="19"/>
        <v>1.2727272727272727</v>
      </c>
      <c r="R74" s="29">
        <f>SUM(J81,-I81)/I81</f>
        <v>0.4</v>
      </c>
      <c r="S74" s="29"/>
      <c r="T74" s="27"/>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row>
    <row r="75" spans="3:144" ht="16.2">
      <c r="C75" s="55" t="s">
        <v>162</v>
      </c>
      <c r="D75" s="2"/>
      <c r="E75" s="2"/>
      <c r="F75" s="180">
        <v>1</v>
      </c>
      <c r="G75" s="181">
        <v>0</v>
      </c>
      <c r="H75" s="181">
        <v>0</v>
      </c>
      <c r="I75" s="181">
        <v>0</v>
      </c>
      <c r="J75" s="181">
        <v>0</v>
      </c>
      <c r="K75" s="47"/>
      <c r="L75" s="52"/>
      <c r="M75" s="52"/>
      <c r="N75" s="52"/>
      <c r="O75" s="52"/>
      <c r="P75" s="31">
        <f t="shared" si="18"/>
        <v>-0.44473007712082263</v>
      </c>
      <c r="Q75" s="31">
        <f t="shared" si="19"/>
        <v>0.44907407407407407</v>
      </c>
      <c r="R75" s="31">
        <f>SUM(J82,-I82)/I82</f>
        <v>0.81150159744408945</v>
      </c>
      <c r="S75" s="31">
        <f>SUM(T75,-J82)/J82</f>
        <v>0.66843033509700178</v>
      </c>
      <c r="T75" s="35">
        <v>946</v>
      </c>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row>
    <row r="76" spans="3:144">
      <c r="C76" s="2" t="s">
        <v>65</v>
      </c>
      <c r="D76" s="2"/>
      <c r="E76" s="2"/>
      <c r="F76" s="180">
        <v>12</v>
      </c>
      <c r="G76" s="181">
        <v>13</v>
      </c>
      <c r="H76" s="181">
        <v>0</v>
      </c>
      <c r="I76" s="181">
        <v>0</v>
      </c>
      <c r="J76" s="181">
        <v>0</v>
      </c>
      <c r="K76" s="47"/>
      <c r="L76" s="52"/>
      <c r="M76" s="52"/>
      <c r="N76" s="52"/>
      <c r="O76" s="52"/>
      <c r="P76" s="29"/>
      <c r="Q76" s="29"/>
      <c r="R76" s="29"/>
      <c r="S76" s="29"/>
      <c r="T76" s="27"/>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row>
    <row r="77" spans="3:144">
      <c r="C77" s="2" t="s">
        <v>66</v>
      </c>
      <c r="D77" s="2"/>
      <c r="E77" s="2"/>
      <c r="F77" s="180">
        <v>5</v>
      </c>
      <c r="G77" s="181">
        <v>5</v>
      </c>
      <c r="H77" s="181">
        <v>3</v>
      </c>
      <c r="I77" s="181">
        <v>0</v>
      </c>
      <c r="J77" s="181">
        <v>2</v>
      </c>
      <c r="K77" s="47"/>
      <c r="L77" s="52"/>
      <c r="M77" s="52"/>
      <c r="N77" s="52"/>
      <c r="O77" s="52"/>
      <c r="P77" s="29">
        <f t="shared" ref="P77:R78" si="20">SUM(H84,-G84)/G84</f>
        <v>-0.96601941747572817</v>
      </c>
      <c r="Q77" s="29">
        <f t="shared" si="20"/>
        <v>1.1428571428571428</v>
      </c>
      <c r="R77" s="29">
        <f t="shared" si="20"/>
        <v>-0.4</v>
      </c>
      <c r="S77" s="29"/>
      <c r="T77" s="27"/>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row>
    <row r="78" spans="3:144">
      <c r="C78" s="2" t="s">
        <v>67</v>
      </c>
      <c r="D78" s="2"/>
      <c r="E78" s="2"/>
      <c r="F78" s="180">
        <v>1</v>
      </c>
      <c r="G78" s="181">
        <v>1</v>
      </c>
      <c r="H78" s="181">
        <v>1</v>
      </c>
      <c r="I78" s="181">
        <v>2</v>
      </c>
      <c r="J78" s="181">
        <v>2</v>
      </c>
      <c r="K78" s="47"/>
      <c r="L78" s="52"/>
      <c r="M78" s="52"/>
      <c r="N78" s="52"/>
      <c r="O78" s="52"/>
      <c r="P78" s="29">
        <f t="shared" si="20"/>
        <v>-0.9</v>
      </c>
      <c r="Q78" s="29">
        <f t="shared" si="20"/>
        <v>0</v>
      </c>
      <c r="R78" s="29">
        <f t="shared" si="20"/>
        <v>0</v>
      </c>
      <c r="S78" s="29"/>
      <c r="T78" s="27"/>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row>
    <row r="79" spans="3:144">
      <c r="C79" s="2" t="s">
        <v>68</v>
      </c>
      <c r="D79" s="2"/>
      <c r="E79" s="2"/>
      <c r="F79" s="180">
        <v>0</v>
      </c>
      <c r="G79" s="181">
        <v>3</v>
      </c>
      <c r="H79" s="181">
        <v>3</v>
      </c>
      <c r="I79" s="181">
        <v>2</v>
      </c>
      <c r="J79" s="181">
        <v>3</v>
      </c>
      <c r="K79" s="47"/>
      <c r="L79" s="52"/>
      <c r="M79" s="52"/>
      <c r="N79" s="52"/>
      <c r="O79" s="52"/>
      <c r="P79" s="29">
        <f>SUM(H86,-G86)/G86</f>
        <v>-1</v>
      </c>
      <c r="Q79" s="29"/>
      <c r="R79" s="29"/>
      <c r="S79" s="29"/>
      <c r="T79" s="27"/>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row>
    <row r="80" spans="3:144">
      <c r="C80" s="2" t="s">
        <v>69</v>
      </c>
      <c r="D80" s="2"/>
      <c r="E80" s="2"/>
      <c r="F80" s="180">
        <v>0</v>
      </c>
      <c r="G80" s="181">
        <v>3</v>
      </c>
      <c r="H80" s="181">
        <v>0</v>
      </c>
      <c r="I80" s="181">
        <v>0</v>
      </c>
      <c r="J80" s="181">
        <v>0</v>
      </c>
      <c r="K80" s="47"/>
      <c r="L80" s="52"/>
      <c r="M80" s="52"/>
      <c r="N80" s="52"/>
      <c r="O80" s="52"/>
      <c r="P80" s="31">
        <f>SUM(H87,-G87)/G87</f>
        <v>-0.96330275229357798</v>
      </c>
      <c r="Q80" s="31">
        <f>SUM(I87,-H87)/H87</f>
        <v>1</v>
      </c>
      <c r="R80" s="31">
        <f>SUM(J87,-I87)/I87</f>
        <v>-0.375</v>
      </c>
      <c r="S80" s="31">
        <f>SUM(T80,-J87)/J87</f>
        <v>0.3</v>
      </c>
      <c r="T80" s="35">
        <v>13</v>
      </c>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row>
    <row r="81" spans="3:144">
      <c r="C81" s="2" t="s">
        <v>70</v>
      </c>
      <c r="D81" s="2"/>
      <c r="E81" s="2"/>
      <c r="F81" s="180">
        <v>9</v>
      </c>
      <c r="G81" s="181">
        <v>8</v>
      </c>
      <c r="H81" s="181">
        <v>11</v>
      </c>
      <c r="I81" s="181">
        <v>25</v>
      </c>
      <c r="J81" s="181">
        <v>35</v>
      </c>
      <c r="K81" s="47"/>
      <c r="L81" s="52"/>
      <c r="M81" s="52"/>
      <c r="N81" s="52"/>
      <c r="O81" s="52"/>
      <c r="P81" s="53">
        <f t="shared" ref="P81:R83" si="21">SUM(H89,-G89)/G89</f>
        <v>0.52857142857142858</v>
      </c>
      <c r="Q81" s="53">
        <f t="shared" si="21"/>
        <v>-0.54205607476635509</v>
      </c>
      <c r="R81" s="53">
        <f t="shared" si="21"/>
        <v>0.2857142857142857</v>
      </c>
      <c r="S81" s="53">
        <f>SUM(T81,-J89)/J89</f>
        <v>-0.19047619047619047</v>
      </c>
      <c r="T81" s="56">
        <v>51</v>
      </c>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row>
    <row r="82" spans="3:144">
      <c r="C82" s="7" t="s">
        <v>16</v>
      </c>
      <c r="D82" s="8"/>
      <c r="E82" s="9"/>
      <c r="F82" s="196">
        <f>SUM(F64,F65)</f>
        <v>183</v>
      </c>
      <c r="G82" s="197">
        <f>SUM(G64,G65)</f>
        <v>389</v>
      </c>
      <c r="H82" s="197">
        <f>SUM(H64,H65)</f>
        <v>216</v>
      </c>
      <c r="I82" s="197">
        <f>SUM(I64,I65)</f>
        <v>313</v>
      </c>
      <c r="J82" s="197">
        <f>SUM(J64,J65)</f>
        <v>567</v>
      </c>
      <c r="K82" s="50"/>
      <c r="L82" s="52"/>
      <c r="M82" s="52"/>
      <c r="N82" s="52"/>
      <c r="O82" s="52"/>
      <c r="P82" s="53">
        <f t="shared" si="21"/>
        <v>0.71890547263681592</v>
      </c>
      <c r="Q82" s="53">
        <f t="shared" si="21"/>
        <v>-9.6960926193921854E-2</v>
      </c>
      <c r="R82" s="53">
        <f t="shared" si="21"/>
        <v>-0.30448717948717946</v>
      </c>
      <c r="S82" s="53">
        <f>SUM(T82,-J90)/J90</f>
        <v>-0.29262672811059909</v>
      </c>
      <c r="T82" s="56">
        <v>307</v>
      </c>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row>
    <row r="83" spans="3:144">
      <c r="C83" s="5" t="s">
        <v>71</v>
      </c>
      <c r="D83" s="2"/>
      <c r="E83" s="2"/>
      <c r="F83" s="194"/>
      <c r="G83" s="195"/>
      <c r="H83" s="195"/>
      <c r="I83" s="195"/>
      <c r="J83" s="195"/>
      <c r="K83" s="47"/>
      <c r="L83" s="52"/>
      <c r="M83" s="52"/>
      <c r="N83" s="52"/>
      <c r="O83" s="52"/>
      <c r="P83" s="36">
        <f t="shared" si="21"/>
        <v>-7.159202353710363E-2</v>
      </c>
      <c r="Q83" s="36">
        <f t="shared" si="21"/>
        <v>4.5774647887323945E-2</v>
      </c>
      <c r="R83" s="36">
        <f t="shared" si="21"/>
        <v>4.7138047138047139E-2</v>
      </c>
      <c r="S83" s="36">
        <f>SUM(T83,-J91)/J91</f>
        <v>0.1180064308681672</v>
      </c>
      <c r="T83" s="37">
        <f>SUM(T82,T81,T80,T75,T55,T50,)</f>
        <v>3477</v>
      </c>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row>
    <row r="84" spans="3:144">
      <c r="C84" s="2" t="s">
        <v>72</v>
      </c>
      <c r="D84" s="2"/>
      <c r="E84" s="2"/>
      <c r="F84" s="180">
        <v>165</v>
      </c>
      <c r="G84" s="181">
        <v>206</v>
      </c>
      <c r="H84" s="181">
        <v>7</v>
      </c>
      <c r="I84" s="181">
        <v>15</v>
      </c>
      <c r="J84" s="181">
        <v>9</v>
      </c>
      <c r="K84" s="47"/>
      <c r="L84" s="52"/>
      <c r="M84" s="52"/>
      <c r="N84" s="52"/>
      <c r="O84" s="52"/>
      <c r="P84" s="26"/>
      <c r="Q84" s="26"/>
      <c r="R84" s="26"/>
      <c r="S84" s="26"/>
      <c r="T84" s="27"/>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row>
    <row r="85" spans="3:144">
      <c r="C85" s="2" t="s">
        <v>73</v>
      </c>
      <c r="D85" s="2"/>
      <c r="E85" s="2"/>
      <c r="F85" s="180">
        <v>6</v>
      </c>
      <c r="G85" s="181">
        <v>10</v>
      </c>
      <c r="H85" s="181">
        <v>1</v>
      </c>
      <c r="I85" s="181">
        <v>1</v>
      </c>
      <c r="J85" s="181">
        <v>1</v>
      </c>
      <c r="K85" s="47"/>
      <c r="L85" s="52"/>
      <c r="M85" s="52"/>
      <c r="N85" s="52"/>
      <c r="O85" s="52"/>
      <c r="P85" s="53">
        <f>SUM(H93,-G93)/G93</f>
        <v>36.333333333333336</v>
      </c>
      <c r="Q85" s="53">
        <f>SUM(I93,-H93)/H93</f>
        <v>-0.5</v>
      </c>
      <c r="R85" s="53">
        <f>SUM(J93,-I93)/I93</f>
        <v>-1</v>
      </c>
      <c r="S85" s="53"/>
      <c r="T85" s="56"/>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row>
    <row r="86" spans="3:144">
      <c r="C86" s="2" t="s">
        <v>74</v>
      </c>
      <c r="D86" s="2"/>
      <c r="E86" s="2"/>
      <c r="F86" s="180">
        <v>0</v>
      </c>
      <c r="G86" s="181">
        <v>2</v>
      </c>
      <c r="H86" s="181">
        <v>0</v>
      </c>
      <c r="I86" s="181">
        <v>0</v>
      </c>
      <c r="J86" s="181">
        <v>0</v>
      </c>
      <c r="K86" s="47"/>
      <c r="L86" s="52"/>
      <c r="M86" s="52"/>
      <c r="N86" s="52"/>
      <c r="O86" s="52"/>
      <c r="P86" s="26"/>
      <c r="Q86" s="26"/>
      <c r="R86" s="26"/>
      <c r="S86" s="26"/>
      <c r="T86" s="27"/>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row>
    <row r="87" spans="3:144">
      <c r="C87" s="7" t="s">
        <v>16</v>
      </c>
      <c r="D87" s="8"/>
      <c r="E87" s="8"/>
      <c r="F87" s="196">
        <f>SUM(F84:F86)</f>
        <v>171</v>
      </c>
      <c r="G87" s="197">
        <f>SUM(G84:G86)</f>
        <v>218</v>
      </c>
      <c r="H87" s="197">
        <f>SUM(H84:H86)</f>
        <v>8</v>
      </c>
      <c r="I87" s="197">
        <f>SUM(I84:I86)</f>
        <v>16</v>
      </c>
      <c r="J87" s="197">
        <f>SUM(J84:J86)</f>
        <v>10</v>
      </c>
      <c r="K87" s="47"/>
      <c r="L87" s="52"/>
      <c r="M87" s="52"/>
      <c r="N87" s="52"/>
      <c r="O87" s="52"/>
      <c r="P87" s="38">
        <f ca="1">SUM(H95,-G95)/G95</f>
        <v>-4.216809473380187E-2</v>
      </c>
      <c r="Q87" s="38">
        <f ca="1">SUM(I95,-H95)/H95</f>
        <v>3.8596843903909939E-2</v>
      </c>
      <c r="R87" s="38">
        <f ca="1">SUM(J95,-I95)/I95</f>
        <v>3.7936707635730184E-2</v>
      </c>
      <c r="S87" s="38">
        <f ca="1">SUM(T87,-J95)/J95</f>
        <v>4.7272727272727272E-2</v>
      </c>
      <c r="T87" s="39">
        <f>SUM(T85,T83,T39)</f>
        <v>11232</v>
      </c>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row>
    <row r="88" spans="3:144">
      <c r="C88" s="11" t="s">
        <v>316</v>
      </c>
      <c r="D88" s="11"/>
      <c r="E88" s="11"/>
      <c r="F88" s="198">
        <v>171</v>
      </c>
      <c r="G88" s="199">
        <v>218</v>
      </c>
      <c r="H88" s="199">
        <v>8</v>
      </c>
      <c r="I88" s="199">
        <v>16</v>
      </c>
      <c r="J88" s="199">
        <v>10</v>
      </c>
      <c r="K88" s="50"/>
      <c r="L88" s="52"/>
      <c r="M88" s="52"/>
      <c r="N88" s="52"/>
      <c r="O88" s="52"/>
      <c r="P88" s="29"/>
      <c r="Q88" s="29"/>
      <c r="R88" s="29"/>
      <c r="S88" s="29"/>
      <c r="T88" s="27"/>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row>
    <row r="89" spans="3:144">
      <c r="C89" s="5" t="s">
        <v>75</v>
      </c>
      <c r="D89" s="2" t="s">
        <v>76</v>
      </c>
      <c r="E89" s="2"/>
      <c r="F89" s="206">
        <v>71</v>
      </c>
      <c r="G89" s="207">
        <v>70</v>
      </c>
      <c r="H89" s="207">
        <v>107</v>
      </c>
      <c r="I89" s="207">
        <v>49</v>
      </c>
      <c r="J89" s="207">
        <v>63</v>
      </c>
      <c r="K89" s="47"/>
      <c r="L89" s="52"/>
      <c r="M89" s="52"/>
      <c r="N89" s="52"/>
      <c r="O89" s="52"/>
      <c r="P89" s="29">
        <f t="shared" ref="P89:R91" si="22">SUM(H99,-G99)/G99</f>
        <v>0</v>
      </c>
      <c r="Q89" s="29">
        <f t="shared" si="22"/>
        <v>0</v>
      </c>
      <c r="R89" s="29">
        <f t="shared" si="22"/>
        <v>0</v>
      </c>
      <c r="S89" s="29">
        <f>SUM(T89,-J99)/J99</f>
        <v>0</v>
      </c>
      <c r="T89" s="27">
        <v>1629</v>
      </c>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row>
    <row r="90" spans="3:144">
      <c r="C90" s="5" t="s">
        <v>77</v>
      </c>
      <c r="D90" s="2" t="s">
        <v>78</v>
      </c>
      <c r="E90" s="2"/>
      <c r="F90" s="206">
        <v>636</v>
      </c>
      <c r="G90" s="207">
        <v>402</v>
      </c>
      <c r="H90" s="207">
        <v>691</v>
      </c>
      <c r="I90" s="207">
        <v>624</v>
      </c>
      <c r="J90" s="207">
        <v>434</v>
      </c>
      <c r="K90" s="47"/>
      <c r="L90" s="52"/>
      <c r="M90" s="52"/>
      <c r="N90" s="52"/>
      <c r="O90" s="52"/>
      <c r="P90" s="29">
        <f t="shared" si="22"/>
        <v>0</v>
      </c>
      <c r="Q90" s="29">
        <f t="shared" si="22"/>
        <v>0</v>
      </c>
      <c r="R90" s="29">
        <f t="shared" si="22"/>
        <v>0</v>
      </c>
      <c r="S90" s="29">
        <f>SUM(T90,-J100)/J100</f>
        <v>0</v>
      </c>
      <c r="T90" s="27">
        <v>-54</v>
      </c>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row>
    <row r="91" spans="3:144">
      <c r="C91" s="12" t="s">
        <v>79</v>
      </c>
      <c r="D91" s="13"/>
      <c r="E91" s="13"/>
      <c r="F91" s="208">
        <f>SUM(F90,F89,F87,F82,F62,F57,)</f>
        <v>2730</v>
      </c>
      <c r="G91" s="209">
        <f>SUM(G90,G89,G87,G82,G62,G57,)</f>
        <v>3059</v>
      </c>
      <c r="H91" s="209">
        <f>SUM(H90,H89,H87,H82,H62,H57,)</f>
        <v>2840</v>
      </c>
      <c r="I91" s="209">
        <f>SUM(I90,I89,I87,I82,I62,I57,)</f>
        <v>2970</v>
      </c>
      <c r="J91" s="209">
        <f>SUM(J90,J89,J87,J82,J62,J57,)</f>
        <v>3110</v>
      </c>
      <c r="K91" s="47"/>
      <c r="L91" s="52"/>
      <c r="M91" s="52"/>
      <c r="N91" s="52"/>
      <c r="O91" s="52"/>
      <c r="P91" s="29">
        <f t="shared" si="22"/>
        <v>9.9020674646354737E-2</v>
      </c>
      <c r="Q91" s="29">
        <f t="shared" si="22"/>
        <v>0.20396039603960395</v>
      </c>
      <c r="R91" s="29">
        <f t="shared" si="22"/>
        <v>8.9638157894736836E-2</v>
      </c>
      <c r="S91" s="29">
        <f>SUM(T91,-J101)/J101</f>
        <v>0.26867924528301884</v>
      </c>
      <c r="T91" s="27">
        <v>1681</v>
      </c>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row>
    <row r="92" spans="3:144">
      <c r="C92" s="14"/>
      <c r="D92" s="14"/>
      <c r="E92" s="2"/>
      <c r="F92" s="210"/>
      <c r="G92" s="195"/>
      <c r="H92" s="195"/>
      <c r="I92" s="195"/>
      <c r="J92" s="195"/>
      <c r="K92" s="47"/>
      <c r="L92" s="52"/>
      <c r="M92" s="52"/>
      <c r="N92" s="52"/>
      <c r="O92" s="52"/>
      <c r="P92" s="33"/>
      <c r="Q92" s="33"/>
      <c r="R92" s="33"/>
      <c r="S92" s="33"/>
      <c r="T92" s="34"/>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row>
    <row r="93" spans="3:144">
      <c r="C93" s="5" t="s">
        <v>80</v>
      </c>
      <c r="D93" s="2" t="s">
        <v>81</v>
      </c>
      <c r="E93" s="2"/>
      <c r="F93" s="206">
        <v>205</v>
      </c>
      <c r="G93" s="207">
        <v>6</v>
      </c>
      <c r="H93" s="207">
        <v>224</v>
      </c>
      <c r="I93" s="207">
        <v>112</v>
      </c>
      <c r="J93" s="207">
        <v>0</v>
      </c>
      <c r="K93" s="47"/>
      <c r="L93" s="52"/>
      <c r="M93" s="52"/>
      <c r="N93" s="52"/>
      <c r="O93" s="52"/>
      <c r="P93" s="33">
        <f>SUM(H103,G103)/G103</f>
        <v>14.5</v>
      </c>
      <c r="Q93" s="33">
        <f t="shared" ref="Q93:Q102" si="23">SUM(I103,-H103)/H103</f>
        <v>-0.66666666666666663</v>
      </c>
      <c r="R93" s="33">
        <f t="shared" ref="R93:R102" si="24">SUM(J103,-I103)/I103</f>
        <v>3.5555555555555554</v>
      </c>
      <c r="S93" s="33"/>
      <c r="T93" s="34"/>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row>
    <row r="94" spans="3:144">
      <c r="C94" s="14"/>
      <c r="D94" s="14"/>
      <c r="E94" s="2"/>
      <c r="F94" s="194">
        <v>9801</v>
      </c>
      <c r="G94" s="195">
        <v>10387</v>
      </c>
      <c r="H94" s="195">
        <v>9949</v>
      </c>
      <c r="I94" s="195">
        <v>10333</v>
      </c>
      <c r="J94" s="195">
        <v>10725</v>
      </c>
      <c r="K94" s="47"/>
      <c r="L94" s="52"/>
      <c r="M94" s="52"/>
      <c r="N94" s="52"/>
      <c r="O94" s="52"/>
      <c r="P94" s="33"/>
      <c r="Q94" s="33">
        <f t="shared" si="23"/>
        <v>-0.7142857142857143</v>
      </c>
      <c r="R94" s="33">
        <f t="shared" si="24"/>
        <v>4.5</v>
      </c>
      <c r="S94" s="33"/>
      <c r="T94" s="34"/>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row>
    <row r="95" spans="3:144">
      <c r="C95" s="15" t="s">
        <v>82</v>
      </c>
      <c r="D95" s="16" t="s">
        <v>83</v>
      </c>
      <c r="E95" s="17"/>
      <c r="F95" s="211">
        <f ca="1">SUM(F93,F91,F46)</f>
        <v>9801</v>
      </c>
      <c r="G95" s="212">
        <f ca="1">SUM(G93,G91,G46)</f>
        <v>10387</v>
      </c>
      <c r="H95" s="212">
        <f ca="1">SUM(H93,H91,H46)</f>
        <v>9949</v>
      </c>
      <c r="I95" s="212">
        <f ca="1">SUM(I93,I91,I46)</f>
        <v>10333</v>
      </c>
      <c r="J95" s="212">
        <f ca="1">SUM(J93,J91,J46)</f>
        <v>10725</v>
      </c>
      <c r="K95" s="47"/>
      <c r="L95" s="52"/>
      <c r="M95" s="52"/>
      <c r="N95" s="52"/>
      <c r="O95" s="52"/>
      <c r="P95" s="29">
        <f t="shared" ref="P95:P102" si="25">SUM(H105,-G105)/G105</f>
        <v>9</v>
      </c>
      <c r="Q95" s="29">
        <f t="shared" si="23"/>
        <v>-0.65</v>
      </c>
      <c r="R95" s="29">
        <f t="shared" si="24"/>
        <v>3.2857142857142856</v>
      </c>
      <c r="S95" s="29"/>
      <c r="T95" s="27"/>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row>
    <row r="96" spans="3:144">
      <c r="C96" s="5"/>
      <c r="D96" s="18"/>
      <c r="E96" s="2"/>
      <c r="F96" s="194"/>
      <c r="G96" s="195"/>
      <c r="H96" s="195"/>
      <c r="I96" s="195"/>
      <c r="J96" s="195"/>
      <c r="K96" s="47"/>
      <c r="L96" s="52"/>
      <c r="M96" s="52"/>
      <c r="N96" s="52"/>
      <c r="O96" s="52"/>
      <c r="P96" s="29">
        <f t="shared" si="25"/>
        <v>-0.2087912087912088</v>
      </c>
      <c r="Q96" s="29">
        <f t="shared" si="23"/>
        <v>-2.7777777777777776E-2</v>
      </c>
      <c r="R96" s="29">
        <f t="shared" si="24"/>
        <v>0.1</v>
      </c>
      <c r="S96" s="29"/>
      <c r="T96" s="27"/>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row>
    <row r="97" spans="3:144" ht="21">
      <c r="C97" s="119" t="s">
        <v>84</v>
      </c>
      <c r="D97" s="19"/>
      <c r="E97" s="19"/>
      <c r="F97" s="213"/>
      <c r="G97" s="195"/>
      <c r="H97" s="195"/>
      <c r="I97" s="195"/>
      <c r="J97" s="195"/>
      <c r="K97" s="47"/>
      <c r="L97" s="52"/>
      <c r="M97" s="52"/>
      <c r="N97" s="52"/>
      <c r="O97" s="52"/>
      <c r="P97" s="29">
        <f t="shared" si="25"/>
        <v>-0.26923076923076922</v>
      </c>
      <c r="Q97" s="29">
        <f t="shared" si="23"/>
        <v>-5.2631578947368418E-2</v>
      </c>
      <c r="R97" s="29">
        <f t="shared" si="24"/>
        <v>0.1111111111111111</v>
      </c>
      <c r="S97" s="29"/>
      <c r="T97" s="27"/>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row>
    <row r="98" spans="3:144" ht="19.2">
      <c r="C98" s="3" t="s">
        <v>85</v>
      </c>
      <c r="D98" s="2" t="s">
        <v>86</v>
      </c>
      <c r="E98" s="2"/>
      <c r="F98" s="194"/>
      <c r="G98" s="195"/>
      <c r="H98" s="195"/>
      <c r="I98" s="195"/>
      <c r="J98" s="195"/>
      <c r="K98" s="47"/>
      <c r="L98" s="52"/>
      <c r="M98" s="52"/>
      <c r="N98" s="52"/>
      <c r="O98" s="52"/>
      <c r="P98" s="29">
        <f t="shared" si="25"/>
        <v>-0.18461538461538463</v>
      </c>
      <c r="Q98" s="29">
        <f t="shared" si="23"/>
        <v>-1.8867924528301886E-2</v>
      </c>
      <c r="R98" s="29">
        <f t="shared" si="24"/>
        <v>9.6153846153846159E-2</v>
      </c>
      <c r="S98" s="29"/>
      <c r="T98" s="27"/>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row>
    <row r="99" spans="3:144">
      <c r="C99" s="2" t="s">
        <v>87</v>
      </c>
      <c r="D99" s="2" t="s">
        <v>88</v>
      </c>
      <c r="E99" s="2"/>
      <c r="F99" s="194">
        <v>1629</v>
      </c>
      <c r="G99" s="195">
        <v>1629</v>
      </c>
      <c r="H99" s="195">
        <v>1629</v>
      </c>
      <c r="I99" s="195">
        <v>1629</v>
      </c>
      <c r="J99" s="195">
        <v>1629</v>
      </c>
      <c r="K99" s="47"/>
      <c r="L99" s="52"/>
      <c r="M99" s="52"/>
      <c r="N99" s="52"/>
      <c r="O99" s="52"/>
      <c r="P99" s="29">
        <f t="shared" si="25"/>
        <v>0.26293103448275862</v>
      </c>
      <c r="Q99" s="29">
        <f t="shared" si="23"/>
        <v>0.17406143344709898</v>
      </c>
      <c r="R99" s="29">
        <f t="shared" si="24"/>
        <v>0.1308139534883721</v>
      </c>
      <c r="S99" s="29">
        <f>SUM(T99,-J109)/J109</f>
        <v>-0.71208226221079696</v>
      </c>
      <c r="T99" s="27">
        <v>112</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row>
    <row r="100" spans="3:144">
      <c r="C100" s="2" t="s">
        <v>161</v>
      </c>
      <c r="D100" s="2" t="s">
        <v>89</v>
      </c>
      <c r="E100" s="2"/>
      <c r="F100" s="194">
        <v>-61</v>
      </c>
      <c r="G100" s="195">
        <v>-54</v>
      </c>
      <c r="H100" s="195">
        <v>-54</v>
      </c>
      <c r="I100" s="195">
        <v>-54</v>
      </c>
      <c r="J100" s="195">
        <v>-54</v>
      </c>
      <c r="K100" s="47"/>
      <c r="L100" s="52"/>
      <c r="M100" s="52"/>
      <c r="N100" s="52"/>
      <c r="O100" s="52"/>
      <c r="P100" s="36">
        <f t="shared" si="25"/>
        <v>5.5759354365370509E-2</v>
      </c>
      <c r="Q100" s="36">
        <f t="shared" si="23"/>
        <v>8.9298123697011816E-2</v>
      </c>
      <c r="R100" s="36">
        <f t="shared" si="24"/>
        <v>4.912280701754386E-2</v>
      </c>
      <c r="S100" s="36">
        <f>SUM(T100,-J110)/J110</f>
        <v>2.4019458802067496E-2</v>
      </c>
      <c r="T100" s="37">
        <f t="shared" ref="T100" si="26">SUM(T89,T90,T91,T99,)</f>
        <v>3368</v>
      </c>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row>
    <row r="101" spans="3:144">
      <c r="C101" s="2" t="s">
        <v>160</v>
      </c>
      <c r="D101" s="2" t="s">
        <v>90</v>
      </c>
      <c r="E101" s="2"/>
      <c r="F101" s="194">
        <v>1005</v>
      </c>
      <c r="G101" s="195">
        <v>919</v>
      </c>
      <c r="H101" s="195">
        <v>1010</v>
      </c>
      <c r="I101" s="195">
        <v>1216</v>
      </c>
      <c r="J101" s="195">
        <v>1325</v>
      </c>
      <c r="K101" s="47"/>
      <c r="L101" s="52"/>
      <c r="M101" s="52"/>
      <c r="N101" s="52"/>
      <c r="O101" s="52"/>
      <c r="P101" s="29">
        <f t="shared" si="25"/>
        <v>-0.75587703435804698</v>
      </c>
      <c r="Q101" s="29">
        <f t="shared" si="23"/>
        <v>1.874074074074074</v>
      </c>
      <c r="R101" s="29">
        <f t="shared" si="24"/>
        <v>-6.7010309278350513E-2</v>
      </c>
      <c r="S101" s="29">
        <f>SUM(T101,-J111)/J111</f>
        <v>4.4198895027624308E-2</v>
      </c>
      <c r="T101" s="27">
        <v>378</v>
      </c>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row>
    <row r="102" spans="3:144">
      <c r="C102" s="11" t="s">
        <v>17</v>
      </c>
      <c r="D102" s="11"/>
      <c r="E102" s="11"/>
      <c r="F102" s="198"/>
      <c r="G102" s="199"/>
      <c r="H102" s="199"/>
      <c r="I102" s="199"/>
      <c r="J102" s="199"/>
      <c r="K102" s="47"/>
      <c r="L102" s="52"/>
      <c r="M102" s="52"/>
      <c r="N102" s="52"/>
      <c r="O102" s="52"/>
      <c r="P102" s="40">
        <f t="shared" si="25"/>
        <v>-8.1122293382128702E-2</v>
      </c>
      <c r="Q102" s="40">
        <f t="shared" si="23"/>
        <v>0.16926651178227681</v>
      </c>
      <c r="R102" s="40">
        <f t="shared" si="24"/>
        <v>3.6332671019017881E-2</v>
      </c>
      <c r="S102" s="40">
        <f>SUM(T102,-J112)/J112</f>
        <v>2.6020268419611064E-2</v>
      </c>
      <c r="T102" s="41">
        <f t="shared" ref="T102" si="27">SUM(T101,T100)</f>
        <v>3746</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row>
    <row r="103" spans="3:144" ht="28.8">
      <c r="C103" s="20" t="s">
        <v>91</v>
      </c>
      <c r="D103" s="11"/>
      <c r="E103" s="11"/>
      <c r="F103" s="198">
        <v>-33</v>
      </c>
      <c r="G103" s="199">
        <v>-2</v>
      </c>
      <c r="H103" s="199">
        <v>-27</v>
      </c>
      <c r="I103" s="199">
        <v>-9</v>
      </c>
      <c r="J103" s="199">
        <v>-41</v>
      </c>
      <c r="K103" s="47"/>
      <c r="L103" s="52"/>
      <c r="M103" s="52"/>
      <c r="N103" s="52"/>
      <c r="O103" s="52"/>
      <c r="P103" s="29"/>
      <c r="Q103" s="29"/>
      <c r="R103" s="29"/>
      <c r="S103" s="29"/>
      <c r="T103" s="27"/>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row>
    <row r="104" spans="3:144">
      <c r="C104" s="11" t="s">
        <v>92</v>
      </c>
      <c r="D104" s="11"/>
      <c r="E104" s="11"/>
      <c r="F104" s="198">
        <v>8</v>
      </c>
      <c r="G104" s="199">
        <v>0</v>
      </c>
      <c r="H104" s="199">
        <v>7</v>
      </c>
      <c r="I104" s="199">
        <v>2</v>
      </c>
      <c r="J104" s="199">
        <v>11</v>
      </c>
      <c r="K104" s="47"/>
      <c r="L104" s="52"/>
      <c r="M104" s="52"/>
      <c r="N104" s="52"/>
      <c r="O104" s="52"/>
      <c r="P104" s="29"/>
      <c r="Q104" s="29"/>
      <c r="R104" s="29"/>
      <c r="S104" s="29"/>
      <c r="T104" s="27"/>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row>
    <row r="105" spans="3:144">
      <c r="C105" s="11" t="s">
        <v>93</v>
      </c>
      <c r="D105" s="2"/>
      <c r="E105" s="2"/>
      <c r="F105" s="194">
        <v>-25</v>
      </c>
      <c r="G105" s="195">
        <f>SUM(G103:G104)</f>
        <v>-2</v>
      </c>
      <c r="H105" s="195">
        <f>SUM(H103:H104)</f>
        <v>-20</v>
      </c>
      <c r="I105" s="195">
        <f>SUM(I103:I104)</f>
        <v>-7</v>
      </c>
      <c r="J105" s="195">
        <f>SUM(J103:J104)</f>
        <v>-30</v>
      </c>
      <c r="K105" s="47"/>
      <c r="L105" s="52"/>
      <c r="M105" s="52"/>
      <c r="N105" s="52"/>
      <c r="O105" s="52"/>
      <c r="P105" s="29"/>
      <c r="Q105" s="29"/>
      <c r="R105" s="29"/>
      <c r="S105" s="29"/>
      <c r="T105" s="27"/>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row>
    <row r="106" spans="3:144">
      <c r="C106" s="11" t="s">
        <v>94</v>
      </c>
      <c r="D106" s="2"/>
      <c r="E106" s="2"/>
      <c r="F106" s="194">
        <v>-64</v>
      </c>
      <c r="G106" s="195">
        <v>-91</v>
      </c>
      <c r="H106" s="195">
        <v>-72</v>
      </c>
      <c r="I106" s="195">
        <v>-70</v>
      </c>
      <c r="J106" s="195">
        <v>-77</v>
      </c>
      <c r="K106" s="47"/>
      <c r="L106" s="52"/>
      <c r="M106" s="52"/>
      <c r="N106" s="52"/>
      <c r="O106" s="52"/>
      <c r="P106" s="29"/>
      <c r="Q106" s="29"/>
      <c r="R106" s="29"/>
      <c r="S106" s="29"/>
      <c r="T106" s="27"/>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row>
    <row r="107" spans="3:144">
      <c r="C107" s="11" t="s">
        <v>92</v>
      </c>
      <c r="D107" s="2"/>
      <c r="E107" s="2"/>
      <c r="F107" s="194">
        <v>16</v>
      </c>
      <c r="G107" s="195">
        <v>26</v>
      </c>
      <c r="H107" s="195">
        <v>19</v>
      </c>
      <c r="I107" s="195">
        <v>18</v>
      </c>
      <c r="J107" s="195">
        <v>20</v>
      </c>
      <c r="K107" s="47"/>
      <c r="L107" s="52"/>
      <c r="M107" s="52"/>
      <c r="N107" s="52"/>
      <c r="O107" s="52"/>
      <c r="P107" s="29">
        <f t="shared" ref="P107:R111" si="28">SUM(H117,-G117)/G117</f>
        <v>6.8548387096774188E-2</v>
      </c>
      <c r="Q107" s="29">
        <f t="shared" si="28"/>
        <v>-0.17735849056603772</v>
      </c>
      <c r="R107" s="29">
        <f t="shared" si="28"/>
        <v>0.16972477064220184</v>
      </c>
      <c r="S107" s="29"/>
      <c r="T107" s="27"/>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row>
    <row r="108" spans="3:144">
      <c r="C108" s="11" t="s">
        <v>95</v>
      </c>
      <c r="D108" s="2"/>
      <c r="E108" s="2"/>
      <c r="F108" s="194">
        <v>-48</v>
      </c>
      <c r="G108" s="195">
        <f>SUM(G106:G107)</f>
        <v>-65</v>
      </c>
      <c r="H108" s="195">
        <f>SUM(H106:H107)</f>
        <v>-53</v>
      </c>
      <c r="I108" s="195">
        <f>SUM(I106:I107)</f>
        <v>-52</v>
      </c>
      <c r="J108" s="195">
        <f>SUM(J106:J107)</f>
        <v>-57</v>
      </c>
      <c r="K108" s="47"/>
      <c r="L108" s="52"/>
      <c r="M108" s="52"/>
      <c r="N108" s="52"/>
      <c r="O108" s="52"/>
      <c r="P108" s="29">
        <f t="shared" si="28"/>
        <v>-0.14693446088794926</v>
      </c>
      <c r="Q108" s="29">
        <f t="shared" si="28"/>
        <v>-6.4436183395291197E-2</v>
      </c>
      <c r="R108" s="29">
        <f t="shared" si="28"/>
        <v>-0.15496688741721854</v>
      </c>
      <c r="S108" s="29"/>
      <c r="T108" s="27"/>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row>
    <row r="109" spans="3:144">
      <c r="C109" s="2" t="s">
        <v>96</v>
      </c>
      <c r="D109" s="2" t="s">
        <v>97</v>
      </c>
      <c r="E109" s="2"/>
      <c r="F109" s="194">
        <v>73</v>
      </c>
      <c r="G109" s="195">
        <v>232</v>
      </c>
      <c r="H109" s="195">
        <v>293</v>
      </c>
      <c r="I109" s="195">
        <v>344</v>
      </c>
      <c r="J109" s="195">
        <v>389</v>
      </c>
      <c r="K109" s="47"/>
      <c r="L109" s="52"/>
      <c r="M109" s="52"/>
      <c r="N109" s="52"/>
      <c r="O109" s="52"/>
      <c r="P109" s="29">
        <f t="shared" si="28"/>
        <v>7</v>
      </c>
      <c r="Q109" s="29">
        <f t="shared" si="28"/>
        <v>0.15</v>
      </c>
      <c r="R109" s="29">
        <f t="shared" si="28"/>
        <v>1.5434782608695652</v>
      </c>
      <c r="S109" s="29"/>
      <c r="T109" s="27"/>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row>
    <row r="110" spans="3:144">
      <c r="C110" s="12" t="s">
        <v>98</v>
      </c>
      <c r="D110" s="13" t="s">
        <v>99</v>
      </c>
      <c r="E110" s="13"/>
      <c r="F110" s="208">
        <f t="shared" ref="F110:G110" si="29">SUM(F99,F100,F101,F109,)</f>
        <v>2646</v>
      </c>
      <c r="G110" s="209">
        <f t="shared" si="29"/>
        <v>2726</v>
      </c>
      <c r="H110" s="209">
        <f>SUM(H99,H100,H101,H109,)</f>
        <v>2878</v>
      </c>
      <c r="I110" s="209">
        <f>SUM(I99,I100,I101,I109,)</f>
        <v>3135</v>
      </c>
      <c r="J110" s="209">
        <f>SUM(J99,J100,J101,J109,)</f>
        <v>3289</v>
      </c>
      <c r="K110" s="47"/>
      <c r="L110" s="52"/>
      <c r="M110" s="52"/>
      <c r="N110" s="52"/>
      <c r="O110" s="52"/>
      <c r="P110" s="29">
        <f t="shared" si="28"/>
        <v>-0.2</v>
      </c>
      <c r="Q110" s="29">
        <f t="shared" si="28"/>
        <v>-0.25</v>
      </c>
      <c r="R110" s="29">
        <f t="shared" si="28"/>
        <v>-0.33333333333333331</v>
      </c>
      <c r="S110" s="29"/>
      <c r="T110" s="27"/>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row>
    <row r="111" spans="3:144">
      <c r="C111" s="5" t="s">
        <v>100</v>
      </c>
      <c r="D111" s="2" t="s">
        <v>101</v>
      </c>
      <c r="E111" s="2"/>
      <c r="F111" s="194">
        <v>613</v>
      </c>
      <c r="G111" s="195">
        <v>553</v>
      </c>
      <c r="H111" s="195">
        <v>135</v>
      </c>
      <c r="I111" s="195">
        <v>388</v>
      </c>
      <c r="J111" s="195">
        <v>362</v>
      </c>
      <c r="K111" s="47"/>
      <c r="L111" s="52"/>
      <c r="M111" s="52"/>
      <c r="N111" s="52"/>
      <c r="O111" s="52"/>
      <c r="P111" s="31">
        <f t="shared" si="28"/>
        <v>1.8917345750873109E-2</v>
      </c>
      <c r="Q111" s="31">
        <f t="shared" si="28"/>
        <v>-0.14767209368751785</v>
      </c>
      <c r="R111" s="31">
        <f t="shared" si="28"/>
        <v>0.10824396782841823</v>
      </c>
      <c r="S111" s="31">
        <f>SUM(T111,-J121)/J121</f>
        <v>-7.7109162382824309E-2</v>
      </c>
      <c r="T111" s="35">
        <v>3052</v>
      </c>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row>
    <row r="112" spans="3:144">
      <c r="C112" s="21" t="s">
        <v>102</v>
      </c>
      <c r="D112" s="22"/>
      <c r="E112" s="21"/>
      <c r="F112" s="214">
        <f t="shared" ref="F112:G112" si="30">SUM(F111,F110)</f>
        <v>3259</v>
      </c>
      <c r="G112" s="215">
        <f t="shared" si="30"/>
        <v>3279</v>
      </c>
      <c r="H112" s="215">
        <f>SUM(H111,H110)</f>
        <v>3013</v>
      </c>
      <c r="I112" s="215">
        <f>SUM(I111,I110)</f>
        <v>3523</v>
      </c>
      <c r="J112" s="215">
        <f>SUM(J111,J110)</f>
        <v>3651</v>
      </c>
      <c r="K112" s="47"/>
      <c r="L112" s="52"/>
      <c r="M112" s="52"/>
      <c r="N112" s="52"/>
      <c r="O112" s="52"/>
      <c r="P112" s="29"/>
      <c r="Q112" s="29"/>
      <c r="R112" s="29"/>
      <c r="S112" s="29"/>
      <c r="T112" s="27"/>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row>
    <row r="113" spans="3:144">
      <c r="C113" s="2"/>
      <c r="D113" s="2"/>
      <c r="E113" s="2"/>
      <c r="F113" s="194"/>
      <c r="G113" s="195"/>
      <c r="H113" s="195"/>
      <c r="I113" s="195"/>
      <c r="J113" s="195"/>
      <c r="K113" s="47"/>
      <c r="L113" s="52"/>
      <c r="M113" s="52"/>
      <c r="N113" s="52"/>
      <c r="O113" s="52"/>
      <c r="P113" s="29">
        <f t="shared" ref="P113:R115" si="31">SUM(H123,-G123)/G123</f>
        <v>-4.5454545454545456E-2</v>
      </c>
      <c r="Q113" s="29">
        <f t="shared" si="31"/>
        <v>-1.7857142857142856E-2</v>
      </c>
      <c r="R113" s="29">
        <f t="shared" si="31"/>
        <v>-3.6363636363636362E-2</v>
      </c>
      <c r="S113" s="29"/>
      <c r="T113" s="27"/>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row>
    <row r="114" spans="3:144" ht="19.2">
      <c r="C114" s="3" t="s">
        <v>103</v>
      </c>
      <c r="D114" s="2"/>
      <c r="E114" s="2"/>
      <c r="F114" s="194"/>
      <c r="G114" s="195"/>
      <c r="H114" s="195"/>
      <c r="I114" s="195"/>
      <c r="J114" s="195"/>
      <c r="K114" s="47"/>
      <c r="L114" s="52"/>
      <c r="M114" s="52"/>
      <c r="N114" s="52"/>
      <c r="O114" s="52"/>
      <c r="P114" s="29">
        <f t="shared" si="31"/>
        <v>-0.20105820105820105</v>
      </c>
      <c r="Q114" s="29">
        <f t="shared" si="31"/>
        <v>-1.3245033112582781E-2</v>
      </c>
      <c r="R114" s="29">
        <f t="shared" si="31"/>
        <v>-6.7114093959731542E-3</v>
      </c>
      <c r="S114" s="29"/>
      <c r="T114" s="27"/>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row>
    <row r="115" spans="3:144" ht="16.2">
      <c r="C115" s="109" t="s">
        <v>104</v>
      </c>
      <c r="D115" s="2"/>
      <c r="E115" s="2"/>
      <c r="F115" s="194"/>
      <c r="G115" s="195"/>
      <c r="H115" s="195"/>
      <c r="I115" s="195"/>
      <c r="J115" s="195"/>
      <c r="K115" s="47"/>
      <c r="L115" s="52"/>
      <c r="M115" s="52"/>
      <c r="N115" s="52"/>
      <c r="O115" s="52"/>
      <c r="P115" s="31">
        <f t="shared" si="31"/>
        <v>-0.12602739726027398</v>
      </c>
      <c r="Q115" s="31">
        <f t="shared" si="31"/>
        <v>-1.5673981191222569E-2</v>
      </c>
      <c r="R115" s="31">
        <f t="shared" si="31"/>
        <v>-2.2292993630573247E-2</v>
      </c>
      <c r="S115" s="31">
        <f>SUM(T115,-J125)/J125</f>
        <v>-2.2801302931596091E-2</v>
      </c>
      <c r="T115" s="32">
        <v>300</v>
      </c>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row>
    <row r="116" spans="3:144">
      <c r="C116" s="5" t="s">
        <v>105</v>
      </c>
      <c r="D116" s="2"/>
      <c r="E116" s="2"/>
      <c r="F116" s="194"/>
      <c r="G116" s="195"/>
      <c r="H116" s="195"/>
      <c r="I116" s="195"/>
      <c r="J116" s="195"/>
      <c r="K116" s="47"/>
      <c r="L116" s="52"/>
      <c r="M116" s="52"/>
      <c r="N116" s="52"/>
      <c r="O116" s="52"/>
      <c r="P116" s="29"/>
      <c r="Q116" s="29"/>
      <c r="R116" s="29"/>
      <c r="S116" s="29"/>
      <c r="T116" s="27"/>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row>
    <row r="117" spans="3:144">
      <c r="C117" s="2" t="s">
        <v>106</v>
      </c>
      <c r="D117" s="2"/>
      <c r="E117" s="2"/>
      <c r="F117" s="194">
        <v>2431</v>
      </c>
      <c r="G117" s="195">
        <v>2480</v>
      </c>
      <c r="H117" s="195">
        <v>2650</v>
      </c>
      <c r="I117" s="195">
        <v>2180</v>
      </c>
      <c r="J117" s="195">
        <v>2550</v>
      </c>
      <c r="K117" s="47"/>
      <c r="L117" s="52"/>
      <c r="M117" s="52"/>
      <c r="N117" s="52"/>
      <c r="O117" s="52"/>
      <c r="P117" s="29">
        <f t="shared" ref="P117:R122" si="32">SUM(H127,-G127)/G127</f>
        <v>7.6190476190476197E-2</v>
      </c>
      <c r="Q117" s="29">
        <f t="shared" si="32"/>
        <v>5.3097345132743362E-2</v>
      </c>
      <c r="R117" s="29">
        <f t="shared" si="32"/>
        <v>0.1092436974789916</v>
      </c>
      <c r="S117" s="29"/>
      <c r="T117" s="27"/>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row>
    <row r="118" spans="3:144">
      <c r="C118" s="2" t="s">
        <v>107</v>
      </c>
      <c r="D118" s="2"/>
      <c r="E118" s="2"/>
      <c r="F118" s="194">
        <v>657</v>
      </c>
      <c r="G118" s="195">
        <v>946</v>
      </c>
      <c r="H118" s="195">
        <v>807</v>
      </c>
      <c r="I118" s="195">
        <v>755</v>
      </c>
      <c r="J118" s="195">
        <v>638</v>
      </c>
      <c r="K118" s="47"/>
      <c r="L118" s="52"/>
      <c r="M118" s="52"/>
      <c r="N118" s="52"/>
      <c r="O118" s="52"/>
      <c r="P118" s="29">
        <f t="shared" si="32"/>
        <v>0</v>
      </c>
      <c r="Q118" s="29">
        <f t="shared" si="32"/>
        <v>4.2553191489361701E-2</v>
      </c>
      <c r="R118" s="29">
        <f t="shared" si="32"/>
        <v>0</v>
      </c>
      <c r="S118" s="29"/>
      <c r="T118" s="27"/>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row>
    <row r="119" spans="3:144">
      <c r="C119" s="2" t="s">
        <v>108</v>
      </c>
      <c r="D119" s="2"/>
      <c r="E119" s="2"/>
      <c r="F119" s="194">
        <v>1</v>
      </c>
      <c r="G119" s="195">
        <v>5</v>
      </c>
      <c r="H119" s="195">
        <v>40</v>
      </c>
      <c r="I119" s="195">
        <v>46</v>
      </c>
      <c r="J119" s="195">
        <v>117</v>
      </c>
      <c r="K119" s="47"/>
      <c r="L119" s="52"/>
      <c r="M119" s="52"/>
      <c r="N119" s="52"/>
      <c r="O119" s="52"/>
      <c r="P119" s="29">
        <f t="shared" si="32"/>
        <v>4.1666666666666664E-2</v>
      </c>
      <c r="Q119" s="29">
        <f t="shared" si="32"/>
        <v>-0.32</v>
      </c>
      <c r="R119" s="29">
        <f t="shared" si="32"/>
        <v>5.8823529411764705E-2</v>
      </c>
      <c r="S119" s="29"/>
      <c r="T119" s="27"/>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row>
    <row r="120" spans="3:144">
      <c r="C120" s="2" t="s">
        <v>109</v>
      </c>
      <c r="D120" s="2"/>
      <c r="E120" s="2"/>
      <c r="F120" s="176">
        <v>0</v>
      </c>
      <c r="G120" s="195">
        <v>5</v>
      </c>
      <c r="H120" s="195">
        <v>4</v>
      </c>
      <c r="I120" s="195">
        <v>3</v>
      </c>
      <c r="J120" s="195">
        <v>2</v>
      </c>
      <c r="K120" s="47"/>
      <c r="L120" s="52"/>
      <c r="M120" s="52"/>
      <c r="N120" s="52"/>
      <c r="O120" s="52"/>
      <c r="P120" s="29">
        <f t="shared" si="32"/>
        <v>-0.45045045045045046</v>
      </c>
      <c r="Q120" s="29">
        <f t="shared" si="32"/>
        <v>-8.1967213114754092E-2</v>
      </c>
      <c r="R120" s="29">
        <f t="shared" si="32"/>
        <v>-0.25</v>
      </c>
      <c r="S120" s="29"/>
      <c r="T120" s="27"/>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row>
    <row r="121" spans="3:144">
      <c r="C121" s="7" t="s">
        <v>110</v>
      </c>
      <c r="D121" s="9"/>
      <c r="E121" s="9"/>
      <c r="F121" s="196">
        <f t="shared" ref="F121:G121" si="33">SUM(F117:F120)</f>
        <v>3089</v>
      </c>
      <c r="G121" s="197">
        <f t="shared" si="33"/>
        <v>3436</v>
      </c>
      <c r="H121" s="197">
        <f>SUM(H117:H120)</f>
        <v>3501</v>
      </c>
      <c r="I121" s="197">
        <f>SUM(I117:I120)</f>
        <v>2984</v>
      </c>
      <c r="J121" s="197">
        <f>SUM(J117:J120)</f>
        <v>3307</v>
      </c>
      <c r="K121" s="47"/>
      <c r="L121" s="52"/>
      <c r="M121" s="52"/>
      <c r="N121" s="52"/>
      <c r="O121" s="52"/>
      <c r="P121" s="29">
        <f t="shared" si="32"/>
        <v>-0.12280701754385964</v>
      </c>
      <c r="Q121" s="29">
        <f t="shared" si="32"/>
        <v>0.18</v>
      </c>
      <c r="R121" s="29">
        <f t="shared" si="32"/>
        <v>0.16949152542372881</v>
      </c>
      <c r="S121" s="29"/>
      <c r="T121" s="27"/>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row>
    <row r="122" spans="3:144">
      <c r="C122" s="5" t="s">
        <v>111</v>
      </c>
      <c r="D122" s="2"/>
      <c r="E122" s="2"/>
      <c r="F122" s="194"/>
      <c r="G122" s="195"/>
      <c r="H122" s="195"/>
      <c r="I122" s="195"/>
      <c r="J122" s="195"/>
      <c r="K122" s="47"/>
      <c r="L122" s="52"/>
      <c r="M122" s="52"/>
      <c r="N122" s="52"/>
      <c r="O122" s="52"/>
      <c r="P122" s="31">
        <f t="shared" si="32"/>
        <v>-6.8554396423248884E-2</v>
      </c>
      <c r="Q122" s="31">
        <f t="shared" si="32"/>
        <v>2.7199999999999998E-2</v>
      </c>
      <c r="R122" s="31">
        <f t="shared" si="32"/>
        <v>5.2959501557632398E-2</v>
      </c>
      <c r="S122" s="31">
        <f>SUM(T122,-J132)/J132</f>
        <v>-1.1834319526627219E-2</v>
      </c>
      <c r="T122" s="32">
        <v>668</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row>
    <row r="123" spans="3:144">
      <c r="C123" s="2" t="s">
        <v>112</v>
      </c>
      <c r="D123" s="2"/>
      <c r="E123" s="2"/>
      <c r="F123" s="194">
        <v>164</v>
      </c>
      <c r="G123" s="195">
        <v>176</v>
      </c>
      <c r="H123" s="195">
        <v>168</v>
      </c>
      <c r="I123" s="195">
        <v>165</v>
      </c>
      <c r="J123" s="195">
        <v>159</v>
      </c>
      <c r="K123" s="47"/>
      <c r="L123" s="52"/>
      <c r="M123" s="52"/>
      <c r="N123" s="52"/>
      <c r="O123" s="52"/>
      <c r="P123" s="29"/>
      <c r="Q123" s="29"/>
      <c r="R123" s="29"/>
      <c r="S123" s="29"/>
      <c r="T123" s="27"/>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row>
    <row r="124" spans="3:144">
      <c r="C124" s="2" t="s">
        <v>113</v>
      </c>
      <c r="D124" s="2"/>
      <c r="E124" s="2"/>
      <c r="F124" s="194">
        <v>168</v>
      </c>
      <c r="G124" s="195">
        <v>189</v>
      </c>
      <c r="H124" s="195">
        <v>151</v>
      </c>
      <c r="I124" s="195">
        <v>149</v>
      </c>
      <c r="J124" s="195">
        <v>148</v>
      </c>
      <c r="K124" s="47"/>
      <c r="L124" s="52"/>
      <c r="M124" s="52"/>
      <c r="N124" s="52"/>
      <c r="O124" s="52"/>
      <c r="P124" s="29">
        <f t="shared" ref="P124:R127" si="34">SUM(H134,-G134)/G134</f>
        <v>0.3888888888888889</v>
      </c>
      <c r="Q124" s="29">
        <f t="shared" si="34"/>
        <v>7.1999999999999995E-2</v>
      </c>
      <c r="R124" s="29">
        <f t="shared" si="34"/>
        <v>4.4776119402985072E-2</v>
      </c>
      <c r="S124" s="29"/>
      <c r="T124" s="27"/>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row>
    <row r="125" spans="3:144">
      <c r="C125" s="7" t="s">
        <v>110</v>
      </c>
      <c r="D125" s="9"/>
      <c r="E125" s="9"/>
      <c r="F125" s="196">
        <f t="shared" ref="F125:G125" si="35">SUM(F123:F124)</f>
        <v>332</v>
      </c>
      <c r="G125" s="197">
        <f t="shared" si="35"/>
        <v>365</v>
      </c>
      <c r="H125" s="197">
        <f>SUM(H123:H124)</f>
        <v>319</v>
      </c>
      <c r="I125" s="197">
        <f>SUM(I123:I124)</f>
        <v>314</v>
      </c>
      <c r="J125" s="197">
        <f>SUM(J123:J124)</f>
        <v>307</v>
      </c>
      <c r="K125" s="47"/>
      <c r="L125" s="52"/>
      <c r="M125" s="52"/>
      <c r="N125" s="52"/>
      <c r="O125" s="52"/>
      <c r="P125" s="29">
        <f t="shared" si="34"/>
        <v>0.21052631578947367</v>
      </c>
      <c r="Q125" s="29">
        <f t="shared" si="34"/>
        <v>-0.39130434782608697</v>
      </c>
      <c r="R125" s="29">
        <f t="shared" si="34"/>
        <v>-0.35714285714285715</v>
      </c>
      <c r="S125" s="29"/>
      <c r="T125" s="27"/>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row>
    <row r="126" spans="3:144">
      <c r="C126" s="5" t="s">
        <v>114</v>
      </c>
      <c r="D126" s="2"/>
      <c r="E126" s="2"/>
      <c r="F126" s="194"/>
      <c r="G126" s="195"/>
      <c r="H126" s="195"/>
      <c r="I126" s="195"/>
      <c r="J126" s="195"/>
      <c r="K126" s="47"/>
      <c r="L126" s="52"/>
      <c r="M126" s="52"/>
      <c r="N126" s="52"/>
      <c r="O126" s="52"/>
      <c r="P126" s="31">
        <f t="shared" si="34"/>
        <v>0.3577981651376147</v>
      </c>
      <c r="Q126" s="31">
        <f t="shared" si="34"/>
        <v>0</v>
      </c>
      <c r="R126" s="31">
        <f t="shared" si="34"/>
        <v>6.7567567567567571E-3</v>
      </c>
      <c r="S126" s="31">
        <f>SUM(T126,-J136)/J136</f>
        <v>3.3557046979865772E-2</v>
      </c>
      <c r="T126" s="35">
        <v>154</v>
      </c>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row>
    <row r="127" spans="3:144">
      <c r="C127" s="2" t="s">
        <v>115</v>
      </c>
      <c r="D127" s="2"/>
      <c r="E127" s="2"/>
      <c r="F127" s="194">
        <v>170</v>
      </c>
      <c r="G127" s="195">
        <v>210</v>
      </c>
      <c r="H127" s="195">
        <v>226</v>
      </c>
      <c r="I127" s="195">
        <v>238</v>
      </c>
      <c r="J127" s="195">
        <v>264</v>
      </c>
      <c r="K127" s="47"/>
      <c r="L127" s="52"/>
      <c r="M127" s="52"/>
      <c r="N127" s="52"/>
      <c r="O127" s="52"/>
      <c r="P127" s="36">
        <f t="shared" si="34"/>
        <v>2.6195153896529143E-3</v>
      </c>
      <c r="Q127" s="36">
        <f t="shared" si="34"/>
        <v>-0.10994992379708252</v>
      </c>
      <c r="R127" s="36">
        <f t="shared" si="34"/>
        <v>8.5861056751467713E-2</v>
      </c>
      <c r="S127" s="36">
        <f>SUM(T127,-J137)/J137</f>
        <v>-5.9698130209506643E-2</v>
      </c>
      <c r="T127" s="37">
        <f t="shared" ref="T127" si="36">SUM(T126,T122,T115,T111)</f>
        <v>4174</v>
      </c>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row>
    <row r="128" spans="3:144">
      <c r="C128" s="2" t="s">
        <v>116</v>
      </c>
      <c r="D128" s="2"/>
      <c r="E128" s="2"/>
      <c r="F128" s="194">
        <v>145</v>
      </c>
      <c r="G128" s="195">
        <v>188</v>
      </c>
      <c r="H128" s="195">
        <v>188</v>
      </c>
      <c r="I128" s="195">
        <v>196</v>
      </c>
      <c r="J128" s="195">
        <v>196</v>
      </c>
      <c r="K128" s="47"/>
      <c r="L128" s="52"/>
      <c r="M128" s="52"/>
      <c r="N128" s="52"/>
      <c r="O128" s="52"/>
      <c r="P128" s="29"/>
      <c r="Q128" s="29"/>
      <c r="R128" s="29"/>
      <c r="S128" s="29"/>
      <c r="T128" s="27"/>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row>
    <row r="129" spans="3:144">
      <c r="C129" s="2" t="s">
        <v>117</v>
      </c>
      <c r="D129" s="2"/>
      <c r="E129" s="2"/>
      <c r="F129" s="194">
        <v>59</v>
      </c>
      <c r="G129" s="195">
        <v>48</v>
      </c>
      <c r="H129" s="195">
        <v>50</v>
      </c>
      <c r="I129" s="195">
        <v>34</v>
      </c>
      <c r="J129" s="195">
        <v>36</v>
      </c>
      <c r="K129" s="47"/>
      <c r="L129" s="52"/>
      <c r="M129" s="52"/>
      <c r="N129" s="52"/>
      <c r="O129" s="52"/>
      <c r="P129" s="29"/>
      <c r="Q129" s="29"/>
      <c r="R129" s="29"/>
      <c r="S129" s="29"/>
      <c r="T129" s="27"/>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row>
    <row r="130" spans="3:144">
      <c r="C130" s="2" t="s">
        <v>118</v>
      </c>
      <c r="D130" s="2"/>
      <c r="E130" s="2"/>
      <c r="F130" s="194">
        <v>131</v>
      </c>
      <c r="G130" s="195">
        <v>111</v>
      </c>
      <c r="H130" s="195">
        <v>61</v>
      </c>
      <c r="I130" s="195">
        <v>56</v>
      </c>
      <c r="J130" s="195">
        <v>42</v>
      </c>
      <c r="K130" s="47"/>
      <c r="L130" s="52"/>
      <c r="M130" s="52"/>
      <c r="N130" s="52"/>
      <c r="O130" s="52"/>
      <c r="P130" s="29"/>
      <c r="Q130" s="29"/>
      <c r="R130" s="29"/>
      <c r="S130" s="29"/>
      <c r="T130" s="27"/>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row>
    <row r="131" spans="3:144">
      <c r="C131" s="2" t="s">
        <v>119</v>
      </c>
      <c r="D131" s="2"/>
      <c r="E131" s="2"/>
      <c r="F131" s="194">
        <v>71</v>
      </c>
      <c r="G131" s="195">
        <v>114</v>
      </c>
      <c r="H131" s="195">
        <v>100</v>
      </c>
      <c r="I131" s="195">
        <v>118</v>
      </c>
      <c r="J131" s="195">
        <v>138</v>
      </c>
      <c r="K131" s="47"/>
      <c r="L131" s="52"/>
      <c r="M131" s="52"/>
      <c r="N131" s="52"/>
      <c r="O131" s="52"/>
      <c r="P131" s="29">
        <f t="shared" ref="P131:R133" si="37">SUM(H141,-G141)/G141</f>
        <v>-0.33333333333333331</v>
      </c>
      <c r="Q131" s="29">
        <f t="shared" si="37"/>
        <v>0.5</v>
      </c>
      <c r="R131" s="29">
        <f t="shared" si="37"/>
        <v>0</v>
      </c>
      <c r="S131" s="29"/>
      <c r="T131" s="27"/>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row>
    <row r="132" spans="3:144">
      <c r="C132" s="7" t="s">
        <v>110</v>
      </c>
      <c r="D132" s="9"/>
      <c r="E132" s="9"/>
      <c r="F132" s="196">
        <f t="shared" ref="F132:G132" si="38">SUM(F127:F131)</f>
        <v>576</v>
      </c>
      <c r="G132" s="197">
        <f t="shared" si="38"/>
        <v>671</v>
      </c>
      <c r="H132" s="197">
        <f>SUM(H127:H131)</f>
        <v>625</v>
      </c>
      <c r="I132" s="197">
        <f>SUM(I127:I131)</f>
        <v>642</v>
      </c>
      <c r="J132" s="197">
        <f>SUM(J127:J131)</f>
        <v>676</v>
      </c>
      <c r="K132" s="47"/>
      <c r="L132" s="52"/>
      <c r="M132" s="52"/>
      <c r="N132" s="52"/>
      <c r="O132" s="52"/>
      <c r="P132" s="29">
        <f t="shared" si="37"/>
        <v>-1.448225923244026E-3</v>
      </c>
      <c r="Q132" s="29">
        <f t="shared" si="37"/>
        <v>2.2480058013052938E-2</v>
      </c>
      <c r="R132" s="29">
        <f t="shared" si="37"/>
        <v>4.8226950354609929E-2</v>
      </c>
      <c r="S132" s="29"/>
      <c r="T132" s="27"/>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row>
    <row r="133" spans="3:144">
      <c r="C133" s="5" t="s">
        <v>120</v>
      </c>
      <c r="D133" s="2"/>
      <c r="E133" s="2"/>
      <c r="F133" s="194"/>
      <c r="G133" s="195"/>
      <c r="H133" s="195"/>
      <c r="I133" s="195"/>
      <c r="J133" s="195"/>
      <c r="K133" s="47"/>
      <c r="L133" s="52"/>
      <c r="M133" s="52"/>
      <c r="N133" s="52"/>
      <c r="O133" s="52"/>
      <c r="P133" s="31">
        <f t="shared" si="37"/>
        <v>-2.167630057803468E-3</v>
      </c>
      <c r="Q133" s="31">
        <f t="shared" si="37"/>
        <v>2.3171614771904415E-2</v>
      </c>
      <c r="R133" s="31">
        <f t="shared" si="37"/>
        <v>4.8124557678697805E-2</v>
      </c>
      <c r="S133" s="31">
        <f>SUM(T133,-J143)/J143</f>
        <v>-0.10668467251856853</v>
      </c>
      <c r="T133" s="32">
        <v>1323</v>
      </c>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row>
    <row r="134" spans="3:144">
      <c r="C134" s="2" t="s">
        <v>121</v>
      </c>
      <c r="D134" s="2"/>
      <c r="E134" s="2"/>
      <c r="F134" s="194">
        <v>72</v>
      </c>
      <c r="G134" s="195">
        <v>90</v>
      </c>
      <c r="H134" s="195">
        <v>125</v>
      </c>
      <c r="I134" s="195">
        <v>134</v>
      </c>
      <c r="J134" s="195">
        <v>140</v>
      </c>
      <c r="K134" s="47"/>
      <c r="L134" s="52"/>
      <c r="M134" s="52"/>
      <c r="N134" s="52"/>
      <c r="O134" s="52"/>
      <c r="P134" s="29"/>
      <c r="Q134" s="29"/>
      <c r="R134" s="29"/>
      <c r="S134" s="29"/>
      <c r="T134" s="27"/>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row>
    <row r="135" spans="3:144">
      <c r="C135" s="2" t="s">
        <v>36</v>
      </c>
      <c r="D135" s="2"/>
      <c r="E135" s="2"/>
      <c r="F135" s="194">
        <v>27</v>
      </c>
      <c r="G135" s="195">
        <v>19</v>
      </c>
      <c r="H135" s="195">
        <v>23</v>
      </c>
      <c r="I135" s="195">
        <v>14</v>
      </c>
      <c r="J135" s="195">
        <v>9</v>
      </c>
      <c r="K135" s="47"/>
      <c r="L135" s="52"/>
      <c r="M135" s="52"/>
      <c r="N135" s="52"/>
      <c r="O135" s="52"/>
      <c r="P135" s="29">
        <f t="shared" ref="P135:P148" si="39">SUM(H145,-G145)/G145</f>
        <v>-2.564102564102564E-2</v>
      </c>
      <c r="Q135" s="29">
        <f t="shared" ref="Q135:Q148" si="40">SUM(I145,-H145)/H145</f>
        <v>0.13157894736842105</v>
      </c>
      <c r="R135" s="29">
        <f t="shared" ref="R135:R148" si="41">SUM(J145,-I145)/I145</f>
        <v>0</v>
      </c>
      <c r="S135" s="29"/>
      <c r="T135" s="27"/>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row>
    <row r="136" spans="3:144">
      <c r="C136" s="7" t="s">
        <v>110</v>
      </c>
      <c r="D136" s="9"/>
      <c r="E136" s="9"/>
      <c r="F136" s="196">
        <f t="shared" ref="F136:G136" si="42">SUM(F134:F135)</f>
        <v>99</v>
      </c>
      <c r="G136" s="197">
        <f t="shared" si="42"/>
        <v>109</v>
      </c>
      <c r="H136" s="197">
        <f>SUM(H134:H135)</f>
        <v>148</v>
      </c>
      <c r="I136" s="197">
        <f>SUM(I134:I135)</f>
        <v>148</v>
      </c>
      <c r="J136" s="197">
        <f>SUM(J134:J135)</f>
        <v>149</v>
      </c>
      <c r="K136" s="47"/>
      <c r="L136" s="52"/>
      <c r="M136" s="52"/>
      <c r="N136" s="52"/>
      <c r="O136" s="52"/>
      <c r="P136" s="29">
        <f t="shared" si="39"/>
        <v>-0.66007905138339917</v>
      </c>
      <c r="Q136" s="29">
        <f t="shared" si="40"/>
        <v>0.81395348837209303</v>
      </c>
      <c r="R136" s="29">
        <f t="shared" si="41"/>
        <v>1.4358974358974359</v>
      </c>
      <c r="S136" s="29"/>
      <c r="T136" s="27"/>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row>
    <row r="137" spans="3:144">
      <c r="C137" s="12" t="s">
        <v>122</v>
      </c>
      <c r="D137" s="13"/>
      <c r="E137" s="13"/>
      <c r="F137" s="208">
        <f t="shared" ref="F137:G137" si="43">SUM(F136,F132,F125,F121)</f>
        <v>4096</v>
      </c>
      <c r="G137" s="209">
        <f t="shared" si="43"/>
        <v>4581</v>
      </c>
      <c r="H137" s="209">
        <f>SUM(H136,H132,H125,H121)</f>
        <v>4593</v>
      </c>
      <c r="I137" s="209">
        <f>SUM(I136,I132,I125,I121)</f>
        <v>4088</v>
      </c>
      <c r="J137" s="209">
        <f>SUM(J136,J132,J125,J121)</f>
        <v>4439</v>
      </c>
      <c r="K137" s="47"/>
      <c r="L137" s="52"/>
      <c r="M137" s="52"/>
      <c r="N137" s="52"/>
      <c r="O137" s="52"/>
      <c r="P137" s="29">
        <f t="shared" si="39"/>
        <v>-0.12168141592920353</v>
      </c>
      <c r="Q137" s="29">
        <f t="shared" si="40"/>
        <v>-3.7783375314861464E-2</v>
      </c>
      <c r="R137" s="29">
        <f t="shared" si="41"/>
        <v>0.10209424083769633</v>
      </c>
      <c r="S137" s="29"/>
      <c r="T137" s="27"/>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row>
    <row r="138" spans="3:144">
      <c r="C138" s="5"/>
      <c r="D138" s="2"/>
      <c r="E138" s="2"/>
      <c r="F138" s="194"/>
      <c r="G138" s="195"/>
      <c r="H138" s="195"/>
      <c r="I138" s="195"/>
      <c r="J138" s="195"/>
      <c r="K138" s="47"/>
      <c r="L138" s="52"/>
      <c r="M138" s="52"/>
      <c r="N138" s="52"/>
      <c r="O138" s="52"/>
      <c r="P138" s="29">
        <f t="shared" si="39"/>
        <v>-0.14814814814814814</v>
      </c>
      <c r="Q138" s="29">
        <f t="shared" si="40"/>
        <v>0.11594202898550725</v>
      </c>
      <c r="R138" s="29">
        <f t="shared" si="41"/>
        <v>0.1038961038961039</v>
      </c>
      <c r="S138" s="29"/>
      <c r="T138" s="27"/>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row>
    <row r="139" spans="3:144" ht="16.2">
      <c r="C139" s="109" t="s">
        <v>123</v>
      </c>
      <c r="D139" s="2"/>
      <c r="E139" s="2"/>
      <c r="F139" s="194"/>
      <c r="G139" s="195"/>
      <c r="H139" s="195"/>
      <c r="I139" s="195"/>
      <c r="J139" s="195"/>
      <c r="K139" s="47"/>
      <c r="L139" s="52"/>
      <c r="M139" s="52"/>
      <c r="N139" s="52"/>
      <c r="O139" s="52"/>
      <c r="P139" s="29">
        <f t="shared" si="39"/>
        <v>0.18055555555555555</v>
      </c>
      <c r="Q139" s="29">
        <f t="shared" si="40"/>
        <v>-5.8823529411764705E-2</v>
      </c>
      <c r="R139" s="29">
        <f t="shared" si="41"/>
        <v>0.3125</v>
      </c>
      <c r="S139" s="29"/>
      <c r="T139" s="27"/>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row>
    <row r="140" spans="3:144">
      <c r="C140" s="5" t="s">
        <v>124</v>
      </c>
      <c r="D140" s="2"/>
      <c r="E140" s="2"/>
      <c r="F140" s="194"/>
      <c r="G140" s="195"/>
      <c r="H140" s="195"/>
      <c r="I140" s="195"/>
      <c r="J140" s="195"/>
      <c r="K140" s="47"/>
      <c r="L140" s="52"/>
      <c r="M140" s="52"/>
      <c r="N140" s="52"/>
      <c r="O140" s="52"/>
      <c r="P140" s="29">
        <f t="shared" si="39"/>
        <v>0.37931034482758619</v>
      </c>
      <c r="Q140" s="29">
        <f t="shared" si="40"/>
        <v>-0.47499999999999998</v>
      </c>
      <c r="R140" s="29">
        <f t="shared" si="41"/>
        <v>0.5714285714285714</v>
      </c>
      <c r="S140" s="29"/>
      <c r="T140" s="27"/>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row>
    <row r="141" spans="3:144">
      <c r="C141" s="2" t="s">
        <v>125</v>
      </c>
      <c r="D141" s="2"/>
      <c r="E141" s="2"/>
      <c r="F141" s="194">
        <v>5</v>
      </c>
      <c r="G141" s="195">
        <v>3</v>
      </c>
      <c r="H141" s="195">
        <v>2</v>
      </c>
      <c r="I141" s="195">
        <v>3</v>
      </c>
      <c r="J141" s="195">
        <v>3</v>
      </c>
      <c r="K141" s="47"/>
      <c r="L141" s="52"/>
      <c r="M141" s="52"/>
      <c r="N141" s="52"/>
      <c r="O141" s="52"/>
      <c r="P141" s="29">
        <f t="shared" si="39"/>
        <v>0</v>
      </c>
      <c r="Q141" s="29">
        <f t="shared" si="40"/>
        <v>0</v>
      </c>
      <c r="R141" s="29">
        <f t="shared" si="41"/>
        <v>0</v>
      </c>
      <c r="S141" s="29"/>
      <c r="T141" s="27"/>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row>
    <row r="142" spans="3:144">
      <c r="C142" s="2" t="s">
        <v>126</v>
      </c>
      <c r="D142" s="2"/>
      <c r="E142" s="2"/>
      <c r="F142" s="194">
        <v>1165</v>
      </c>
      <c r="G142" s="195">
        <v>1381</v>
      </c>
      <c r="H142" s="195">
        <v>1379</v>
      </c>
      <c r="I142" s="195">
        <v>1410</v>
      </c>
      <c r="J142" s="195">
        <v>1478</v>
      </c>
      <c r="K142" s="47"/>
      <c r="L142" s="52"/>
      <c r="M142" s="52"/>
      <c r="N142" s="52"/>
      <c r="O142" s="52"/>
      <c r="P142" s="29">
        <f t="shared" si="39"/>
        <v>-0.2608695652173913</v>
      </c>
      <c r="Q142" s="29">
        <f t="shared" si="40"/>
        <v>-0.11764705882352941</v>
      </c>
      <c r="R142" s="29">
        <f t="shared" si="41"/>
        <v>-2.6666666666666668E-2</v>
      </c>
      <c r="S142" s="29"/>
      <c r="T142" s="27"/>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row>
    <row r="143" spans="3:144">
      <c r="C143" s="7" t="s">
        <v>110</v>
      </c>
      <c r="D143" s="9"/>
      <c r="E143" s="9"/>
      <c r="F143" s="196">
        <f t="shared" ref="F143:G143" si="44">SUM(F141:F142)</f>
        <v>1170</v>
      </c>
      <c r="G143" s="197">
        <f t="shared" si="44"/>
        <v>1384</v>
      </c>
      <c r="H143" s="197">
        <f>SUM(H141:H142)</f>
        <v>1381</v>
      </c>
      <c r="I143" s="197">
        <f>SUM(I141:I142)</f>
        <v>1413</v>
      </c>
      <c r="J143" s="197">
        <f>SUM(J141:J142)</f>
        <v>1481</v>
      </c>
      <c r="K143" s="50"/>
      <c r="L143" s="52"/>
      <c r="M143" s="52"/>
      <c r="N143" s="52"/>
      <c r="O143" s="52"/>
      <c r="P143" s="29">
        <f t="shared" si="39"/>
        <v>-1</v>
      </c>
      <c r="Q143" s="29" t="e">
        <f t="shared" si="40"/>
        <v>#DIV/0!</v>
      </c>
      <c r="R143" s="29" t="e">
        <f t="shared" si="41"/>
        <v>#DIV/0!</v>
      </c>
      <c r="S143" s="29"/>
      <c r="T143" s="27"/>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row>
    <row r="144" spans="3:144">
      <c r="C144" s="5" t="s">
        <v>127</v>
      </c>
      <c r="D144" s="2"/>
      <c r="E144" s="2"/>
      <c r="F144" s="194"/>
      <c r="G144" s="195"/>
      <c r="H144" s="195"/>
      <c r="I144" s="195"/>
      <c r="J144" s="195"/>
      <c r="K144" s="47"/>
      <c r="L144" s="52"/>
      <c r="M144" s="52"/>
      <c r="N144" s="52"/>
      <c r="O144" s="52"/>
      <c r="P144" s="29">
        <f t="shared" si="39"/>
        <v>-1</v>
      </c>
      <c r="Q144" s="29" t="e">
        <f t="shared" si="40"/>
        <v>#DIV/0!</v>
      </c>
      <c r="R144" s="29" t="e">
        <f t="shared" si="41"/>
        <v>#DIV/0!</v>
      </c>
      <c r="S144" s="29"/>
      <c r="T144" s="27"/>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row>
    <row r="145" spans="3:144">
      <c r="C145" s="2" t="s">
        <v>128</v>
      </c>
      <c r="D145" s="2"/>
      <c r="E145" s="2"/>
      <c r="F145" s="180">
        <v>37</v>
      </c>
      <c r="G145" s="181">
        <v>39</v>
      </c>
      <c r="H145" s="181">
        <v>38</v>
      </c>
      <c r="I145" s="181">
        <v>43</v>
      </c>
      <c r="J145" s="181">
        <v>43</v>
      </c>
      <c r="K145" s="47"/>
      <c r="L145" s="52"/>
      <c r="M145" s="52"/>
      <c r="N145" s="52"/>
      <c r="O145" s="52"/>
      <c r="P145" s="29">
        <f t="shared" si="39"/>
        <v>0.16666666666666666</v>
      </c>
      <c r="Q145" s="29">
        <f t="shared" si="40"/>
        <v>0</v>
      </c>
      <c r="R145" s="29">
        <f t="shared" si="41"/>
        <v>-0.5714285714285714</v>
      </c>
      <c r="S145" s="29"/>
      <c r="T145" s="27"/>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row>
    <row r="146" spans="3:144">
      <c r="C146" s="2" t="s">
        <v>53</v>
      </c>
      <c r="D146" s="18"/>
      <c r="E146" s="2"/>
      <c r="F146" s="180">
        <v>51</v>
      </c>
      <c r="G146" s="181">
        <v>253</v>
      </c>
      <c r="H146" s="181">
        <v>86</v>
      </c>
      <c r="I146" s="181">
        <v>156</v>
      </c>
      <c r="J146" s="181">
        <v>380</v>
      </c>
      <c r="K146" s="47"/>
      <c r="L146" s="52"/>
      <c r="M146" s="52"/>
      <c r="N146" s="52"/>
      <c r="O146" s="52"/>
      <c r="P146" s="29">
        <f t="shared" si="39"/>
        <v>-8.3333333333333329E-2</v>
      </c>
      <c r="Q146" s="29">
        <f t="shared" si="40"/>
        <v>0.27272727272727271</v>
      </c>
      <c r="R146" s="29">
        <f t="shared" si="41"/>
        <v>0.21428571428571427</v>
      </c>
      <c r="S146" s="29"/>
      <c r="T146" s="27"/>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row>
    <row r="147" spans="3:144">
      <c r="C147" s="2" t="s">
        <v>129</v>
      </c>
      <c r="D147" s="2"/>
      <c r="E147" s="2"/>
      <c r="F147" s="180">
        <v>433</v>
      </c>
      <c r="G147" s="181">
        <v>452</v>
      </c>
      <c r="H147" s="181">
        <v>397</v>
      </c>
      <c r="I147" s="181">
        <v>382</v>
      </c>
      <c r="J147" s="181">
        <v>421</v>
      </c>
      <c r="K147" s="47"/>
      <c r="L147" s="52"/>
      <c r="M147" s="52"/>
      <c r="N147" s="52"/>
      <c r="O147" s="52"/>
      <c r="P147" s="29">
        <f t="shared" si="39"/>
        <v>0</v>
      </c>
      <c r="Q147" s="29">
        <f t="shared" si="40"/>
        <v>0</v>
      </c>
      <c r="R147" s="29">
        <f t="shared" si="41"/>
        <v>-0.33333333333333331</v>
      </c>
      <c r="S147" s="29"/>
      <c r="T147" s="27"/>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row>
    <row r="148" spans="3:144">
      <c r="C148" s="2" t="s">
        <v>130</v>
      </c>
      <c r="D148" s="2"/>
      <c r="E148" s="2"/>
      <c r="F148" s="180">
        <v>72</v>
      </c>
      <c r="G148" s="181">
        <v>81</v>
      </c>
      <c r="H148" s="181">
        <v>69</v>
      </c>
      <c r="I148" s="181">
        <v>77</v>
      </c>
      <c r="J148" s="181">
        <v>85</v>
      </c>
      <c r="K148" s="47"/>
      <c r="L148" s="52"/>
      <c r="M148" s="52"/>
      <c r="N148" s="52"/>
      <c r="O148" s="52"/>
      <c r="P148" s="29">
        <f t="shared" si="39"/>
        <v>-1</v>
      </c>
      <c r="Q148" s="29" t="e">
        <f t="shared" si="40"/>
        <v>#DIV/0!</v>
      </c>
      <c r="R148" s="29" t="e">
        <f t="shared" si="41"/>
        <v>#DIV/0!</v>
      </c>
      <c r="S148" s="29"/>
      <c r="T148" s="27"/>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row>
    <row r="149" spans="3:144">
      <c r="C149" s="2" t="s">
        <v>131</v>
      </c>
      <c r="D149" s="2"/>
      <c r="E149" s="2"/>
      <c r="F149" s="180">
        <v>100</v>
      </c>
      <c r="G149" s="181">
        <v>72</v>
      </c>
      <c r="H149" s="181">
        <v>85</v>
      </c>
      <c r="I149" s="181">
        <v>80</v>
      </c>
      <c r="J149" s="181">
        <v>105</v>
      </c>
      <c r="K149" s="47"/>
      <c r="L149" s="52"/>
      <c r="M149" s="52"/>
      <c r="N149" s="52"/>
      <c r="O149" s="52"/>
      <c r="P149" s="29" t="e">
        <f>SUM(H159,-G159)/G159</f>
        <v>#DIV/0!</v>
      </c>
      <c r="Q149" s="29"/>
      <c r="R149" s="29">
        <f t="shared" ref="R149:R158" si="45">SUM(J159,-I159)/I159</f>
        <v>0</v>
      </c>
      <c r="S149" s="29"/>
      <c r="T149" s="27"/>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row>
    <row r="150" spans="3:144">
      <c r="C150" s="2" t="s">
        <v>132</v>
      </c>
      <c r="D150" s="2"/>
      <c r="E150" s="2"/>
      <c r="F150" s="180">
        <v>44</v>
      </c>
      <c r="G150" s="181">
        <v>58</v>
      </c>
      <c r="H150" s="181">
        <v>80</v>
      </c>
      <c r="I150" s="181">
        <v>42</v>
      </c>
      <c r="J150" s="181">
        <v>66</v>
      </c>
      <c r="K150" s="47"/>
      <c r="L150" s="52"/>
      <c r="M150" s="52"/>
      <c r="N150" s="52"/>
      <c r="O150" s="52"/>
      <c r="P150" s="29"/>
      <c r="Q150" s="29"/>
      <c r="R150" s="29">
        <f t="shared" si="45"/>
        <v>-0.875</v>
      </c>
      <c r="S150" s="29"/>
      <c r="T150" s="27"/>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row>
    <row r="151" spans="3:144">
      <c r="C151" s="2" t="s">
        <v>133</v>
      </c>
      <c r="D151" s="2"/>
      <c r="E151" s="2"/>
      <c r="F151" s="180">
        <v>8</v>
      </c>
      <c r="G151" s="181">
        <v>7</v>
      </c>
      <c r="H151" s="181">
        <v>7</v>
      </c>
      <c r="I151" s="181">
        <v>7</v>
      </c>
      <c r="J151" s="181">
        <v>7</v>
      </c>
      <c r="K151" s="47"/>
      <c r="L151" s="52"/>
      <c r="M151" s="52"/>
      <c r="N151" s="52"/>
      <c r="O151" s="52"/>
      <c r="P151" s="29">
        <f t="shared" ref="P151:Q158" si="46">SUM(H161,-G161)/G161</f>
        <v>0</v>
      </c>
      <c r="Q151" s="29">
        <f t="shared" si="46"/>
        <v>11</v>
      </c>
      <c r="R151" s="29">
        <f t="shared" si="45"/>
        <v>-0.16666666666666666</v>
      </c>
      <c r="S151" s="29"/>
      <c r="T151" s="27"/>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row>
    <row r="152" spans="3:144">
      <c r="C152" s="2" t="s">
        <v>134</v>
      </c>
      <c r="D152" s="2"/>
      <c r="E152" s="2"/>
      <c r="F152" s="180">
        <v>105</v>
      </c>
      <c r="G152" s="181">
        <v>115</v>
      </c>
      <c r="H152" s="181">
        <v>85</v>
      </c>
      <c r="I152" s="181">
        <v>75</v>
      </c>
      <c r="J152" s="181">
        <v>73</v>
      </c>
      <c r="K152" s="47"/>
      <c r="L152" s="52"/>
      <c r="M152" s="52"/>
      <c r="N152" s="52"/>
      <c r="O152" s="52"/>
      <c r="P152" s="29">
        <f t="shared" si="46"/>
        <v>-0.1111111111111111</v>
      </c>
      <c r="Q152" s="29">
        <f t="shared" si="46"/>
        <v>-0.125</v>
      </c>
      <c r="R152" s="29">
        <f t="shared" si="45"/>
        <v>0.42857142857142855</v>
      </c>
      <c r="S152" s="29"/>
      <c r="T152" s="27"/>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row>
    <row r="153" spans="3:144">
      <c r="C153" s="2" t="s">
        <v>135</v>
      </c>
      <c r="D153" s="2"/>
      <c r="E153" s="2"/>
      <c r="F153" s="180">
        <v>0</v>
      </c>
      <c r="G153" s="181">
        <v>5</v>
      </c>
      <c r="H153" s="181">
        <v>0</v>
      </c>
      <c r="I153" s="181">
        <v>0</v>
      </c>
      <c r="J153" s="181">
        <v>0</v>
      </c>
      <c r="K153" s="47"/>
      <c r="L153" s="52"/>
      <c r="M153" s="52"/>
      <c r="N153" s="52"/>
      <c r="O153" s="52"/>
      <c r="P153" s="29">
        <f t="shared" si="46"/>
        <v>0.33333333333333331</v>
      </c>
      <c r="Q153" s="29">
        <f t="shared" si="46"/>
        <v>0.25</v>
      </c>
      <c r="R153" s="29">
        <f t="shared" si="45"/>
        <v>-0.2</v>
      </c>
      <c r="S153" s="29"/>
      <c r="T153" s="27"/>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row>
    <row r="154" spans="3:144">
      <c r="C154" s="6" t="s">
        <v>136</v>
      </c>
      <c r="D154" s="6"/>
      <c r="E154" s="2"/>
      <c r="F154" s="180">
        <v>20</v>
      </c>
      <c r="G154" s="181">
        <v>20</v>
      </c>
      <c r="H154" s="181">
        <v>0</v>
      </c>
      <c r="I154" s="181">
        <v>0</v>
      </c>
      <c r="J154" s="181">
        <v>0</v>
      </c>
      <c r="K154" s="47"/>
      <c r="L154" s="52"/>
      <c r="M154" s="52"/>
      <c r="N154" s="52"/>
      <c r="O154" s="52"/>
      <c r="P154" s="29">
        <f t="shared" si="46"/>
        <v>0</v>
      </c>
      <c r="Q154" s="29">
        <f t="shared" si="46"/>
        <v>0</v>
      </c>
      <c r="R154" s="29">
        <f t="shared" si="45"/>
        <v>-1</v>
      </c>
      <c r="S154" s="29"/>
      <c r="T154" s="27"/>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row>
    <row r="155" spans="3:144">
      <c r="C155" s="2" t="s">
        <v>137</v>
      </c>
      <c r="D155" s="2"/>
      <c r="E155" s="2"/>
      <c r="F155" s="180">
        <v>7</v>
      </c>
      <c r="G155" s="181">
        <v>6</v>
      </c>
      <c r="H155" s="181">
        <v>7</v>
      </c>
      <c r="I155" s="181">
        <v>7</v>
      </c>
      <c r="J155" s="181">
        <v>3</v>
      </c>
      <c r="K155" s="50"/>
      <c r="L155" s="52"/>
      <c r="M155" s="52"/>
      <c r="N155" s="52"/>
      <c r="O155" s="52"/>
      <c r="P155" s="29">
        <f t="shared" si="46"/>
        <v>0</v>
      </c>
      <c r="Q155" s="29">
        <f t="shared" si="46"/>
        <v>0.5</v>
      </c>
      <c r="R155" s="29">
        <f t="shared" si="45"/>
        <v>0</v>
      </c>
      <c r="S155" s="29"/>
      <c r="T155" s="27"/>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row>
    <row r="156" spans="3:144">
      <c r="C156" s="2" t="s">
        <v>138</v>
      </c>
      <c r="D156" s="2"/>
      <c r="E156" s="2"/>
      <c r="F156" s="180">
        <v>14</v>
      </c>
      <c r="G156" s="181">
        <v>12</v>
      </c>
      <c r="H156" s="181">
        <v>11</v>
      </c>
      <c r="I156" s="181">
        <v>14</v>
      </c>
      <c r="J156" s="181">
        <v>17</v>
      </c>
      <c r="K156" s="47"/>
      <c r="L156" s="52"/>
      <c r="M156" s="52"/>
      <c r="N156" s="52"/>
      <c r="O156" s="52"/>
      <c r="P156" s="29">
        <f t="shared" si="46"/>
        <v>0</v>
      </c>
      <c r="Q156" s="29">
        <f t="shared" si="46"/>
        <v>-0.16666666666666666</v>
      </c>
      <c r="R156" s="29">
        <f t="shared" si="45"/>
        <v>0.4</v>
      </c>
      <c r="S156" s="29"/>
      <c r="T156" s="27"/>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row>
    <row r="157" spans="3:144">
      <c r="C157" s="2" t="s">
        <v>139</v>
      </c>
      <c r="D157" s="2"/>
      <c r="E157" s="2"/>
      <c r="F157" s="180">
        <v>3</v>
      </c>
      <c r="G157" s="181">
        <v>3</v>
      </c>
      <c r="H157" s="181">
        <v>3</v>
      </c>
      <c r="I157" s="181">
        <v>3</v>
      </c>
      <c r="J157" s="181">
        <v>2</v>
      </c>
      <c r="K157" s="47"/>
      <c r="L157" s="52"/>
      <c r="M157" s="52"/>
      <c r="N157" s="52"/>
      <c r="O157" s="52"/>
      <c r="P157" s="29">
        <f t="shared" si="46"/>
        <v>9.5238095238095233E-2</v>
      </c>
      <c r="Q157" s="29">
        <f t="shared" si="46"/>
        <v>0.17391304347826086</v>
      </c>
      <c r="R157" s="29">
        <f t="shared" si="45"/>
        <v>-0.1111111111111111</v>
      </c>
      <c r="S157" s="29"/>
      <c r="T157" s="27"/>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row>
    <row r="158" spans="3:144">
      <c r="C158" s="2" t="s">
        <v>140</v>
      </c>
      <c r="D158" s="2"/>
      <c r="E158" s="2"/>
      <c r="F158" s="180">
        <v>21</v>
      </c>
      <c r="G158" s="181">
        <v>25</v>
      </c>
      <c r="H158" s="181">
        <v>0</v>
      </c>
      <c r="I158" s="181">
        <v>0</v>
      </c>
      <c r="J158" s="181">
        <v>0</v>
      </c>
      <c r="K158" s="50"/>
      <c r="L158" s="52"/>
      <c r="M158" s="52"/>
      <c r="N158" s="52"/>
      <c r="O158" s="52"/>
      <c r="P158" s="31">
        <f t="shared" si="46"/>
        <v>-0.29973118279569894</v>
      </c>
      <c r="Q158" s="31">
        <f t="shared" si="46"/>
        <v>0.11516314779270634</v>
      </c>
      <c r="R158" s="31">
        <f t="shared" si="45"/>
        <v>0.45266781411359724</v>
      </c>
      <c r="S158" s="31">
        <f>SUM(T158,-J168)/J168</f>
        <v>0.6018957345971564</v>
      </c>
      <c r="T158" s="35">
        <v>1352</v>
      </c>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row>
    <row r="159" spans="3:144">
      <c r="C159" s="2" t="s">
        <v>141</v>
      </c>
      <c r="D159" s="2"/>
      <c r="E159" s="2"/>
      <c r="F159" s="180">
        <v>1</v>
      </c>
      <c r="G159" s="181">
        <v>0</v>
      </c>
      <c r="H159" s="181">
        <v>0</v>
      </c>
      <c r="I159" s="181">
        <v>4</v>
      </c>
      <c r="J159" s="181">
        <v>4</v>
      </c>
      <c r="K159" s="47"/>
      <c r="L159" s="52"/>
      <c r="M159" s="52"/>
      <c r="N159" s="52"/>
      <c r="O159" s="52"/>
      <c r="P159" s="29"/>
      <c r="Q159" s="29"/>
      <c r="R159" s="29"/>
      <c r="S159" s="29"/>
      <c r="T159" s="27"/>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row>
    <row r="160" spans="3:144">
      <c r="C160" s="2" t="s">
        <v>142</v>
      </c>
      <c r="D160" s="2"/>
      <c r="E160" s="2"/>
      <c r="F160" s="180">
        <v>0</v>
      </c>
      <c r="G160" s="181">
        <v>0</v>
      </c>
      <c r="H160" s="181">
        <v>0</v>
      </c>
      <c r="I160" s="181">
        <v>8</v>
      </c>
      <c r="J160" s="181">
        <v>1</v>
      </c>
      <c r="K160" s="47"/>
      <c r="L160" s="52"/>
      <c r="M160" s="52"/>
      <c r="N160" s="52"/>
      <c r="O160" s="52"/>
      <c r="P160" s="29">
        <f t="shared" ref="P160:R167" si="47">SUM(H170,-G170)/G170</f>
        <v>6.3404255319148932</v>
      </c>
      <c r="Q160" s="29">
        <f t="shared" si="47"/>
        <v>0.61739130434782608</v>
      </c>
      <c r="R160" s="29">
        <f t="shared" si="47"/>
        <v>-0.91756272401433692</v>
      </c>
      <c r="S160" s="29"/>
      <c r="T160" s="27"/>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row>
    <row r="161" spans="3:42">
      <c r="C161" s="2" t="s">
        <v>143</v>
      </c>
      <c r="D161" s="2"/>
      <c r="E161" s="2"/>
      <c r="F161" s="180">
        <v>1</v>
      </c>
      <c r="G161" s="181">
        <v>1</v>
      </c>
      <c r="H161" s="181">
        <v>1</v>
      </c>
      <c r="I161" s="181">
        <v>12</v>
      </c>
      <c r="J161" s="181">
        <v>10</v>
      </c>
      <c r="K161" s="47"/>
      <c r="L161" s="52"/>
      <c r="M161" s="52"/>
      <c r="N161" s="52"/>
      <c r="O161" s="52"/>
      <c r="P161" s="29">
        <f t="shared" si="47"/>
        <v>-0.72937293729372932</v>
      </c>
      <c r="Q161" s="29">
        <f t="shared" si="47"/>
        <v>0.56097560975609762</v>
      </c>
      <c r="R161" s="29">
        <f t="shared" si="47"/>
        <v>0.8203125</v>
      </c>
      <c r="S161" s="29"/>
      <c r="T161" s="27"/>
      <c r="U161" s="1"/>
      <c r="V161" s="1"/>
      <c r="W161" s="1"/>
      <c r="X161" s="1"/>
      <c r="Y161" s="1"/>
      <c r="Z161" s="1"/>
      <c r="AA161" s="1"/>
      <c r="AB161" s="1"/>
      <c r="AC161" s="1"/>
      <c r="AD161" s="1"/>
      <c r="AE161" s="1"/>
      <c r="AF161" s="1"/>
      <c r="AG161" s="1"/>
      <c r="AH161" s="1"/>
      <c r="AI161" s="1"/>
      <c r="AJ161" s="1"/>
      <c r="AK161" s="1"/>
      <c r="AL161" s="1"/>
      <c r="AM161" s="1"/>
      <c r="AN161" s="1"/>
      <c r="AO161" s="1"/>
      <c r="AP161" s="1"/>
    </row>
    <row r="162" spans="3:42">
      <c r="C162" s="2" t="s">
        <v>144</v>
      </c>
      <c r="D162" s="2"/>
      <c r="E162" s="2"/>
      <c r="F162" s="180">
        <v>8</v>
      </c>
      <c r="G162" s="181">
        <v>9</v>
      </c>
      <c r="H162" s="181">
        <v>8</v>
      </c>
      <c r="I162" s="181">
        <v>7</v>
      </c>
      <c r="J162" s="181">
        <v>10</v>
      </c>
      <c r="K162" s="47"/>
      <c r="L162" s="52"/>
      <c r="M162" s="52"/>
      <c r="N162" s="52"/>
      <c r="O162" s="52"/>
      <c r="P162" s="29">
        <f t="shared" si="47"/>
        <v>1.5</v>
      </c>
      <c r="Q162" s="29">
        <f t="shared" si="47"/>
        <v>0</v>
      </c>
      <c r="R162" s="29">
        <f t="shared" si="47"/>
        <v>4</v>
      </c>
      <c r="S162" s="29"/>
      <c r="T162" s="27"/>
      <c r="U162" s="1"/>
      <c r="V162" s="1"/>
      <c r="W162" s="1"/>
      <c r="X162" s="1"/>
      <c r="Y162" s="1"/>
      <c r="Z162" s="1"/>
      <c r="AA162" s="1"/>
      <c r="AB162" s="1"/>
      <c r="AC162" s="1"/>
      <c r="AD162" s="1"/>
      <c r="AE162" s="1"/>
      <c r="AF162" s="1"/>
      <c r="AG162" s="1"/>
      <c r="AH162" s="1"/>
      <c r="AI162" s="1"/>
      <c r="AJ162" s="1"/>
      <c r="AK162" s="1"/>
      <c r="AL162" s="1"/>
      <c r="AM162" s="1"/>
      <c r="AN162" s="1"/>
      <c r="AO162" s="1"/>
      <c r="AP162" s="1"/>
    </row>
    <row r="163" spans="3:42">
      <c r="C163" s="2" t="s">
        <v>145</v>
      </c>
      <c r="D163" s="2"/>
      <c r="E163" s="2"/>
      <c r="F163" s="180">
        <v>3</v>
      </c>
      <c r="G163" s="181">
        <v>3</v>
      </c>
      <c r="H163" s="181">
        <v>4</v>
      </c>
      <c r="I163" s="181">
        <v>5</v>
      </c>
      <c r="J163" s="181">
        <v>4</v>
      </c>
      <c r="K163" s="47"/>
      <c r="L163" s="52"/>
      <c r="M163" s="52"/>
      <c r="N163" s="52"/>
      <c r="O163" s="52"/>
      <c r="P163" s="29">
        <f t="shared" si="47"/>
        <v>-0.5</v>
      </c>
      <c r="Q163" s="29">
        <f t="shared" si="47"/>
        <v>1</v>
      </c>
      <c r="R163" s="29">
        <f t="shared" si="47"/>
        <v>-1</v>
      </c>
      <c r="S163" s="29"/>
      <c r="T163" s="27"/>
      <c r="U163" s="1"/>
      <c r="V163" s="1"/>
      <c r="W163" s="1"/>
      <c r="X163" s="1"/>
      <c r="Y163" s="1"/>
      <c r="Z163" s="1"/>
      <c r="AA163" s="1"/>
      <c r="AB163" s="1"/>
      <c r="AC163" s="1"/>
      <c r="AD163" s="1"/>
      <c r="AE163" s="1"/>
      <c r="AF163" s="1"/>
      <c r="AG163" s="1"/>
      <c r="AH163" s="1"/>
      <c r="AI163" s="1"/>
      <c r="AJ163" s="1"/>
      <c r="AK163" s="1"/>
      <c r="AL163" s="1"/>
      <c r="AM163" s="1"/>
      <c r="AN163" s="1"/>
      <c r="AO163" s="1"/>
      <c r="AP163" s="1"/>
    </row>
    <row r="164" spans="3:42">
      <c r="C164" s="2" t="s">
        <v>146</v>
      </c>
      <c r="D164" s="2"/>
      <c r="E164" s="2"/>
      <c r="F164" s="180">
        <v>6</v>
      </c>
      <c r="G164" s="181">
        <v>6</v>
      </c>
      <c r="H164" s="181">
        <v>6</v>
      </c>
      <c r="I164" s="181">
        <v>6</v>
      </c>
      <c r="J164" s="181">
        <v>0</v>
      </c>
      <c r="K164" s="47"/>
      <c r="L164" s="52"/>
      <c r="M164" s="52"/>
      <c r="N164" s="52"/>
      <c r="O164" s="52"/>
      <c r="P164" s="29">
        <f t="shared" si="47"/>
        <v>-0.2</v>
      </c>
      <c r="Q164" s="29">
        <f t="shared" si="47"/>
        <v>-0.75</v>
      </c>
      <c r="R164" s="29">
        <f t="shared" si="47"/>
        <v>-1</v>
      </c>
      <c r="S164" s="29"/>
      <c r="T164" s="27"/>
      <c r="U164" s="1"/>
      <c r="V164" s="1"/>
      <c r="W164" s="1"/>
      <c r="X164" s="1"/>
      <c r="Y164" s="1"/>
      <c r="Z164" s="1"/>
      <c r="AA164" s="1"/>
      <c r="AB164" s="1"/>
      <c r="AC164" s="1"/>
      <c r="AD164" s="1"/>
      <c r="AE164" s="1"/>
      <c r="AF164" s="1"/>
      <c r="AG164" s="1"/>
      <c r="AH164" s="1"/>
      <c r="AI164" s="1"/>
      <c r="AJ164" s="1"/>
      <c r="AK164" s="1"/>
      <c r="AL164" s="1"/>
      <c r="AM164" s="1"/>
      <c r="AN164" s="1"/>
      <c r="AO164" s="1"/>
      <c r="AP164" s="1"/>
    </row>
    <row r="165" spans="3:42">
      <c r="C165" s="2" t="s">
        <v>147</v>
      </c>
      <c r="D165" s="2"/>
      <c r="E165" s="2"/>
      <c r="F165" s="180">
        <v>3</v>
      </c>
      <c r="G165" s="181">
        <v>2</v>
      </c>
      <c r="H165" s="181">
        <v>2</v>
      </c>
      <c r="I165" s="181">
        <v>3</v>
      </c>
      <c r="J165" s="181">
        <v>3</v>
      </c>
      <c r="K165" s="47"/>
      <c r="L165" s="52"/>
      <c r="M165" s="52"/>
      <c r="N165" s="52"/>
      <c r="O165" s="52"/>
      <c r="P165" s="31">
        <f t="shared" si="47"/>
        <v>0.21727019498607242</v>
      </c>
      <c r="Q165" s="31">
        <f t="shared" si="47"/>
        <v>0.58810068649885583</v>
      </c>
      <c r="R165" s="31">
        <f t="shared" si="47"/>
        <v>-0.56195965417867433</v>
      </c>
      <c r="S165" s="31">
        <f>SUM(T165,-J175)/J175</f>
        <v>0.92105263157894735</v>
      </c>
      <c r="T165" s="35">
        <v>584</v>
      </c>
      <c r="U165" s="1"/>
      <c r="V165" s="1"/>
      <c r="W165" s="1"/>
      <c r="X165" s="1"/>
      <c r="Y165" s="1"/>
      <c r="Z165" s="1"/>
      <c r="AA165" s="1"/>
      <c r="AB165" s="1"/>
      <c r="AC165" s="1"/>
      <c r="AD165" s="1"/>
      <c r="AE165" s="1"/>
      <c r="AF165" s="1"/>
      <c r="AG165" s="1"/>
      <c r="AH165" s="1"/>
      <c r="AI165" s="1"/>
      <c r="AJ165" s="1"/>
      <c r="AK165" s="1"/>
      <c r="AL165" s="1"/>
      <c r="AM165" s="1"/>
      <c r="AN165" s="1"/>
      <c r="AO165" s="1"/>
      <c r="AP165" s="1"/>
    </row>
    <row r="166" spans="3:42">
      <c r="C166" s="2" t="s">
        <v>148</v>
      </c>
      <c r="D166" s="2"/>
      <c r="E166" s="2"/>
      <c r="F166" s="180">
        <v>0</v>
      </c>
      <c r="G166" s="181">
        <v>6</v>
      </c>
      <c r="H166" s="181">
        <v>6</v>
      </c>
      <c r="I166" s="181">
        <v>5</v>
      </c>
      <c r="J166" s="181">
        <v>7</v>
      </c>
      <c r="K166" s="47"/>
      <c r="L166" s="52"/>
      <c r="M166" s="52"/>
      <c r="N166" s="52"/>
      <c r="O166" s="52"/>
      <c r="P166" s="53">
        <f t="shared" si="47"/>
        <v>-0.87878787878787878</v>
      </c>
      <c r="Q166" s="53">
        <f t="shared" si="47"/>
        <v>7.5</v>
      </c>
      <c r="R166" s="53">
        <f t="shared" si="47"/>
        <v>-0.82352941176470584</v>
      </c>
      <c r="S166" s="53">
        <f>SUM(T166,-J176)/J176</f>
        <v>7.833333333333333</v>
      </c>
      <c r="T166" s="56">
        <v>53</v>
      </c>
      <c r="U166" s="1"/>
      <c r="V166" s="1"/>
      <c r="W166" s="1"/>
      <c r="X166" s="1"/>
      <c r="Y166" s="1"/>
      <c r="Z166" s="1"/>
      <c r="AA166" s="1"/>
      <c r="AB166" s="1"/>
      <c r="AC166" s="1"/>
      <c r="AD166" s="1"/>
      <c r="AE166" s="1"/>
      <c r="AF166" s="1"/>
      <c r="AG166" s="1"/>
      <c r="AH166" s="1"/>
      <c r="AI166" s="1"/>
      <c r="AJ166" s="1"/>
      <c r="AK166" s="1"/>
      <c r="AL166" s="1"/>
      <c r="AM166" s="1"/>
      <c r="AN166" s="1"/>
      <c r="AO166" s="1"/>
      <c r="AP166" s="1"/>
    </row>
    <row r="167" spans="3:42">
      <c r="C167" s="2" t="s">
        <v>149</v>
      </c>
      <c r="D167" s="2"/>
      <c r="E167" s="2"/>
      <c r="F167" s="180">
        <v>16</v>
      </c>
      <c r="G167" s="181">
        <v>21</v>
      </c>
      <c r="H167" s="181">
        <v>23</v>
      </c>
      <c r="I167" s="181">
        <v>27</v>
      </c>
      <c r="J167" s="181">
        <v>24</v>
      </c>
      <c r="K167" s="47"/>
      <c r="L167" s="52"/>
      <c r="M167" s="52"/>
      <c r="N167" s="52"/>
      <c r="O167" s="52"/>
      <c r="P167" s="36">
        <f t="shared" si="47"/>
        <v>-7.0238095238095238E-2</v>
      </c>
      <c r="Q167" s="36">
        <f t="shared" si="47"/>
        <v>0.16175842936406318</v>
      </c>
      <c r="R167" s="36">
        <f t="shared" si="47"/>
        <v>-3.1961792799412199E-2</v>
      </c>
      <c r="S167" s="36">
        <f>SUM(T167,-J177)/J177</f>
        <v>0.25692599620493356</v>
      </c>
      <c r="T167" s="37">
        <f t="shared" ref="T167" si="48">SUM(T133,T158,T165,T166)</f>
        <v>3312</v>
      </c>
      <c r="U167" s="1"/>
      <c r="V167" s="1"/>
      <c r="W167" s="1"/>
      <c r="X167" s="1"/>
      <c r="Y167" s="1"/>
      <c r="Z167" s="1"/>
      <c r="AA167" s="1"/>
      <c r="AB167" s="1"/>
      <c r="AC167" s="1"/>
      <c r="AD167" s="1"/>
      <c r="AE167" s="1"/>
      <c r="AF167" s="1"/>
      <c r="AG167" s="1"/>
      <c r="AH167" s="1"/>
      <c r="AI167" s="1"/>
      <c r="AJ167" s="1"/>
      <c r="AK167" s="1"/>
      <c r="AL167" s="1"/>
      <c r="AM167" s="1"/>
      <c r="AN167" s="1"/>
      <c r="AO167" s="1"/>
      <c r="AP167" s="1"/>
    </row>
    <row r="168" spans="3:42">
      <c r="C168" s="7" t="s">
        <v>110</v>
      </c>
      <c r="D168" s="9"/>
      <c r="E168" s="9"/>
      <c r="F168" s="196">
        <f t="shared" ref="F168:G168" si="49">SUM(F145,F146,F147)</f>
        <v>521</v>
      </c>
      <c r="G168" s="197">
        <f t="shared" si="49"/>
        <v>744</v>
      </c>
      <c r="H168" s="197">
        <f>SUM(H145,H146,H147)</f>
        <v>521</v>
      </c>
      <c r="I168" s="197">
        <f>SUM(I145,I146,I147)</f>
        <v>581</v>
      </c>
      <c r="J168" s="197">
        <f>SUM(J145,J146,J147)</f>
        <v>844</v>
      </c>
      <c r="K168" s="47"/>
      <c r="L168" s="52"/>
      <c r="M168" s="52"/>
      <c r="N168" s="52"/>
      <c r="O168" s="52"/>
      <c r="P168" s="29"/>
      <c r="Q168" s="29"/>
      <c r="R168" s="29"/>
      <c r="S168" s="29"/>
      <c r="T168" s="27"/>
      <c r="U168" s="1"/>
      <c r="V168" s="1"/>
      <c r="W168" s="1"/>
      <c r="X168" s="1"/>
      <c r="Y168" s="1"/>
      <c r="Z168" s="1"/>
      <c r="AA168" s="1"/>
      <c r="AB168" s="1"/>
      <c r="AC168" s="1"/>
      <c r="AD168" s="1"/>
      <c r="AE168" s="1"/>
      <c r="AF168" s="1"/>
      <c r="AG168" s="1"/>
      <c r="AH168" s="1"/>
      <c r="AI168" s="1"/>
      <c r="AJ168" s="1"/>
      <c r="AK168" s="1"/>
      <c r="AL168" s="1"/>
      <c r="AM168" s="1"/>
      <c r="AN168" s="1"/>
      <c r="AO168" s="1"/>
      <c r="AP168" s="1"/>
    </row>
    <row r="169" spans="3:42">
      <c r="C169" s="5" t="s">
        <v>150</v>
      </c>
      <c r="D169" s="2"/>
      <c r="E169" s="2"/>
      <c r="F169" s="194"/>
      <c r="G169" s="195"/>
      <c r="H169" s="195"/>
      <c r="I169" s="195"/>
      <c r="J169" s="195"/>
      <c r="K169" s="47"/>
      <c r="L169" s="52"/>
      <c r="M169" s="52"/>
      <c r="N169" s="52"/>
      <c r="O169" s="52"/>
      <c r="P169" s="40">
        <f>SUM(H179,-G179)/G179</f>
        <v>-2.3236163920574569E-2</v>
      </c>
      <c r="Q169" s="40">
        <f>SUM(I179,-H179)/H179</f>
        <v>-1.8166089965397925E-2</v>
      </c>
      <c r="R169" s="40">
        <f>SUM(J179,-I179)/I179</f>
        <v>3.8766519823788544E-2</v>
      </c>
      <c r="S169" s="40">
        <f>SUM(T169,-J179)/J179</f>
        <v>5.8241447554424654E-2</v>
      </c>
      <c r="T169" s="41">
        <f>SUM(T167,T127)</f>
        <v>7486</v>
      </c>
      <c r="U169" s="1"/>
      <c r="V169" s="1"/>
      <c r="W169" s="1"/>
      <c r="X169" s="1"/>
      <c r="Y169" s="1"/>
      <c r="Z169" s="1"/>
      <c r="AA169" s="1"/>
      <c r="AB169" s="1"/>
      <c r="AC169" s="1"/>
      <c r="AD169" s="1"/>
      <c r="AE169" s="1"/>
      <c r="AF169" s="1"/>
      <c r="AG169" s="1"/>
      <c r="AH169" s="1"/>
      <c r="AI169" s="1"/>
      <c r="AJ169" s="1"/>
      <c r="AK169" s="1"/>
      <c r="AL169" s="1"/>
      <c r="AM169" s="1"/>
      <c r="AN169" s="1"/>
      <c r="AO169" s="1"/>
      <c r="AP169" s="1"/>
    </row>
    <row r="170" spans="3:42">
      <c r="C170" s="2" t="s">
        <v>106</v>
      </c>
      <c r="D170" s="2"/>
      <c r="E170" s="2"/>
      <c r="F170" s="180">
        <v>571</v>
      </c>
      <c r="G170" s="181">
        <v>47</v>
      </c>
      <c r="H170" s="181">
        <v>345</v>
      </c>
      <c r="I170" s="181">
        <v>558</v>
      </c>
      <c r="J170" s="181">
        <v>46</v>
      </c>
      <c r="K170" s="47"/>
      <c r="L170" s="52"/>
      <c r="M170" s="52"/>
      <c r="N170" s="52"/>
      <c r="O170" s="52"/>
      <c r="P170" s="29"/>
      <c r="Q170" s="29"/>
      <c r="R170" s="29"/>
      <c r="S170" s="29"/>
      <c r="T170" s="27"/>
      <c r="U170" s="1"/>
      <c r="V170" s="1"/>
      <c r="W170" s="1"/>
      <c r="X170" s="1"/>
      <c r="Y170" s="1"/>
      <c r="Z170" s="1"/>
      <c r="AA170" s="1"/>
      <c r="AB170" s="1"/>
      <c r="AC170" s="1"/>
      <c r="AD170" s="1"/>
      <c r="AE170" s="1"/>
      <c r="AF170" s="1"/>
      <c r="AG170" s="1"/>
      <c r="AH170" s="1"/>
      <c r="AI170" s="1"/>
      <c r="AJ170" s="1"/>
      <c r="AK170" s="1"/>
      <c r="AL170" s="1"/>
      <c r="AM170" s="1"/>
      <c r="AN170" s="1"/>
      <c r="AO170" s="1"/>
      <c r="AP170" s="1"/>
    </row>
    <row r="171" spans="3:42">
      <c r="C171" s="2" t="s">
        <v>107</v>
      </c>
      <c r="D171" s="2"/>
      <c r="E171" s="2"/>
      <c r="F171" s="180">
        <v>119</v>
      </c>
      <c r="G171" s="181">
        <v>303</v>
      </c>
      <c r="H171" s="181">
        <v>82</v>
      </c>
      <c r="I171" s="181">
        <v>128</v>
      </c>
      <c r="J171" s="181">
        <v>233</v>
      </c>
      <c r="K171" s="47"/>
      <c r="L171" s="52"/>
      <c r="M171" s="52"/>
      <c r="N171" s="52"/>
      <c r="O171" s="52"/>
      <c r="P171" s="29">
        <f>SUM(H181,-G181)/G181</f>
        <v>-1</v>
      </c>
      <c r="Q171" s="29"/>
      <c r="R171" s="29"/>
      <c r="S171" s="29"/>
      <c r="T171" s="27">
        <v>0</v>
      </c>
      <c r="U171" s="1"/>
      <c r="V171" s="1"/>
      <c r="W171" s="1"/>
      <c r="X171" s="1"/>
      <c r="Y171" s="1"/>
      <c r="Z171" s="1"/>
      <c r="AA171" s="1"/>
      <c r="AB171" s="1"/>
      <c r="AC171" s="1"/>
      <c r="AD171" s="1"/>
      <c r="AE171" s="1"/>
      <c r="AF171" s="1"/>
      <c r="AG171" s="1"/>
      <c r="AH171" s="1"/>
      <c r="AI171" s="1"/>
      <c r="AJ171" s="1"/>
      <c r="AK171" s="1"/>
      <c r="AL171" s="1"/>
      <c r="AM171" s="1"/>
      <c r="AN171" s="1"/>
      <c r="AO171" s="1"/>
      <c r="AP171" s="1"/>
    </row>
    <row r="172" spans="3:42">
      <c r="C172" s="2" t="s">
        <v>151</v>
      </c>
      <c r="D172" s="2"/>
      <c r="E172" s="2"/>
      <c r="F172" s="180">
        <v>1</v>
      </c>
      <c r="G172" s="181">
        <v>2</v>
      </c>
      <c r="H172" s="181">
        <v>5</v>
      </c>
      <c r="I172" s="181">
        <v>5</v>
      </c>
      <c r="J172" s="181">
        <v>25</v>
      </c>
      <c r="K172" s="47"/>
      <c r="L172" s="52"/>
      <c r="M172" s="52"/>
      <c r="N172" s="52"/>
      <c r="O172" s="52"/>
      <c r="P172" s="26"/>
      <c r="Q172" s="26"/>
      <c r="R172" s="26"/>
      <c r="S172" s="26"/>
      <c r="T172" s="27"/>
      <c r="U172" s="1"/>
      <c r="V172" s="1"/>
      <c r="W172" s="1"/>
      <c r="X172" s="1"/>
      <c r="Y172" s="1"/>
      <c r="Z172" s="1"/>
      <c r="AA172" s="1"/>
      <c r="AB172" s="1"/>
      <c r="AC172" s="1"/>
      <c r="AD172" s="1"/>
      <c r="AE172" s="1"/>
      <c r="AF172" s="1"/>
      <c r="AG172" s="1"/>
      <c r="AH172" s="1"/>
      <c r="AI172" s="1"/>
      <c r="AJ172" s="1"/>
      <c r="AK172" s="1"/>
      <c r="AL172" s="1"/>
      <c r="AM172" s="1"/>
      <c r="AN172" s="1"/>
      <c r="AO172" s="1"/>
      <c r="AP172" s="1"/>
    </row>
    <row r="173" spans="3:42">
      <c r="C173" s="2" t="s">
        <v>152</v>
      </c>
      <c r="D173" s="2"/>
      <c r="E173" s="2"/>
      <c r="F173" s="180">
        <v>1</v>
      </c>
      <c r="G173" s="181">
        <v>2</v>
      </c>
      <c r="H173" s="181">
        <v>1</v>
      </c>
      <c r="I173" s="181">
        <v>2</v>
      </c>
      <c r="J173" s="181">
        <v>0</v>
      </c>
      <c r="K173" s="47"/>
      <c r="L173" s="52"/>
      <c r="M173" s="52"/>
      <c r="N173" s="52"/>
      <c r="O173" s="52"/>
      <c r="P173" s="38">
        <f>SUM(H183,-G183)/G183</f>
        <v>-4.216809473380187E-2</v>
      </c>
      <c r="Q173" s="38">
        <f>SUM(I183,-H183)/H183</f>
        <v>3.8596843903909939E-2</v>
      </c>
      <c r="R173" s="38">
        <f>SUM(J183,-I183)/I183</f>
        <v>3.7936707635730184E-2</v>
      </c>
      <c r="S173" s="38">
        <f>SUM(T173,-J183)/J183</f>
        <v>4.7272727272727272E-2</v>
      </c>
      <c r="T173" s="39">
        <f>SUM(T169,T102)</f>
        <v>11232</v>
      </c>
      <c r="U173" s="1"/>
      <c r="V173" s="1"/>
      <c r="W173" s="1"/>
      <c r="X173" s="1"/>
      <c r="Y173" s="1"/>
      <c r="Z173" s="1"/>
      <c r="AA173" s="1"/>
      <c r="AB173" s="1"/>
      <c r="AC173" s="1"/>
      <c r="AD173" s="1"/>
      <c r="AE173" s="1"/>
      <c r="AF173" s="1"/>
      <c r="AG173" s="1"/>
      <c r="AH173" s="1"/>
      <c r="AI173" s="1"/>
      <c r="AJ173" s="1"/>
      <c r="AK173" s="1"/>
      <c r="AL173" s="1"/>
      <c r="AM173" s="1"/>
      <c r="AN173" s="1"/>
      <c r="AO173" s="1"/>
      <c r="AP173" s="1"/>
    </row>
    <row r="174" spans="3:42">
      <c r="C174" s="2" t="s">
        <v>109</v>
      </c>
      <c r="D174" s="2"/>
      <c r="E174" s="2"/>
      <c r="F174" s="180">
        <v>0</v>
      </c>
      <c r="G174" s="181">
        <v>5</v>
      </c>
      <c r="H174" s="181">
        <v>4</v>
      </c>
      <c r="I174" s="181">
        <v>1</v>
      </c>
      <c r="J174" s="181">
        <v>0</v>
      </c>
      <c r="K174" s="47"/>
      <c r="L174" s="52"/>
      <c r="M174" s="52"/>
      <c r="N174" s="52"/>
      <c r="O174" s="52"/>
      <c r="P174" s="43">
        <f ca="1">SUM(P87,-P173)</f>
        <v>0</v>
      </c>
      <c r="Q174" s="43">
        <f ca="1">SUM(Q87,-Q173)</f>
        <v>0</v>
      </c>
      <c r="R174" s="43">
        <f ca="1">SUM(R87,-R173)</f>
        <v>0</v>
      </c>
      <c r="S174" s="43">
        <f ca="1">SUM(S87,-S173)</f>
        <v>0</v>
      </c>
      <c r="T174" s="44">
        <f>SUM(T87,-T173)</f>
        <v>0</v>
      </c>
      <c r="U174" s="1"/>
      <c r="V174" s="1"/>
      <c r="W174" s="1"/>
      <c r="X174" s="1"/>
      <c r="Y174" s="1"/>
      <c r="Z174" s="1"/>
      <c r="AA174" s="1"/>
      <c r="AB174" s="1"/>
      <c r="AC174" s="1"/>
      <c r="AD174" s="1"/>
      <c r="AE174" s="1"/>
      <c r="AF174" s="1"/>
      <c r="AG174" s="1"/>
      <c r="AH174" s="1"/>
      <c r="AI174" s="1"/>
      <c r="AJ174" s="1"/>
      <c r="AK174" s="1"/>
      <c r="AL174" s="1"/>
      <c r="AM174" s="1"/>
      <c r="AN174" s="1"/>
      <c r="AO174" s="1"/>
      <c r="AP174" s="1"/>
    </row>
    <row r="175" spans="3:42">
      <c r="C175" s="7" t="s">
        <v>110</v>
      </c>
      <c r="D175" s="9"/>
      <c r="E175" s="9"/>
      <c r="F175" s="196">
        <f t="shared" ref="F175:G175" si="50">SUM(F170:F174)</f>
        <v>692</v>
      </c>
      <c r="G175" s="197">
        <f t="shared" si="50"/>
        <v>359</v>
      </c>
      <c r="H175" s="197">
        <f>SUM(H170:H174)</f>
        <v>437</v>
      </c>
      <c r="I175" s="197">
        <f>SUM(I170:I174)</f>
        <v>694</v>
      </c>
      <c r="J175" s="197">
        <f>SUM(J170:J174)</f>
        <v>304</v>
      </c>
      <c r="K175" s="47"/>
      <c r="L175" s="52"/>
      <c r="M175" s="52"/>
      <c r="N175" s="52"/>
      <c r="O175" s="52"/>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3:42">
      <c r="C176" s="5" t="s">
        <v>153</v>
      </c>
      <c r="D176" s="2"/>
      <c r="E176" s="2"/>
      <c r="F176" s="206">
        <v>43</v>
      </c>
      <c r="G176" s="207">
        <v>33</v>
      </c>
      <c r="H176" s="207">
        <v>4</v>
      </c>
      <c r="I176" s="207">
        <v>34</v>
      </c>
      <c r="J176" s="207">
        <v>6</v>
      </c>
      <c r="K176" s="47"/>
      <c r="L176" s="52"/>
      <c r="M176" s="52"/>
      <c r="N176" s="52"/>
      <c r="O176" s="52"/>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2:42">
      <c r="C177" s="12" t="s">
        <v>154</v>
      </c>
      <c r="D177" s="13"/>
      <c r="E177" s="13"/>
      <c r="F177" s="208">
        <f t="shared" ref="F177:G177" si="51">SUM(F143,F168,F175,F176)</f>
        <v>2426</v>
      </c>
      <c r="G177" s="209">
        <f t="shared" si="51"/>
        <v>2520</v>
      </c>
      <c r="H177" s="209">
        <f>SUM(H143,H168,H175,H176)</f>
        <v>2343</v>
      </c>
      <c r="I177" s="209">
        <f>SUM(I143,I168,I175,I176)</f>
        <v>2722</v>
      </c>
      <c r="J177" s="209">
        <f>SUM(J143,J168,J175,J176)</f>
        <v>2635</v>
      </c>
      <c r="K177" s="47"/>
      <c r="L177" s="52"/>
      <c r="M177" s="52"/>
      <c r="N177" s="52"/>
      <c r="O177" s="52"/>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2:42">
      <c r="C178" s="5"/>
      <c r="D178" s="2"/>
      <c r="E178" s="2"/>
      <c r="F178" s="194"/>
      <c r="G178" s="195"/>
      <c r="H178" s="195"/>
      <c r="I178" s="195"/>
      <c r="J178" s="195"/>
      <c r="K178" s="47"/>
      <c r="L178" s="52"/>
      <c r="M178" s="52"/>
      <c r="N178" s="52"/>
      <c r="O178" s="52"/>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2:42">
      <c r="C179" s="21" t="s">
        <v>155</v>
      </c>
      <c r="D179" s="22"/>
      <c r="E179" s="22"/>
      <c r="F179" s="214">
        <f>SUM(F177,F137)</f>
        <v>6522</v>
      </c>
      <c r="G179" s="215">
        <f>SUM(G177,G137)</f>
        <v>7101</v>
      </c>
      <c r="H179" s="215">
        <f>SUM(H177,H137)</f>
        <v>6936</v>
      </c>
      <c r="I179" s="215">
        <f>SUM(I177,I137)</f>
        <v>6810</v>
      </c>
      <c r="J179" s="215">
        <f>SUM(J177,J137)</f>
        <v>7074</v>
      </c>
      <c r="K179" s="47"/>
      <c r="L179" s="52"/>
      <c r="M179" s="52"/>
      <c r="N179" s="52"/>
      <c r="O179" s="52"/>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2:42">
      <c r="C180" s="5"/>
      <c r="D180" s="2"/>
      <c r="E180" s="2"/>
      <c r="F180" s="194"/>
      <c r="G180" s="195"/>
      <c r="H180" s="195"/>
      <c r="I180" s="195"/>
      <c r="J180" s="195"/>
      <c r="K180" s="47"/>
      <c r="L180" s="52"/>
      <c r="M180" s="52"/>
      <c r="N180" s="52"/>
      <c r="O180" s="52"/>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2:42" ht="28.8">
      <c r="C181" s="23" t="s">
        <v>156</v>
      </c>
      <c r="D181" s="2"/>
      <c r="E181" s="2"/>
      <c r="F181" s="194">
        <v>20</v>
      </c>
      <c r="G181" s="195">
        <v>7</v>
      </c>
      <c r="H181" s="177">
        <v>0</v>
      </c>
      <c r="I181" s="177">
        <v>0</v>
      </c>
      <c r="J181" s="177">
        <v>0</v>
      </c>
      <c r="K181" s="47"/>
      <c r="L181" s="52"/>
      <c r="M181" s="52"/>
      <c r="N181" s="52"/>
      <c r="O181" s="52"/>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2:42">
      <c r="C182" s="14"/>
      <c r="D182" s="14"/>
      <c r="E182" s="2"/>
      <c r="F182" s="194"/>
      <c r="G182" s="195"/>
      <c r="H182" s="195"/>
      <c r="I182" s="195"/>
      <c r="J182" s="195"/>
      <c r="K182" s="52"/>
      <c r="L182" s="52"/>
      <c r="M182" s="52"/>
      <c r="N182" s="52"/>
      <c r="O182" s="52"/>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2:42">
      <c r="C183" s="15" t="s">
        <v>157</v>
      </c>
      <c r="D183" s="17"/>
      <c r="E183" s="17"/>
      <c r="F183" s="211">
        <f>SUM(F179,F112,F181)</f>
        <v>9801</v>
      </c>
      <c r="G183" s="212">
        <f>SUM(G179,G112,G181)</f>
        <v>10387</v>
      </c>
      <c r="H183" s="212">
        <f>SUM(H179,H112)</f>
        <v>9949</v>
      </c>
      <c r="I183" s="212">
        <f>SUM(I179,I112)</f>
        <v>10333</v>
      </c>
      <c r="J183" s="212">
        <f>SUM(J179,J112)</f>
        <v>10725</v>
      </c>
      <c r="K183" s="52"/>
      <c r="L183" s="52"/>
      <c r="M183" s="52"/>
      <c r="N183" s="52"/>
      <c r="O183" s="52"/>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2:42">
      <c r="C184" s="24" t="s">
        <v>159</v>
      </c>
      <c r="D184" s="24"/>
      <c r="E184" s="51"/>
      <c r="F184" s="42">
        <f t="shared" ref="F184:G184" ca="1" si="52">SUM(F95,-F183)</f>
        <v>0</v>
      </c>
      <c r="G184" s="43">
        <f t="shared" ca="1" si="52"/>
        <v>0</v>
      </c>
      <c r="H184" s="43">
        <f ca="1">SUM(H95,-H183)</f>
        <v>0</v>
      </c>
      <c r="I184" s="43">
        <f ca="1">SUM(I95,-I183)</f>
        <v>0</v>
      </c>
      <c r="J184" s="43">
        <f ca="1">SUM(J95,-J183)</f>
        <v>0</v>
      </c>
      <c r="K184" s="52"/>
      <c r="L184" s="52"/>
      <c r="M184" s="52"/>
      <c r="N184" s="52"/>
      <c r="O184" s="52"/>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2:42">
      <c r="E185" s="52"/>
      <c r="F185" s="52"/>
      <c r="G185" s="52"/>
      <c r="H185" s="52"/>
      <c r="I185" s="52"/>
      <c r="J185" s="52"/>
      <c r="K185" s="52"/>
      <c r="L185" s="52"/>
      <c r="M185" s="52"/>
      <c r="N185" s="52"/>
      <c r="O185" s="52"/>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2:42">
      <c r="C186" s="1"/>
      <c r="D186" s="1"/>
      <c r="E186" s="52"/>
      <c r="F186" s="52"/>
      <c r="G186" s="52"/>
      <c r="H186" s="52"/>
      <c r="I186" s="52"/>
      <c r="J186" s="52"/>
      <c r="K186" s="52"/>
      <c r="L186" s="52"/>
      <c r="M186" s="52"/>
      <c r="N186" s="52"/>
      <c r="O186" s="52"/>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2:42">
      <c r="D187" s="1"/>
      <c r="E187" s="52"/>
      <c r="F187" s="52"/>
      <c r="G187" s="52"/>
      <c r="H187" s="52"/>
      <c r="I187" s="52"/>
      <c r="J187" s="52"/>
      <c r="K187" s="52"/>
      <c r="L187" s="52"/>
      <c r="M187" s="52"/>
      <c r="N187" s="52"/>
      <c r="O187" s="52"/>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2:42">
      <c r="C188" s="1"/>
      <c r="D188" s="1"/>
      <c r="E188" s="52"/>
      <c r="F188" s="52"/>
      <c r="G188" s="52"/>
      <c r="H188" s="52"/>
      <c r="I188" s="52"/>
      <c r="J188" s="52"/>
      <c r="K188" s="52"/>
      <c r="L188" s="52"/>
      <c r="M188" s="52"/>
      <c r="N188" s="52"/>
      <c r="O188" s="52"/>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2:42" ht="24.6">
      <c r="B189" s="59"/>
      <c r="C189" s="240" t="s">
        <v>308</v>
      </c>
      <c r="D189" s="118"/>
      <c r="E189" s="118"/>
      <c r="F189" s="118"/>
      <c r="G189" s="118"/>
      <c r="H189" s="118"/>
      <c r="I189" s="118"/>
      <c r="J189" s="60"/>
      <c r="K189" s="52"/>
      <c r="L189" s="52"/>
      <c r="M189" s="52"/>
      <c r="N189" s="52"/>
      <c r="O189" s="52"/>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spans="2:42" ht="3.75" customHeight="1">
      <c r="B190" s="59"/>
      <c r="C190" s="241"/>
      <c r="D190" s="241"/>
      <c r="E190" s="241"/>
      <c r="F190" s="241"/>
      <c r="G190" s="241"/>
      <c r="H190" s="242"/>
      <c r="I190" s="241"/>
      <c r="J190" s="243"/>
      <c r="K190" s="52"/>
      <c r="L190" s="52"/>
      <c r="M190" s="52"/>
      <c r="N190" s="52"/>
      <c r="O190" s="52"/>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2:42" ht="6" customHeight="1">
      <c r="B191" s="62"/>
      <c r="C191" s="61"/>
      <c r="D191" s="61"/>
      <c r="E191" s="122"/>
      <c r="F191" s="124"/>
      <c r="G191" s="124"/>
      <c r="H191" s="124"/>
      <c r="I191" s="124"/>
      <c r="J191" s="124"/>
      <c r="K191" s="52"/>
      <c r="L191" s="52"/>
      <c r="M191" s="52"/>
      <c r="N191" s="52"/>
      <c r="O191" s="52"/>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2:42">
      <c r="C192" s="1"/>
      <c r="D192" s="1"/>
      <c r="E192" s="1"/>
      <c r="F192" s="1"/>
      <c r="G192" s="46"/>
      <c r="H192" s="46"/>
      <c r="I192" s="46"/>
      <c r="J192" s="46"/>
      <c r="K192" s="52"/>
      <c r="L192" s="52"/>
      <c r="M192" s="52"/>
      <c r="N192" s="52"/>
      <c r="O192" s="52"/>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3:42">
      <c r="C193" s="5" t="s">
        <v>165</v>
      </c>
      <c r="D193" s="2" t="s">
        <v>166</v>
      </c>
      <c r="E193" s="2"/>
      <c r="F193" s="216"/>
      <c r="G193" s="181"/>
      <c r="H193" s="181"/>
      <c r="I193" s="181"/>
      <c r="J193" s="181"/>
      <c r="K193" s="52"/>
      <c r="L193" s="52"/>
      <c r="M193" s="52"/>
      <c r="N193" s="52"/>
      <c r="O193" s="52"/>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3:42">
      <c r="C194" s="2" t="s">
        <v>167</v>
      </c>
      <c r="D194" s="2" t="s">
        <v>168</v>
      </c>
      <c r="E194" s="2"/>
      <c r="F194" s="216">
        <v>3947</v>
      </c>
      <c r="G194" s="181">
        <v>3734</v>
      </c>
      <c r="H194" s="181">
        <v>4633</v>
      </c>
      <c r="I194" s="181">
        <v>5268</v>
      </c>
      <c r="J194" s="181">
        <v>6046</v>
      </c>
      <c r="K194" s="52"/>
      <c r="L194" s="52"/>
      <c r="M194" s="52"/>
      <c r="N194" s="52"/>
      <c r="O194" s="52"/>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3:42">
      <c r="C195" s="2" t="s">
        <v>169</v>
      </c>
      <c r="D195" s="2" t="s">
        <v>170</v>
      </c>
      <c r="E195" s="2"/>
      <c r="F195" s="216">
        <v>785</v>
      </c>
      <c r="G195" s="181">
        <v>847</v>
      </c>
      <c r="H195" s="181">
        <v>957</v>
      </c>
      <c r="I195" s="181">
        <v>1003</v>
      </c>
      <c r="J195" s="181">
        <v>1076</v>
      </c>
      <c r="K195" s="52"/>
      <c r="L195" s="52"/>
      <c r="M195" s="52"/>
      <c r="N195" s="52"/>
      <c r="O195" s="52"/>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3:42">
      <c r="C196" s="113" t="s">
        <v>345</v>
      </c>
      <c r="D196" s="127" t="s">
        <v>172</v>
      </c>
      <c r="E196" s="127"/>
      <c r="F196" s="217">
        <f>SUM(F194:F195)</f>
        <v>4732</v>
      </c>
      <c r="G196" s="218">
        <f>SUM(G194:G195)</f>
        <v>4581</v>
      </c>
      <c r="H196" s="218">
        <f>SUM(H194:H195)</f>
        <v>5590</v>
      </c>
      <c r="I196" s="218">
        <f>SUM(I194:I195)</f>
        <v>6271</v>
      </c>
      <c r="J196" s="218">
        <f>SUM(J194:J195)</f>
        <v>7122</v>
      </c>
      <c r="K196" s="52"/>
      <c r="L196" s="52"/>
      <c r="M196" s="52"/>
      <c r="N196" s="52"/>
      <c r="O196" s="52"/>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3:42">
      <c r="C197" s="2" t="s">
        <v>173</v>
      </c>
      <c r="D197" s="2" t="s">
        <v>174</v>
      </c>
      <c r="E197" s="2"/>
      <c r="F197" s="216">
        <v>189</v>
      </c>
      <c r="G197" s="181">
        <v>279</v>
      </c>
      <c r="H197" s="181">
        <v>206</v>
      </c>
      <c r="I197" s="181">
        <v>223</v>
      </c>
      <c r="J197" s="181">
        <v>202</v>
      </c>
      <c r="K197" s="52"/>
      <c r="L197" s="52"/>
      <c r="M197" s="52"/>
      <c r="N197" s="52"/>
      <c r="O197" s="52"/>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3:42" ht="16.2">
      <c r="C198" s="112" t="s">
        <v>110</v>
      </c>
      <c r="D198" s="60" t="s">
        <v>175</v>
      </c>
      <c r="E198" s="60"/>
      <c r="F198" s="236">
        <f>SUM(F196:F197)</f>
        <v>4921</v>
      </c>
      <c r="G198" s="237">
        <f>SUM(G196:G197)</f>
        <v>4860</v>
      </c>
      <c r="H198" s="237">
        <f>SUM(H196:H197)</f>
        <v>5796</v>
      </c>
      <c r="I198" s="237">
        <f>SUM(I196:I197)</f>
        <v>6494</v>
      </c>
      <c r="J198" s="237">
        <f>SUM(J196:J197)</f>
        <v>7324</v>
      </c>
      <c r="K198" s="52"/>
      <c r="L198" s="52"/>
      <c r="M198" s="52"/>
      <c r="N198" s="52"/>
      <c r="O198" s="52"/>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3:42">
      <c r="C199" s="5"/>
      <c r="D199" s="2"/>
      <c r="E199" s="2"/>
      <c r="F199" s="216"/>
      <c r="G199" s="181"/>
      <c r="H199" s="181"/>
      <c r="I199" s="179"/>
      <c r="J199" s="179"/>
      <c r="K199" s="52"/>
      <c r="L199" s="52"/>
      <c r="M199" s="52"/>
      <c r="N199" s="52"/>
      <c r="O199" s="52"/>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3:42">
      <c r="C200" s="5" t="s">
        <v>309</v>
      </c>
      <c r="D200" s="2" t="s">
        <v>176</v>
      </c>
      <c r="E200" s="2"/>
      <c r="F200" s="216"/>
      <c r="G200" s="181"/>
      <c r="H200" s="181"/>
      <c r="I200" s="181"/>
      <c r="J200" s="181"/>
      <c r="K200" s="52"/>
      <c r="L200" s="52"/>
      <c r="M200" s="52"/>
      <c r="N200" s="52"/>
      <c r="O200" s="52"/>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3:42">
      <c r="C201" s="2" t="s">
        <v>177</v>
      </c>
      <c r="D201" s="2" t="s">
        <v>178</v>
      </c>
      <c r="E201" s="2"/>
      <c r="F201" s="216">
        <v>2286</v>
      </c>
      <c r="G201" s="181">
        <v>2101</v>
      </c>
      <c r="H201" s="181">
        <v>2831</v>
      </c>
      <c r="I201" s="181">
        <v>3346</v>
      </c>
      <c r="J201" s="181">
        <v>4004</v>
      </c>
      <c r="K201" s="52"/>
      <c r="L201" s="52"/>
      <c r="M201" s="52"/>
      <c r="N201" s="52"/>
      <c r="O201" s="52"/>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3:42">
      <c r="C202" s="2" t="s">
        <v>179</v>
      </c>
      <c r="D202" s="2" t="s">
        <v>180</v>
      </c>
      <c r="E202" s="2"/>
      <c r="F202" s="216">
        <v>706</v>
      </c>
      <c r="G202" s="181">
        <v>758</v>
      </c>
      <c r="H202" s="181">
        <v>850</v>
      </c>
      <c r="I202" s="181">
        <v>986</v>
      </c>
      <c r="J202" s="181">
        <v>1152</v>
      </c>
      <c r="K202" s="52"/>
      <c r="L202" s="52"/>
      <c r="M202" s="52"/>
      <c r="N202" s="52"/>
      <c r="O202" s="52"/>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3:42">
      <c r="C203" s="11" t="s">
        <v>181</v>
      </c>
      <c r="D203" s="2" t="s">
        <v>182</v>
      </c>
      <c r="E203" s="2"/>
      <c r="F203" s="221">
        <f>SUM(F201:F202)</f>
        <v>2992</v>
      </c>
      <c r="G203" s="191">
        <f>SUM(G201:G202)</f>
        <v>2859</v>
      </c>
      <c r="H203" s="191">
        <f>SUM(H201:H202)</f>
        <v>3681</v>
      </c>
      <c r="I203" s="191">
        <f>SUM(I201:I202)</f>
        <v>4332</v>
      </c>
      <c r="J203" s="191">
        <f>SUM(J201:J202)</f>
        <v>5156</v>
      </c>
      <c r="K203" s="52"/>
      <c r="L203" s="52"/>
      <c r="M203" s="52"/>
      <c r="N203" s="52"/>
      <c r="O203" s="52"/>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3:42">
      <c r="C204" s="2" t="s">
        <v>183</v>
      </c>
      <c r="D204" s="2" t="s">
        <v>184</v>
      </c>
      <c r="E204" s="2"/>
      <c r="F204" s="216">
        <v>252</v>
      </c>
      <c r="G204" s="181">
        <v>243</v>
      </c>
      <c r="H204" s="181">
        <v>281</v>
      </c>
      <c r="I204" s="181">
        <v>266</v>
      </c>
      <c r="J204" s="181">
        <v>234</v>
      </c>
      <c r="K204" s="52"/>
      <c r="L204" s="52"/>
      <c r="M204" s="52"/>
      <c r="N204" s="52"/>
      <c r="O204" s="52"/>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3:42">
      <c r="C205" s="112" t="s">
        <v>110</v>
      </c>
      <c r="D205" s="60" t="s">
        <v>185</v>
      </c>
      <c r="E205" s="60"/>
      <c r="F205" s="219">
        <f>SUM(F203:F204)</f>
        <v>3244</v>
      </c>
      <c r="G205" s="220">
        <f>SUM(G203:G204)</f>
        <v>3102</v>
      </c>
      <c r="H205" s="220">
        <f>SUM(H203:H204)</f>
        <v>3962</v>
      </c>
      <c r="I205" s="220">
        <f>SUM(I203:I204)</f>
        <v>4598</v>
      </c>
      <c r="J205" s="220">
        <f>SUM(J203:J204)</f>
        <v>5390</v>
      </c>
      <c r="K205" s="52"/>
      <c r="L205" s="52"/>
      <c r="M205" s="52"/>
      <c r="N205" s="52"/>
      <c r="O205" s="52"/>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3:42">
      <c r="C206" s="5"/>
      <c r="D206" s="2"/>
      <c r="E206" s="2"/>
      <c r="F206" s="222"/>
      <c r="G206" s="223"/>
      <c r="H206" s="223"/>
      <c r="I206" s="223"/>
      <c r="J206" s="223"/>
      <c r="K206" s="52"/>
      <c r="L206" s="52"/>
      <c r="M206" s="52"/>
      <c r="N206" s="52"/>
      <c r="O206" s="52"/>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3:42">
      <c r="C207" s="5" t="s">
        <v>310</v>
      </c>
      <c r="D207" s="2" t="s">
        <v>186</v>
      </c>
      <c r="E207" s="2"/>
      <c r="F207" s="216"/>
      <c r="G207" s="181"/>
      <c r="H207" s="181"/>
      <c r="I207" s="181"/>
      <c r="J207" s="181"/>
      <c r="K207" s="52"/>
      <c r="L207" s="52"/>
      <c r="M207" s="52"/>
      <c r="N207" s="52"/>
      <c r="O207" s="52"/>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3:42">
      <c r="C208" s="2" t="s">
        <v>187</v>
      </c>
      <c r="D208" s="2" t="s">
        <v>188</v>
      </c>
      <c r="E208" s="2"/>
      <c r="F208" s="216">
        <v>441</v>
      </c>
      <c r="G208" s="181">
        <v>433</v>
      </c>
      <c r="H208" s="181">
        <v>471</v>
      </c>
      <c r="I208" s="181">
        <v>494</v>
      </c>
      <c r="J208" s="181">
        <v>527</v>
      </c>
      <c r="K208" s="52"/>
      <c r="L208" s="52"/>
      <c r="M208" s="52"/>
      <c r="N208" s="52"/>
      <c r="O208" s="52"/>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3:42">
      <c r="C209" s="2" t="s">
        <v>189</v>
      </c>
      <c r="D209" s="2" t="s">
        <v>190</v>
      </c>
      <c r="E209" s="2"/>
      <c r="F209" s="216">
        <v>163</v>
      </c>
      <c r="G209" s="181">
        <v>146</v>
      </c>
      <c r="H209" s="181">
        <v>160</v>
      </c>
      <c r="I209" s="181">
        <v>173</v>
      </c>
      <c r="J209" s="181">
        <v>179</v>
      </c>
      <c r="K209" s="52"/>
      <c r="L209" s="52"/>
      <c r="M209" s="52"/>
      <c r="N209" s="52"/>
      <c r="O209" s="52"/>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3:42">
      <c r="C210" s="2" t="s">
        <v>191</v>
      </c>
      <c r="D210" s="2" t="s">
        <v>191</v>
      </c>
      <c r="E210" s="2"/>
      <c r="F210" s="216">
        <v>25</v>
      </c>
      <c r="G210" s="181">
        <v>26</v>
      </c>
      <c r="H210" s="181">
        <v>29</v>
      </c>
      <c r="I210" s="181">
        <v>31</v>
      </c>
      <c r="J210" s="181">
        <v>31</v>
      </c>
      <c r="K210" s="52"/>
      <c r="L210" s="52"/>
      <c r="M210" s="52"/>
      <c r="N210" s="52"/>
      <c r="O210" s="52"/>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3:42">
      <c r="C211" s="2" t="s">
        <v>192</v>
      </c>
      <c r="D211" s="2" t="s">
        <v>193</v>
      </c>
      <c r="E211" s="2"/>
      <c r="F211" s="216">
        <v>27</v>
      </c>
      <c r="G211" s="181">
        <v>36</v>
      </c>
      <c r="H211" s="181">
        <v>27</v>
      </c>
      <c r="I211" s="181">
        <v>33</v>
      </c>
      <c r="J211" s="181">
        <v>42</v>
      </c>
      <c r="K211" s="52"/>
      <c r="L211" s="52"/>
      <c r="M211" s="52"/>
      <c r="N211" s="52"/>
      <c r="O211" s="52"/>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3:42">
      <c r="C212" s="11" t="s">
        <v>194</v>
      </c>
      <c r="D212" s="2" t="s">
        <v>195</v>
      </c>
      <c r="E212" s="2"/>
      <c r="F212" s="221">
        <f>SUM(F208:F211)</f>
        <v>656</v>
      </c>
      <c r="G212" s="191">
        <f>SUM(G208:G211)</f>
        <v>641</v>
      </c>
      <c r="H212" s="191">
        <f>SUM(H208:H211)</f>
        <v>687</v>
      </c>
      <c r="I212" s="191">
        <f>SUM(I208:I211)</f>
        <v>731</v>
      </c>
      <c r="J212" s="191">
        <f>SUM(J208:J211)</f>
        <v>779</v>
      </c>
      <c r="K212" s="52"/>
      <c r="L212" s="52"/>
      <c r="M212" s="52"/>
      <c r="N212" s="52"/>
      <c r="O212" s="52"/>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3:42">
      <c r="C213" s="2" t="s">
        <v>196</v>
      </c>
      <c r="D213" s="2" t="s">
        <v>197</v>
      </c>
      <c r="E213" s="2"/>
      <c r="F213" s="216">
        <v>-27</v>
      </c>
      <c r="G213" s="181">
        <v>-45</v>
      </c>
      <c r="H213" s="181">
        <v>-52</v>
      </c>
      <c r="I213" s="181">
        <v>-66</v>
      </c>
      <c r="J213" s="181">
        <v>-79</v>
      </c>
      <c r="K213" s="52"/>
      <c r="L213" s="52"/>
      <c r="M213" s="52"/>
      <c r="N213" s="52"/>
      <c r="O213" s="52"/>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3:42" ht="16.2">
      <c r="C214" s="112" t="s">
        <v>110</v>
      </c>
      <c r="D214" s="60" t="s">
        <v>195</v>
      </c>
      <c r="E214" s="60"/>
      <c r="F214" s="236">
        <f>SUM(F212:F213)</f>
        <v>629</v>
      </c>
      <c r="G214" s="237">
        <f>SUM(G212:G213)</f>
        <v>596</v>
      </c>
      <c r="H214" s="237">
        <f>SUM(H212:H213)</f>
        <v>635</v>
      </c>
      <c r="I214" s="237">
        <f>SUM(I212:I213)</f>
        <v>665</v>
      </c>
      <c r="J214" s="237">
        <f>SUM(J212:J213)</f>
        <v>700</v>
      </c>
      <c r="K214" s="52"/>
      <c r="L214" s="52"/>
      <c r="M214" s="52"/>
      <c r="N214" s="52"/>
      <c r="O214" s="52"/>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3:42">
      <c r="C215" s="5"/>
      <c r="D215" s="2"/>
      <c r="E215" s="2"/>
      <c r="F215" s="216"/>
      <c r="G215" s="181"/>
      <c r="H215" s="181"/>
      <c r="I215" s="181"/>
      <c r="J215" s="181"/>
      <c r="K215" s="52"/>
      <c r="L215" s="52"/>
      <c r="M215" s="52"/>
      <c r="N215" s="52"/>
      <c r="O215" s="52"/>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3:42">
      <c r="C216" s="12" t="s">
        <v>198</v>
      </c>
      <c r="D216" s="13" t="s">
        <v>199</v>
      </c>
      <c r="E216" s="13"/>
      <c r="F216" s="224">
        <f>SUM(F198,-F205,-F214)</f>
        <v>1048</v>
      </c>
      <c r="G216" s="192">
        <f>SUM(G198,-G205,-G214)</f>
        <v>1162</v>
      </c>
      <c r="H216" s="192">
        <f>SUM(H198,-H205,-H214)</f>
        <v>1199</v>
      </c>
      <c r="I216" s="192">
        <f>SUM(I198,-I205,-I214)</f>
        <v>1231</v>
      </c>
      <c r="J216" s="192">
        <f>SUM(J198,-J205,-J214)</f>
        <v>1234</v>
      </c>
      <c r="K216" s="52"/>
      <c r="L216" s="52"/>
      <c r="M216" s="52"/>
      <c r="N216" s="52"/>
      <c r="O216" s="52"/>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3:42">
      <c r="C217" s="5"/>
      <c r="D217" s="2"/>
      <c r="E217" s="2"/>
      <c r="F217" s="216"/>
      <c r="G217" s="181"/>
      <c r="H217" s="181"/>
      <c r="I217" s="179"/>
      <c r="J217" s="179"/>
      <c r="K217" s="52"/>
      <c r="L217" s="52"/>
      <c r="M217" s="52"/>
      <c r="N217" s="52"/>
      <c r="O217" s="52"/>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3:42">
      <c r="C218" s="23" t="s">
        <v>200</v>
      </c>
      <c r="D218" s="2" t="s">
        <v>201</v>
      </c>
      <c r="E218" s="2"/>
      <c r="F218" s="216"/>
      <c r="G218" s="181"/>
      <c r="H218" s="181"/>
      <c r="I218" s="179"/>
      <c r="J218" s="179"/>
      <c r="K218" s="52"/>
      <c r="L218" s="52"/>
      <c r="M218" s="52"/>
      <c r="N218" s="52"/>
      <c r="O218" s="52"/>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3:42">
      <c r="C219" s="2" t="s">
        <v>202</v>
      </c>
      <c r="D219" s="2" t="s">
        <v>203</v>
      </c>
      <c r="E219" s="2"/>
      <c r="F219" s="216">
        <v>54</v>
      </c>
      <c r="G219" s="181">
        <v>55</v>
      </c>
      <c r="H219" s="181">
        <v>72</v>
      </c>
      <c r="I219" s="181">
        <v>91</v>
      </c>
      <c r="J219" s="181">
        <v>123</v>
      </c>
      <c r="K219" s="52"/>
      <c r="L219" s="52"/>
      <c r="M219" s="52"/>
      <c r="N219" s="52"/>
      <c r="O219" s="52"/>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3:42">
      <c r="C220" s="2" t="s">
        <v>204</v>
      </c>
      <c r="D220" s="2" t="s">
        <v>205</v>
      </c>
      <c r="E220" s="2"/>
      <c r="F220" s="216">
        <v>341</v>
      </c>
      <c r="G220" s="181">
        <v>348</v>
      </c>
      <c r="H220" s="181">
        <v>338</v>
      </c>
      <c r="I220" s="181">
        <v>372</v>
      </c>
      <c r="J220" s="181">
        <v>379</v>
      </c>
      <c r="K220" s="52"/>
      <c r="L220" s="52"/>
      <c r="M220" s="52"/>
      <c r="N220" s="52"/>
      <c r="O220" s="52"/>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3:42">
      <c r="C221" s="2" t="s">
        <v>206</v>
      </c>
      <c r="D221" s="2" t="s">
        <v>207</v>
      </c>
      <c r="E221" s="2"/>
      <c r="F221" s="216">
        <v>359</v>
      </c>
      <c r="G221" s="181">
        <v>245</v>
      </c>
      <c r="H221" s="181">
        <v>34</v>
      </c>
      <c r="I221" s="181">
        <v>160</v>
      </c>
      <c r="J221" s="181">
        <v>9</v>
      </c>
      <c r="K221" s="52"/>
      <c r="L221" s="52"/>
      <c r="M221" s="52"/>
      <c r="N221" s="52"/>
      <c r="O221" s="52"/>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3:42">
      <c r="C222" s="113" t="s">
        <v>208</v>
      </c>
      <c r="D222" s="114" t="s">
        <v>209</v>
      </c>
      <c r="E222" s="114"/>
      <c r="F222" s="225">
        <f>SUM(F219:F221)</f>
        <v>754</v>
      </c>
      <c r="G222" s="226">
        <f>SUM(G219:G221)</f>
        <v>648</v>
      </c>
      <c r="H222" s="226">
        <f>SUM(H219:H221)</f>
        <v>444</v>
      </c>
      <c r="I222" s="226">
        <f>SUM(I219:I221)</f>
        <v>623</v>
      </c>
      <c r="J222" s="226">
        <f>SUM(J219:J221)</f>
        <v>511</v>
      </c>
      <c r="K222" s="52"/>
      <c r="L222" s="52"/>
      <c r="M222" s="52"/>
      <c r="N222" s="52"/>
      <c r="O222" s="52"/>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3:42">
      <c r="C223" s="2" t="s">
        <v>210</v>
      </c>
      <c r="D223" s="2" t="s">
        <v>211</v>
      </c>
      <c r="E223" s="2"/>
      <c r="F223" s="216">
        <v>57</v>
      </c>
      <c r="G223" s="181">
        <v>50</v>
      </c>
      <c r="H223" s="181">
        <v>10</v>
      </c>
      <c r="I223" s="181">
        <v>-5</v>
      </c>
      <c r="J223" s="181">
        <v>21</v>
      </c>
      <c r="K223" s="52"/>
      <c r="L223" s="52"/>
      <c r="M223" s="52"/>
      <c r="N223" s="52"/>
      <c r="O223" s="52"/>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3:42">
      <c r="C224" s="2" t="s">
        <v>212</v>
      </c>
      <c r="D224" s="2" t="s">
        <v>213</v>
      </c>
      <c r="E224" s="2"/>
      <c r="F224" s="216">
        <v>22</v>
      </c>
      <c r="G224" s="181">
        <v>21</v>
      </c>
      <c r="H224" s="181">
        <v>35</v>
      </c>
      <c r="I224" s="181">
        <v>25</v>
      </c>
      <c r="J224" s="181">
        <v>15</v>
      </c>
      <c r="K224" s="52"/>
      <c r="L224" s="52"/>
      <c r="M224" s="52"/>
      <c r="N224" s="52"/>
      <c r="O224" s="52"/>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3:42">
      <c r="C225" s="112" t="s">
        <v>110</v>
      </c>
      <c r="D225" s="60" t="s">
        <v>214</v>
      </c>
      <c r="E225" s="60"/>
      <c r="F225" s="219">
        <f>SUM(F222:F224)</f>
        <v>833</v>
      </c>
      <c r="G225" s="220">
        <f>SUM(G222:G224)</f>
        <v>719</v>
      </c>
      <c r="H225" s="220">
        <f>SUM(H222:H224)</f>
        <v>489</v>
      </c>
      <c r="I225" s="220">
        <f>SUM(I222:I224)</f>
        <v>643</v>
      </c>
      <c r="J225" s="220">
        <f>SUM(J222:J224)</f>
        <v>547</v>
      </c>
      <c r="K225" s="52"/>
      <c r="L225" s="52"/>
      <c r="M225" s="52"/>
      <c r="N225" s="52"/>
      <c r="O225" s="52"/>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3:42">
      <c r="C226" s="5"/>
      <c r="D226" s="2"/>
      <c r="E226" s="2"/>
      <c r="F226" s="216"/>
      <c r="G226" s="181"/>
      <c r="H226" s="181"/>
      <c r="I226" s="179"/>
      <c r="J226" s="179"/>
      <c r="K226" s="52"/>
      <c r="L226" s="52"/>
      <c r="M226" s="52"/>
      <c r="N226" s="52"/>
      <c r="O226" s="52"/>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3:42">
      <c r="C227" s="21" t="s">
        <v>215</v>
      </c>
      <c r="D227" s="22" t="s">
        <v>216</v>
      </c>
      <c r="E227" s="22"/>
      <c r="F227" s="227">
        <f>SUM(F216,-F225)</f>
        <v>215</v>
      </c>
      <c r="G227" s="193">
        <f>SUM(G216,-G225)</f>
        <v>443</v>
      </c>
      <c r="H227" s="193">
        <f>SUM(H216,-H225)</f>
        <v>710</v>
      </c>
      <c r="I227" s="193">
        <f>SUM(I216,-I225)</f>
        <v>588</v>
      </c>
      <c r="J227" s="193">
        <f>SUM(J216,-J225)</f>
        <v>687</v>
      </c>
      <c r="K227" s="52"/>
      <c r="L227" s="52"/>
      <c r="M227" s="52"/>
      <c r="N227" s="52"/>
      <c r="O227" s="52"/>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3:42">
      <c r="C228" s="5"/>
      <c r="D228" s="2"/>
      <c r="E228" s="2"/>
      <c r="F228" s="216"/>
      <c r="G228" s="181"/>
      <c r="H228" s="181"/>
      <c r="I228" s="179"/>
      <c r="J228" s="179"/>
      <c r="K228" s="52"/>
      <c r="L228" s="52"/>
      <c r="M228" s="52"/>
      <c r="N228" s="52"/>
      <c r="O228" s="52"/>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3:42">
      <c r="C229" s="5" t="s">
        <v>217</v>
      </c>
      <c r="D229" s="2" t="s">
        <v>218</v>
      </c>
      <c r="E229" s="2"/>
      <c r="F229" s="216">
        <v>1</v>
      </c>
      <c r="G229" s="181">
        <v>52</v>
      </c>
      <c r="H229" s="181">
        <v>0</v>
      </c>
      <c r="I229" s="179">
        <v>14</v>
      </c>
      <c r="J229" s="179">
        <v>4</v>
      </c>
      <c r="K229" s="52"/>
      <c r="L229" s="52"/>
      <c r="M229" s="52"/>
      <c r="N229" s="52"/>
      <c r="O229" s="52"/>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3:42">
      <c r="C230" s="5"/>
      <c r="D230" s="2"/>
      <c r="E230" s="2"/>
      <c r="F230" s="216"/>
      <c r="G230" s="181"/>
      <c r="H230" s="181"/>
      <c r="I230" s="179"/>
      <c r="J230" s="179"/>
      <c r="K230" s="52"/>
      <c r="L230" s="52"/>
      <c r="M230" s="52"/>
      <c r="N230" s="52"/>
      <c r="O230" s="52"/>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3:42">
      <c r="C231" s="5" t="s">
        <v>219</v>
      </c>
      <c r="D231" s="2" t="s">
        <v>220</v>
      </c>
      <c r="E231" s="2"/>
      <c r="F231" s="216"/>
      <c r="G231" s="181"/>
      <c r="H231" s="181"/>
      <c r="I231" s="181"/>
      <c r="J231" s="181"/>
      <c r="K231" s="52"/>
      <c r="L231" s="52"/>
      <c r="M231" s="52"/>
      <c r="N231" s="52"/>
      <c r="O231" s="52"/>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3:42">
      <c r="C232" s="174" t="s">
        <v>221</v>
      </c>
      <c r="D232" s="2" t="s">
        <v>222</v>
      </c>
      <c r="E232" s="2"/>
      <c r="F232" s="216"/>
      <c r="G232" s="181"/>
      <c r="H232" s="181"/>
      <c r="I232" s="181"/>
      <c r="J232" s="181"/>
      <c r="K232" s="52"/>
      <c r="L232" s="52"/>
      <c r="M232" s="52"/>
      <c r="N232" s="52"/>
      <c r="O232" s="52"/>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3:42">
      <c r="C233" s="2" t="s">
        <v>223</v>
      </c>
      <c r="D233" s="2"/>
      <c r="E233" s="2"/>
      <c r="F233" s="216"/>
      <c r="G233" s="181"/>
      <c r="H233" s="181"/>
      <c r="I233" s="181">
        <v>0</v>
      </c>
      <c r="J233" s="181">
        <v>4</v>
      </c>
      <c r="K233" s="52"/>
      <c r="L233" s="52"/>
      <c r="M233" s="52"/>
      <c r="N233" s="52"/>
      <c r="O233" s="52"/>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3:42">
      <c r="C234" s="2" t="s">
        <v>224</v>
      </c>
      <c r="D234" s="2"/>
      <c r="E234" s="2"/>
      <c r="F234" s="216"/>
      <c r="G234" s="181"/>
      <c r="H234" s="181"/>
      <c r="I234" s="181">
        <v>16</v>
      </c>
      <c r="J234" s="181">
        <v>12</v>
      </c>
      <c r="K234" s="52"/>
      <c r="L234" s="52"/>
      <c r="M234" s="52"/>
      <c r="N234" s="52"/>
      <c r="O234" s="52"/>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row>
    <row r="235" spans="3:42">
      <c r="C235" s="112" t="s">
        <v>110</v>
      </c>
      <c r="D235" s="110"/>
      <c r="E235" s="110"/>
      <c r="F235" s="219">
        <v>28</v>
      </c>
      <c r="G235" s="220">
        <v>34</v>
      </c>
      <c r="H235" s="220">
        <v>19</v>
      </c>
      <c r="I235" s="220">
        <f t="shared" ref="I235" si="53">SUM(I233:I234)</f>
        <v>16</v>
      </c>
      <c r="J235" s="220">
        <f>SUM(J233:J234)</f>
        <v>16</v>
      </c>
      <c r="K235" s="52"/>
      <c r="L235" s="52"/>
      <c r="M235" s="52"/>
      <c r="N235" s="52"/>
      <c r="O235" s="52"/>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3:42">
      <c r="C236" s="174" t="s">
        <v>226</v>
      </c>
      <c r="D236" s="2" t="s">
        <v>227</v>
      </c>
      <c r="E236" s="2"/>
      <c r="F236" s="216"/>
      <c r="G236" s="181"/>
      <c r="H236" s="181"/>
      <c r="I236" s="181"/>
      <c r="J236" s="181"/>
      <c r="K236" s="52"/>
      <c r="L236" s="52"/>
      <c r="M236" s="52"/>
      <c r="N236" s="52"/>
      <c r="O236" s="52"/>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3:42">
      <c r="C237" s="2" t="s">
        <v>228</v>
      </c>
      <c r="D237" s="2" t="s">
        <v>229</v>
      </c>
      <c r="E237" s="2"/>
      <c r="F237" s="216">
        <v>125</v>
      </c>
      <c r="G237" s="181">
        <v>125</v>
      </c>
      <c r="H237" s="181">
        <v>104</v>
      </c>
      <c r="I237" s="181">
        <v>102</v>
      </c>
      <c r="J237" s="181">
        <v>94</v>
      </c>
      <c r="K237" s="52"/>
      <c r="L237" s="52"/>
      <c r="M237" s="52"/>
      <c r="N237" s="52"/>
      <c r="O237" s="52"/>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3:42">
      <c r="C238" s="2" t="s">
        <v>230</v>
      </c>
      <c r="D238" s="2" t="s">
        <v>231</v>
      </c>
      <c r="E238" s="2"/>
      <c r="F238" s="216">
        <v>15</v>
      </c>
      <c r="G238" s="181">
        <v>9</v>
      </c>
      <c r="H238" s="181">
        <v>9</v>
      </c>
      <c r="I238" s="181">
        <v>6</v>
      </c>
      <c r="J238" s="181">
        <v>4</v>
      </c>
      <c r="K238" s="52"/>
      <c r="L238" s="52"/>
      <c r="M238" s="52"/>
      <c r="N238" s="52"/>
      <c r="O238" s="52"/>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3:42">
      <c r="C239" s="2" t="s">
        <v>232</v>
      </c>
      <c r="D239" s="2" t="s">
        <v>233</v>
      </c>
      <c r="E239" s="2"/>
      <c r="F239" s="216">
        <v>5</v>
      </c>
      <c r="G239" s="181">
        <v>6</v>
      </c>
      <c r="H239" s="181">
        <v>8</v>
      </c>
      <c r="I239" s="181">
        <v>8</v>
      </c>
      <c r="J239" s="181">
        <v>7</v>
      </c>
      <c r="K239" s="52"/>
      <c r="L239" s="52"/>
      <c r="M239" s="52"/>
      <c r="N239" s="52"/>
      <c r="O239" s="52"/>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3:42">
      <c r="C240" s="2" t="s">
        <v>234</v>
      </c>
      <c r="D240" s="2" t="s">
        <v>235</v>
      </c>
      <c r="E240" s="2"/>
      <c r="F240" s="216">
        <v>0</v>
      </c>
      <c r="G240" s="181">
        <v>1</v>
      </c>
      <c r="H240" s="181">
        <v>2</v>
      </c>
      <c r="I240" s="181">
        <v>2</v>
      </c>
      <c r="J240" s="181">
        <v>1</v>
      </c>
      <c r="K240" s="52"/>
      <c r="L240" s="52"/>
      <c r="M240" s="52"/>
      <c r="N240" s="52"/>
      <c r="O240" s="52"/>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3:42">
      <c r="C241" s="2" t="s">
        <v>236</v>
      </c>
      <c r="D241" s="2" t="s">
        <v>237</v>
      </c>
      <c r="E241" s="2"/>
      <c r="F241" s="216">
        <v>17</v>
      </c>
      <c r="G241" s="181">
        <v>51</v>
      </c>
      <c r="H241" s="181">
        <v>35</v>
      </c>
      <c r="I241" s="181">
        <v>14</v>
      </c>
      <c r="J241" s="181">
        <v>24</v>
      </c>
      <c r="K241" s="52"/>
      <c r="L241" s="52"/>
      <c r="M241" s="52"/>
      <c r="N241" s="52"/>
      <c r="O241" s="52"/>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3:42">
      <c r="C242" s="115" t="s">
        <v>110</v>
      </c>
      <c r="D242" s="114" t="s">
        <v>239</v>
      </c>
      <c r="E242" s="114"/>
      <c r="F242" s="228">
        <v>162</v>
      </c>
      <c r="G242" s="229">
        <f>SUM(G237:G241)</f>
        <v>192</v>
      </c>
      <c r="H242" s="229">
        <f>SUM(H237:H241)</f>
        <v>158</v>
      </c>
      <c r="I242" s="229">
        <f>SUM(I237:I241)</f>
        <v>132</v>
      </c>
      <c r="J242" s="229">
        <f>SUM(J237:J241)</f>
        <v>130</v>
      </c>
      <c r="K242" s="52"/>
      <c r="L242" s="52"/>
      <c r="M242" s="52"/>
      <c r="N242" s="52"/>
      <c r="O242" s="52"/>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3:42">
      <c r="C243" s="2" t="s">
        <v>240</v>
      </c>
      <c r="D243" s="2" t="s">
        <v>241</v>
      </c>
      <c r="E243" s="2"/>
      <c r="F243" s="216">
        <v>0</v>
      </c>
      <c r="G243" s="181">
        <v>0</v>
      </c>
      <c r="H243" s="181">
        <v>0</v>
      </c>
      <c r="I243" s="181">
        <v>0</v>
      </c>
      <c r="J243" s="181">
        <v>0</v>
      </c>
      <c r="K243" s="52"/>
      <c r="L243" s="52"/>
      <c r="M243" s="52"/>
      <c r="N243" s="52"/>
      <c r="O243" s="52"/>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3:42">
      <c r="C244" s="112" t="s">
        <v>110</v>
      </c>
      <c r="D244" s="110" t="s">
        <v>243</v>
      </c>
      <c r="E244" s="110"/>
      <c r="F244" s="219">
        <f>SUM(F242:F243)</f>
        <v>162</v>
      </c>
      <c r="G244" s="220">
        <f>SUM(G242:G243)</f>
        <v>192</v>
      </c>
      <c r="H244" s="220">
        <f>SUM(H242:H243)</f>
        <v>158</v>
      </c>
      <c r="I244" s="220">
        <f>SUM(I242:I243)</f>
        <v>132</v>
      </c>
      <c r="J244" s="220">
        <f>SUM(J242:J243)</f>
        <v>130</v>
      </c>
      <c r="K244" s="52"/>
      <c r="L244" s="52"/>
      <c r="M244" s="52"/>
      <c r="N244" s="52"/>
      <c r="O244" s="52"/>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3:42" ht="43.2">
      <c r="C245" s="2" t="s">
        <v>244</v>
      </c>
      <c r="D245" s="106" t="s">
        <v>245</v>
      </c>
      <c r="E245" s="106"/>
      <c r="F245" s="216">
        <v>-4</v>
      </c>
      <c r="G245" s="181">
        <v>-3</v>
      </c>
      <c r="H245" s="181">
        <v>5</v>
      </c>
      <c r="I245" s="181">
        <v>4</v>
      </c>
      <c r="J245" s="181">
        <v>4</v>
      </c>
      <c r="K245" s="52"/>
      <c r="L245" s="52"/>
      <c r="M245" s="52"/>
      <c r="N245" s="52"/>
      <c r="O245" s="52"/>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3:42">
      <c r="C246" s="2" t="s">
        <v>246</v>
      </c>
      <c r="D246" s="2" t="s">
        <v>247</v>
      </c>
      <c r="E246" s="2"/>
      <c r="F246" s="216">
        <v>0</v>
      </c>
      <c r="G246" s="181">
        <v>0</v>
      </c>
      <c r="H246" s="181">
        <v>0</v>
      </c>
      <c r="I246" s="181">
        <v>0</v>
      </c>
      <c r="J246" s="181">
        <v>0</v>
      </c>
      <c r="K246" s="52"/>
      <c r="L246" s="52"/>
      <c r="M246" s="52"/>
      <c r="N246" s="52"/>
      <c r="O246" s="52"/>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3:42">
      <c r="C247" s="12" t="s">
        <v>248</v>
      </c>
      <c r="D247" s="13" t="s">
        <v>249</v>
      </c>
      <c r="E247" s="13"/>
      <c r="F247" s="224">
        <f>SUM(F235,-F244,F245)</f>
        <v>-138</v>
      </c>
      <c r="G247" s="192">
        <f>SUM(G235,-G244,G245)</f>
        <v>-161</v>
      </c>
      <c r="H247" s="192">
        <f>SUM(H235,-H244,H245)</f>
        <v>-134</v>
      </c>
      <c r="I247" s="192">
        <f>SUM(I235,-I244,I245)</f>
        <v>-112</v>
      </c>
      <c r="J247" s="192">
        <f>SUM(J235,-J244,J245)</f>
        <v>-110</v>
      </c>
      <c r="K247" s="52"/>
      <c r="L247" s="52"/>
      <c r="M247" s="52"/>
      <c r="N247" s="52"/>
      <c r="O247" s="52"/>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3:42">
      <c r="C248" s="5"/>
      <c r="D248" s="2"/>
      <c r="E248" s="2"/>
      <c r="F248" s="216"/>
      <c r="G248" s="181"/>
      <c r="H248" s="181"/>
      <c r="I248" s="179"/>
      <c r="J248" s="179"/>
      <c r="K248" s="52"/>
      <c r="L248" s="52"/>
      <c r="M248" s="52"/>
      <c r="N248" s="52"/>
      <c r="O248" s="52"/>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3:42">
      <c r="C249" s="21" t="s">
        <v>250</v>
      </c>
      <c r="D249" s="22" t="s">
        <v>251</v>
      </c>
      <c r="E249" s="22"/>
      <c r="F249" s="227">
        <f>SUM(F227,F229,F247)</f>
        <v>78</v>
      </c>
      <c r="G249" s="193">
        <f>SUM(G227,G229,G247)</f>
        <v>334</v>
      </c>
      <c r="H249" s="193">
        <f>SUM(H227,H229,H247)</f>
        <v>576</v>
      </c>
      <c r="I249" s="193">
        <f>SUM(I227,I229,I247)</f>
        <v>490</v>
      </c>
      <c r="J249" s="193">
        <f>SUM(J227,J229,J247)</f>
        <v>581</v>
      </c>
      <c r="K249" s="52"/>
      <c r="L249" s="52"/>
      <c r="M249" s="52"/>
      <c r="N249" s="52"/>
      <c r="O249" s="52"/>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3:42">
      <c r="C250" s="5"/>
      <c r="D250" s="2"/>
      <c r="E250" s="2"/>
      <c r="F250" s="216"/>
      <c r="G250" s="181"/>
      <c r="H250" s="181"/>
      <c r="I250" s="179"/>
      <c r="J250" s="179"/>
      <c r="K250" s="52"/>
      <c r="L250" s="52"/>
      <c r="M250" s="52"/>
      <c r="N250" s="52"/>
      <c r="O250" s="52"/>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3:42">
      <c r="C251" s="5" t="s">
        <v>252</v>
      </c>
      <c r="D251" s="2" t="s">
        <v>253</v>
      </c>
      <c r="E251" s="2"/>
      <c r="F251" s="216"/>
      <c r="G251" s="181"/>
      <c r="H251" s="181"/>
      <c r="I251" s="179"/>
      <c r="J251" s="179"/>
      <c r="K251" s="52"/>
      <c r="L251" s="52"/>
      <c r="M251" s="52"/>
      <c r="N251" s="52"/>
      <c r="O251" s="52"/>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3:42">
      <c r="C252" s="2" t="s">
        <v>254</v>
      </c>
      <c r="D252" s="2" t="s">
        <v>255</v>
      </c>
      <c r="E252" s="2"/>
      <c r="F252" s="216">
        <v>105</v>
      </c>
      <c r="G252" s="181">
        <v>138</v>
      </c>
      <c r="H252" s="181">
        <v>107</v>
      </c>
      <c r="I252" s="181">
        <v>146</v>
      </c>
      <c r="J252" s="181">
        <v>147</v>
      </c>
      <c r="K252" s="52"/>
      <c r="L252" s="52"/>
      <c r="M252" s="52"/>
      <c r="N252" s="52"/>
      <c r="O252" s="52"/>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3:42">
      <c r="C253" s="2" t="s">
        <v>256</v>
      </c>
      <c r="D253" s="2" t="s">
        <v>257</v>
      </c>
      <c r="E253" s="2"/>
      <c r="F253" s="216">
        <v>23</v>
      </c>
      <c r="G253" s="181">
        <v>25</v>
      </c>
      <c r="H253" s="181">
        <v>26</v>
      </c>
      <c r="I253" s="181">
        <v>30</v>
      </c>
      <c r="J253" s="181">
        <v>30</v>
      </c>
      <c r="K253" s="52"/>
      <c r="L253" s="52"/>
      <c r="M253" s="52"/>
      <c r="N253" s="52"/>
      <c r="O253" s="52"/>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3:42">
      <c r="C254" s="2" t="s">
        <v>258</v>
      </c>
      <c r="D254" s="2" t="s">
        <v>259</v>
      </c>
      <c r="E254" s="2"/>
      <c r="F254" s="216">
        <v>-17</v>
      </c>
      <c r="G254" s="181">
        <v>4</v>
      </c>
      <c r="H254" s="181">
        <v>-1</v>
      </c>
      <c r="I254" s="181">
        <v>2</v>
      </c>
      <c r="J254" s="181">
        <v>5</v>
      </c>
      <c r="K254" s="52"/>
      <c r="L254" s="52"/>
      <c r="M254" s="52"/>
      <c r="N254" s="52"/>
      <c r="O254" s="52"/>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3:42">
      <c r="C255" s="111" t="s">
        <v>260</v>
      </c>
      <c r="D255" s="60" t="s">
        <v>261</v>
      </c>
      <c r="E255" s="60"/>
      <c r="F255" s="230">
        <f>SUM(F252:F254)</f>
        <v>111</v>
      </c>
      <c r="G255" s="231">
        <f>SUM(G252:G254)</f>
        <v>167</v>
      </c>
      <c r="H255" s="231">
        <f>SUM(H252:H254)</f>
        <v>132</v>
      </c>
      <c r="I255" s="231">
        <f>SUM(I252:I254)</f>
        <v>178</v>
      </c>
      <c r="J255" s="231">
        <f>SUM(J252:J254)</f>
        <v>182</v>
      </c>
      <c r="K255" s="52"/>
      <c r="L255" s="52"/>
      <c r="M255" s="52"/>
      <c r="N255" s="52"/>
      <c r="O255" s="52"/>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3:42">
      <c r="C256" s="2" t="s">
        <v>33</v>
      </c>
      <c r="D256" s="2" t="s">
        <v>262</v>
      </c>
      <c r="E256" s="2"/>
      <c r="F256" s="216">
        <v>142</v>
      </c>
      <c r="G256" s="181">
        <v>44</v>
      </c>
      <c r="H256" s="181">
        <v>88</v>
      </c>
      <c r="I256" s="181">
        <v>33</v>
      </c>
      <c r="J256" s="181">
        <v>71</v>
      </c>
      <c r="K256" s="52"/>
      <c r="L256" s="52"/>
      <c r="M256" s="52"/>
      <c r="N256" s="52"/>
      <c r="O256" s="52"/>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3:42">
      <c r="C257" s="2" t="s">
        <v>263</v>
      </c>
      <c r="D257" s="2" t="s">
        <v>264</v>
      </c>
      <c r="E257" s="2"/>
      <c r="F257" s="216">
        <v>-120</v>
      </c>
      <c r="G257" s="181">
        <v>-89</v>
      </c>
      <c r="H257" s="181">
        <v>-28</v>
      </c>
      <c r="I257" s="181">
        <v>-54</v>
      </c>
      <c r="J257" s="181">
        <v>-64</v>
      </c>
      <c r="K257" s="52"/>
      <c r="L257" s="52"/>
      <c r="M257" s="52"/>
      <c r="N257" s="52"/>
      <c r="O257" s="52"/>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3:42">
      <c r="C258" s="116" t="s">
        <v>265</v>
      </c>
      <c r="D258" s="117" t="s">
        <v>266</v>
      </c>
      <c r="E258" s="117"/>
      <c r="F258" s="232">
        <f>SUM(F255:F257)</f>
        <v>133</v>
      </c>
      <c r="G258" s="233">
        <f>SUM(G255:G257)</f>
        <v>122</v>
      </c>
      <c r="H258" s="233">
        <f>SUM(H255:H257)</f>
        <v>192</v>
      </c>
      <c r="I258" s="233">
        <f>SUM(I255:I257)</f>
        <v>157</v>
      </c>
      <c r="J258" s="233">
        <f>SUM(J255:J257)</f>
        <v>189</v>
      </c>
      <c r="K258" s="52"/>
      <c r="L258" s="52"/>
      <c r="M258" s="52"/>
      <c r="N258" s="52"/>
      <c r="O258" s="52"/>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3:42">
      <c r="C259" s="5" t="s">
        <v>267</v>
      </c>
      <c r="D259" s="2" t="s">
        <v>268</v>
      </c>
      <c r="E259" s="2"/>
      <c r="F259" s="234">
        <f>SUM(F249,-F258)</f>
        <v>-55</v>
      </c>
      <c r="G259" s="179">
        <f>SUM(G249,-G258)</f>
        <v>212</v>
      </c>
      <c r="H259" s="179">
        <f>SUM(H249,-H258)</f>
        <v>384</v>
      </c>
      <c r="I259" s="179">
        <f>SUM(I249,-I258)</f>
        <v>333</v>
      </c>
      <c r="J259" s="179">
        <f>SUM(J249,-J258)</f>
        <v>392</v>
      </c>
      <c r="K259" s="52"/>
      <c r="L259" s="52"/>
      <c r="M259" s="52"/>
      <c r="N259" s="52"/>
      <c r="O259" s="52"/>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3:42">
      <c r="C260" s="5" t="s">
        <v>269</v>
      </c>
      <c r="D260" s="2" t="s">
        <v>270</v>
      </c>
      <c r="E260" s="2"/>
      <c r="F260" s="216">
        <v>0</v>
      </c>
      <c r="G260" s="181">
        <v>19</v>
      </c>
      <c r="H260" s="181">
        <v>-85</v>
      </c>
      <c r="I260" s="179">
        <v>21</v>
      </c>
      <c r="J260" s="179">
        <v>1</v>
      </c>
      <c r="K260" s="52"/>
      <c r="L260" s="52"/>
      <c r="M260" s="52"/>
      <c r="N260" s="52"/>
      <c r="O260" s="52"/>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3:42">
      <c r="C261" s="5"/>
      <c r="D261" s="2"/>
      <c r="E261" s="2"/>
      <c r="F261" s="216"/>
      <c r="G261" s="181"/>
      <c r="H261" s="181"/>
      <c r="I261" s="179"/>
      <c r="J261" s="179"/>
      <c r="K261" s="52"/>
      <c r="L261" s="52"/>
      <c r="M261" s="52"/>
      <c r="N261" s="52"/>
      <c r="O261" s="52"/>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3:42">
      <c r="C262" s="12" t="s">
        <v>271</v>
      </c>
      <c r="D262" s="13" t="s">
        <v>272</v>
      </c>
      <c r="E262" s="13"/>
      <c r="F262" s="224">
        <f>SUM(F259:F260)</f>
        <v>-55</v>
      </c>
      <c r="G262" s="192">
        <f>SUM(G259:G260)</f>
        <v>231</v>
      </c>
      <c r="H262" s="192">
        <f>SUM(H259:H260)</f>
        <v>299</v>
      </c>
      <c r="I262" s="192">
        <f>SUM(I259:I260)</f>
        <v>354</v>
      </c>
      <c r="J262" s="192">
        <f>SUM(J259:J260)</f>
        <v>393</v>
      </c>
      <c r="K262" s="52"/>
      <c r="L262" s="52"/>
      <c r="M262" s="52"/>
      <c r="N262" s="52"/>
      <c r="O262" s="52"/>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3:42">
      <c r="C263" s="2" t="s">
        <v>273</v>
      </c>
      <c r="D263" s="2" t="s">
        <v>274</v>
      </c>
      <c r="E263" s="2"/>
      <c r="F263" s="216">
        <v>130</v>
      </c>
      <c r="G263" s="181">
        <v>1</v>
      </c>
      <c r="H263" s="181">
        <v>-6</v>
      </c>
      <c r="I263" s="181">
        <v>-10</v>
      </c>
      <c r="J263" s="181">
        <v>-4</v>
      </c>
      <c r="K263" s="52"/>
      <c r="L263" s="52"/>
      <c r="M263" s="52"/>
      <c r="N263" s="52"/>
      <c r="O263" s="52"/>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3:42">
      <c r="C264" s="2"/>
      <c r="D264" s="2"/>
      <c r="E264" s="2"/>
      <c r="F264" s="216"/>
      <c r="G264" s="181"/>
      <c r="H264" s="181"/>
      <c r="I264" s="181"/>
      <c r="J264" s="181"/>
      <c r="K264" s="52"/>
      <c r="L264" s="52"/>
      <c r="M264" s="52"/>
      <c r="N264" s="52"/>
      <c r="O264" s="52"/>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3:42">
      <c r="C265" s="21" t="s">
        <v>275</v>
      </c>
      <c r="D265" s="22" t="s">
        <v>276</v>
      </c>
      <c r="E265" s="22"/>
      <c r="F265" s="235">
        <v>73</v>
      </c>
      <c r="G265" s="183">
        <v>232</v>
      </c>
      <c r="H265" s="183">
        <v>293</v>
      </c>
      <c r="I265" s="193">
        <f t="shared" ref="I265" si="54">SUM(I262:I263)</f>
        <v>344</v>
      </c>
      <c r="J265" s="193">
        <f>SUM(J262:J263)</f>
        <v>389</v>
      </c>
      <c r="K265" s="52"/>
      <c r="L265" s="52"/>
      <c r="M265" s="52"/>
      <c r="N265" s="52"/>
      <c r="O265" s="52"/>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3:42">
      <c r="C266" s="1"/>
      <c r="D266" s="1"/>
      <c r="E266" s="52"/>
      <c r="F266" s="52"/>
      <c r="G266" s="52"/>
      <c r="H266" s="52"/>
      <c r="I266" s="52"/>
      <c r="J266" s="52"/>
      <c r="K266" s="52"/>
      <c r="L266" s="52"/>
      <c r="M266" s="52"/>
      <c r="N266" s="52"/>
      <c r="O266" s="52"/>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3:42">
      <c r="C267" s="1"/>
      <c r="D267" s="1"/>
      <c r="E267" s="52"/>
      <c r="F267" s="52"/>
      <c r="G267" s="52"/>
      <c r="H267" s="52"/>
      <c r="I267" s="52"/>
      <c r="J267" s="52"/>
      <c r="K267" s="52"/>
      <c r="L267" s="52"/>
      <c r="M267" s="52"/>
      <c r="N267" s="52"/>
      <c r="O267" s="52"/>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3:42">
      <c r="C268" s="1"/>
      <c r="D268" s="1"/>
      <c r="E268" s="52"/>
      <c r="F268" s="52"/>
      <c r="G268" s="52"/>
      <c r="H268" s="52"/>
      <c r="I268" s="52"/>
      <c r="J268" s="52"/>
      <c r="K268" s="52"/>
      <c r="L268" s="52"/>
      <c r="M268" s="52"/>
      <c r="N268" s="52"/>
      <c r="O268" s="52"/>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3:42">
      <c r="C269" s="1"/>
      <c r="D269" s="1"/>
      <c r="E269" s="52"/>
      <c r="F269" s="52"/>
      <c r="G269" s="52"/>
      <c r="H269" s="52"/>
      <c r="I269" s="52"/>
      <c r="J269" s="52"/>
      <c r="K269" s="52"/>
      <c r="L269" s="52"/>
      <c r="M269" s="52"/>
      <c r="N269" s="52"/>
      <c r="O269" s="52"/>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3:42">
      <c r="C270" s="1"/>
      <c r="D270" s="1"/>
      <c r="E270" s="52"/>
      <c r="F270" s="52"/>
      <c r="G270" s="52"/>
      <c r="H270" s="52"/>
      <c r="I270" s="52"/>
      <c r="J270" s="52"/>
      <c r="K270" s="52"/>
      <c r="L270" s="52"/>
      <c r="M270" s="52"/>
      <c r="N270" s="52"/>
      <c r="O270" s="52"/>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3:42">
      <c r="C271" s="1"/>
      <c r="D271" s="1"/>
      <c r="E271" s="52"/>
      <c r="F271" s="52"/>
      <c r="G271" s="52"/>
      <c r="H271" s="52"/>
      <c r="I271" s="52"/>
      <c r="J271" s="52"/>
      <c r="K271" s="52"/>
      <c r="L271" s="52"/>
      <c r="M271" s="52"/>
      <c r="N271" s="52"/>
      <c r="O271" s="52"/>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3:42">
      <c r="C272" s="1"/>
      <c r="D272" s="1"/>
      <c r="E272" s="52"/>
      <c r="F272" s="52"/>
      <c r="G272" s="52"/>
      <c r="H272" s="52"/>
      <c r="I272" s="52"/>
      <c r="J272" s="52"/>
      <c r="K272" s="52"/>
      <c r="L272" s="52"/>
      <c r="M272" s="52"/>
      <c r="N272" s="52"/>
      <c r="O272" s="52"/>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3:42">
      <c r="C273" s="1"/>
      <c r="D273" s="1"/>
      <c r="E273" s="52"/>
      <c r="F273" s="52"/>
      <c r="G273" s="52"/>
      <c r="H273" s="52"/>
      <c r="I273" s="52"/>
      <c r="J273" s="52"/>
      <c r="K273" s="52"/>
      <c r="L273" s="52"/>
      <c r="M273" s="52"/>
      <c r="N273" s="52"/>
      <c r="O273" s="52"/>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3:42">
      <c r="C274" s="1"/>
      <c r="D274" s="1"/>
      <c r="E274" s="52"/>
      <c r="F274" s="52"/>
      <c r="G274" s="52"/>
      <c r="H274" s="52"/>
      <c r="I274" s="52"/>
      <c r="J274" s="52"/>
      <c r="K274" s="52"/>
      <c r="L274" s="52"/>
      <c r="M274" s="52"/>
      <c r="N274" s="52"/>
      <c r="O274" s="52"/>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3:42">
      <c r="C275" s="1"/>
      <c r="D275" s="1"/>
      <c r="E275" s="52"/>
      <c r="F275" s="52"/>
      <c r="G275" s="52"/>
      <c r="H275" s="52"/>
      <c r="I275" s="52"/>
      <c r="J275" s="52"/>
      <c r="K275" s="52"/>
      <c r="L275" s="52"/>
      <c r="M275" s="52"/>
      <c r="N275" s="52"/>
      <c r="O275" s="52"/>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3:42">
      <c r="C276" s="1"/>
      <c r="D276" s="1"/>
      <c r="E276" s="52"/>
      <c r="F276" s="52"/>
      <c r="G276" s="52"/>
      <c r="H276" s="52"/>
      <c r="I276" s="52"/>
      <c r="J276" s="52"/>
      <c r="K276" s="52"/>
      <c r="L276" s="52"/>
      <c r="M276" s="52"/>
      <c r="N276" s="52"/>
      <c r="O276" s="52"/>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3:42">
      <c r="C277" s="1"/>
      <c r="D277" s="1"/>
      <c r="E277" s="52"/>
      <c r="F277" s="52"/>
      <c r="G277" s="52"/>
      <c r="H277" s="52"/>
      <c r="I277" s="52"/>
      <c r="J277" s="52"/>
      <c r="K277" s="52"/>
      <c r="L277" s="52"/>
      <c r="M277" s="52"/>
      <c r="N277" s="52"/>
      <c r="O277" s="52"/>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3:42">
      <c r="C278" s="1"/>
      <c r="D278" s="1"/>
      <c r="E278" s="52"/>
      <c r="F278" s="52"/>
      <c r="G278" s="52"/>
      <c r="H278" s="52"/>
      <c r="I278" s="52"/>
      <c r="J278" s="52"/>
      <c r="K278" s="52"/>
      <c r="L278" s="52"/>
      <c r="M278" s="52"/>
      <c r="N278" s="52"/>
      <c r="O278" s="52"/>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3:42">
      <c r="C279" s="1"/>
      <c r="D279" s="1"/>
      <c r="E279" s="52"/>
      <c r="F279" s="52"/>
      <c r="G279" s="52"/>
      <c r="H279" s="52"/>
      <c r="I279" s="52"/>
      <c r="J279" s="52"/>
      <c r="K279" s="52"/>
      <c r="L279" s="52"/>
      <c r="M279" s="52"/>
      <c r="N279" s="52"/>
      <c r="O279" s="52"/>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3:42">
      <c r="C280" s="1"/>
      <c r="D280" s="1"/>
      <c r="E280" s="52"/>
      <c r="F280" s="52"/>
      <c r="G280" s="52"/>
      <c r="H280" s="52"/>
      <c r="I280" s="52"/>
      <c r="J280" s="52"/>
      <c r="K280" s="52"/>
      <c r="L280" s="52"/>
      <c r="M280" s="52"/>
      <c r="N280" s="52"/>
      <c r="O280" s="52"/>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3:42">
      <c r="C281" s="1"/>
      <c r="D281" s="1"/>
      <c r="E281" s="52"/>
      <c r="F281" s="52"/>
      <c r="G281" s="52"/>
      <c r="H281" s="52"/>
      <c r="I281" s="52"/>
      <c r="J281" s="52"/>
      <c r="K281" s="52"/>
      <c r="L281" s="52"/>
      <c r="M281" s="52"/>
      <c r="N281" s="52"/>
      <c r="O281" s="52"/>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3:42">
      <c r="C282" s="1"/>
      <c r="D282" s="1"/>
      <c r="E282" s="52"/>
      <c r="F282" s="52"/>
      <c r="G282" s="52"/>
      <c r="H282" s="52"/>
      <c r="I282" s="52"/>
      <c r="J282" s="52"/>
      <c r="K282" s="52"/>
      <c r="L282" s="52"/>
      <c r="M282" s="52"/>
      <c r="N282" s="52"/>
      <c r="O282" s="52"/>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3:42">
      <c r="C283" s="1"/>
      <c r="D283" s="1"/>
      <c r="E283" s="52"/>
      <c r="F283" s="52"/>
      <c r="G283" s="52"/>
      <c r="H283" s="52"/>
      <c r="I283" s="52"/>
      <c r="J283" s="52"/>
      <c r="K283" s="52"/>
      <c r="L283" s="52"/>
      <c r="M283" s="52"/>
      <c r="N283" s="52"/>
      <c r="O283" s="52"/>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3:42">
      <c r="C284" s="1"/>
      <c r="D284" s="1"/>
      <c r="E284" s="52"/>
      <c r="F284" s="52"/>
      <c r="G284" s="52"/>
      <c r="H284" s="52"/>
      <c r="I284" s="52"/>
      <c r="J284" s="52"/>
      <c r="K284" s="52"/>
      <c r="L284" s="52"/>
      <c r="M284" s="52"/>
      <c r="N284" s="52"/>
      <c r="O284" s="52"/>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3:42">
      <c r="C285" s="1"/>
      <c r="D285" s="1"/>
      <c r="E285" s="52"/>
      <c r="F285" s="52"/>
      <c r="G285" s="52"/>
      <c r="H285" s="52"/>
      <c r="I285" s="52"/>
      <c r="J285" s="52"/>
      <c r="K285" s="52"/>
      <c r="L285" s="52"/>
      <c r="M285" s="52"/>
      <c r="N285" s="52"/>
      <c r="O285" s="52"/>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3:42">
      <c r="C286" s="1"/>
      <c r="D286" s="1"/>
      <c r="E286" s="52"/>
      <c r="F286" s="52"/>
      <c r="G286" s="52"/>
      <c r="H286" s="52"/>
      <c r="I286" s="52"/>
      <c r="J286" s="52"/>
      <c r="K286" s="52"/>
      <c r="L286" s="52"/>
      <c r="M286" s="52"/>
      <c r="N286" s="52"/>
      <c r="O286" s="52"/>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3:42">
      <c r="C287" s="1"/>
      <c r="D287" s="1"/>
      <c r="E287" s="52"/>
      <c r="F287" s="52"/>
      <c r="G287" s="52"/>
      <c r="H287" s="52"/>
      <c r="I287" s="52"/>
      <c r="J287" s="52"/>
      <c r="K287" s="52"/>
      <c r="L287" s="52"/>
      <c r="M287" s="52"/>
      <c r="N287" s="52"/>
      <c r="O287" s="52"/>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3:42">
      <c r="C288" s="1"/>
      <c r="D288" s="1"/>
      <c r="E288" s="52"/>
      <c r="F288" s="52"/>
      <c r="G288" s="52"/>
      <c r="H288" s="52"/>
      <c r="I288" s="52"/>
      <c r="J288" s="52"/>
      <c r="K288" s="52"/>
      <c r="L288" s="52"/>
      <c r="M288" s="52"/>
      <c r="N288" s="52"/>
      <c r="O288" s="52"/>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3:42">
      <c r="C289" s="1"/>
      <c r="D289" s="1"/>
      <c r="E289" s="52"/>
      <c r="F289" s="52"/>
      <c r="G289" s="52"/>
      <c r="H289" s="52"/>
      <c r="I289" s="52"/>
      <c r="J289" s="52"/>
      <c r="K289" s="52"/>
      <c r="L289" s="52"/>
      <c r="M289" s="52"/>
      <c r="N289" s="52"/>
      <c r="O289" s="52"/>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3:42">
      <c r="C290" s="1"/>
      <c r="D290" s="1"/>
      <c r="E290" s="52"/>
      <c r="F290" s="52"/>
      <c r="G290" s="52"/>
      <c r="H290" s="52"/>
      <c r="I290" s="52"/>
      <c r="J290" s="52"/>
      <c r="K290" s="52"/>
      <c r="L290" s="52"/>
      <c r="M290" s="52"/>
      <c r="N290" s="52"/>
      <c r="O290" s="52"/>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3:42">
      <c r="C291" s="1"/>
      <c r="D291" s="1"/>
      <c r="E291" s="52"/>
      <c r="F291" s="52"/>
      <c r="G291" s="52"/>
      <c r="H291" s="52"/>
      <c r="I291" s="52"/>
      <c r="J291" s="52"/>
      <c r="K291" s="52"/>
      <c r="L291" s="52"/>
      <c r="M291" s="52"/>
      <c r="N291" s="52"/>
      <c r="O291" s="52"/>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3:42">
      <c r="C292" s="1"/>
      <c r="D292" s="1"/>
      <c r="E292" s="52"/>
      <c r="F292" s="52"/>
      <c r="G292" s="52"/>
      <c r="H292" s="52"/>
      <c r="I292" s="52"/>
      <c r="J292" s="52"/>
      <c r="K292" s="52"/>
      <c r="L292" s="52"/>
      <c r="M292" s="52"/>
      <c r="N292" s="52"/>
      <c r="O292" s="52"/>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3:42">
      <c r="C293" s="1"/>
      <c r="D293" s="1"/>
      <c r="E293" s="52"/>
      <c r="F293" s="52"/>
      <c r="G293" s="52"/>
      <c r="H293" s="52"/>
      <c r="I293" s="52"/>
      <c r="J293" s="52"/>
      <c r="K293" s="52"/>
      <c r="L293" s="52"/>
      <c r="M293" s="52"/>
      <c r="N293" s="52"/>
      <c r="O293" s="52"/>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3:42">
      <c r="C294" s="1"/>
      <c r="D294" s="1"/>
      <c r="E294" s="52"/>
      <c r="F294" s="52"/>
      <c r="G294" s="52"/>
      <c r="H294" s="52"/>
      <c r="I294" s="52"/>
      <c r="J294" s="52"/>
      <c r="K294" s="52"/>
      <c r="L294" s="52"/>
      <c r="M294" s="52"/>
      <c r="N294" s="52"/>
      <c r="O294" s="52"/>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3:42">
      <c r="C295" s="1"/>
      <c r="D295" s="1"/>
      <c r="E295" s="52"/>
      <c r="F295" s="52"/>
      <c r="G295" s="52"/>
      <c r="H295" s="52"/>
      <c r="I295" s="52"/>
      <c r="J295" s="52"/>
      <c r="K295" s="52"/>
      <c r="L295" s="52"/>
      <c r="M295" s="52"/>
      <c r="N295" s="52"/>
      <c r="O295" s="52"/>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3:42">
      <c r="C296" s="1"/>
      <c r="D296" s="1"/>
      <c r="E296" s="52"/>
      <c r="F296" s="52"/>
      <c r="G296" s="52"/>
      <c r="H296" s="52"/>
      <c r="I296" s="52"/>
      <c r="J296" s="52"/>
      <c r="K296" s="52"/>
      <c r="L296" s="52"/>
      <c r="M296" s="52"/>
      <c r="N296" s="52"/>
      <c r="O296" s="52"/>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3:42">
      <c r="C297" s="1"/>
      <c r="D297" s="1"/>
      <c r="E297" s="52"/>
      <c r="F297" s="52"/>
      <c r="G297" s="52"/>
      <c r="H297" s="52"/>
      <c r="I297" s="52"/>
      <c r="J297" s="52"/>
      <c r="K297" s="52"/>
      <c r="L297" s="52"/>
      <c r="M297" s="52"/>
      <c r="N297" s="52"/>
      <c r="O297" s="52"/>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row>
    <row r="298" spans="3:42">
      <c r="C298" s="1"/>
      <c r="D298" s="1"/>
      <c r="E298" s="52"/>
      <c r="F298" s="52"/>
      <c r="G298" s="52"/>
      <c r="H298" s="52"/>
      <c r="I298" s="52"/>
      <c r="J298" s="52"/>
      <c r="K298" s="52"/>
      <c r="L298" s="52"/>
      <c r="M298" s="52"/>
      <c r="N298" s="52"/>
      <c r="O298" s="52"/>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3:42">
      <c r="C299" s="1"/>
      <c r="D299" s="1"/>
      <c r="E299" s="52"/>
      <c r="F299" s="52"/>
      <c r="G299" s="52"/>
      <c r="H299" s="52"/>
      <c r="I299" s="52"/>
      <c r="J299" s="52"/>
      <c r="K299" s="52"/>
      <c r="L299" s="52"/>
      <c r="M299" s="52"/>
      <c r="N299" s="52"/>
      <c r="O299" s="52"/>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3:42">
      <c r="C300" s="1"/>
      <c r="D300" s="1"/>
      <c r="E300" s="52"/>
      <c r="F300" s="52"/>
      <c r="G300" s="52"/>
      <c r="H300" s="52"/>
      <c r="I300" s="52"/>
      <c r="J300" s="52"/>
      <c r="K300" s="52"/>
      <c r="L300" s="52"/>
      <c r="M300" s="52"/>
      <c r="N300" s="52"/>
      <c r="O300" s="52"/>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3:42">
      <c r="C301" s="1"/>
      <c r="D301" s="1"/>
      <c r="E301" s="52"/>
      <c r="F301" s="52"/>
      <c r="G301" s="52"/>
      <c r="H301" s="52"/>
      <c r="I301" s="52"/>
      <c r="J301" s="52"/>
      <c r="K301" s="52"/>
      <c r="L301" s="52"/>
      <c r="M301" s="52"/>
      <c r="N301" s="52"/>
      <c r="O301" s="52"/>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3:42">
      <c r="C302" s="1"/>
      <c r="D302" s="1"/>
      <c r="E302" s="52"/>
      <c r="F302" s="52"/>
      <c r="G302" s="52"/>
      <c r="H302" s="52"/>
      <c r="I302" s="52"/>
      <c r="J302" s="52"/>
      <c r="K302" s="52"/>
      <c r="L302" s="52"/>
      <c r="M302" s="52"/>
      <c r="N302" s="52"/>
      <c r="O302" s="52"/>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3:42">
      <c r="C303" s="1"/>
      <c r="D303" s="1"/>
      <c r="E303" s="52"/>
      <c r="F303" s="52"/>
      <c r="G303" s="52"/>
      <c r="H303" s="52"/>
      <c r="I303" s="52"/>
      <c r="J303" s="52"/>
      <c r="K303" s="52"/>
      <c r="L303" s="52"/>
      <c r="M303" s="52"/>
      <c r="N303" s="52"/>
      <c r="O303" s="52"/>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3:42">
      <c r="C304" s="1"/>
      <c r="D304" s="1"/>
      <c r="E304" s="52"/>
      <c r="F304" s="52"/>
      <c r="G304" s="52"/>
      <c r="H304" s="52"/>
      <c r="I304" s="52"/>
      <c r="J304" s="52"/>
      <c r="K304" s="52"/>
      <c r="L304" s="52"/>
      <c r="M304" s="52"/>
      <c r="N304" s="52"/>
      <c r="O304" s="52"/>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3:42">
      <c r="C305" s="1"/>
      <c r="D305" s="1"/>
      <c r="E305" s="52"/>
      <c r="F305" s="52"/>
      <c r="G305" s="52"/>
      <c r="H305" s="52"/>
      <c r="I305" s="52"/>
      <c r="J305" s="52"/>
      <c r="K305" s="52"/>
      <c r="L305" s="52"/>
      <c r="M305" s="52"/>
      <c r="N305" s="52"/>
      <c r="O305" s="52"/>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3:42">
      <c r="C306" s="1"/>
      <c r="D306" s="1"/>
      <c r="E306" s="52"/>
      <c r="F306" s="52"/>
      <c r="G306" s="52"/>
      <c r="H306" s="52"/>
      <c r="I306" s="52"/>
      <c r="J306" s="52"/>
      <c r="K306" s="52"/>
      <c r="L306" s="52"/>
      <c r="M306" s="52"/>
      <c r="N306" s="52"/>
      <c r="O306" s="52"/>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3:42">
      <c r="C307" s="1"/>
      <c r="D307" s="1"/>
      <c r="E307" s="52"/>
      <c r="F307" s="52"/>
      <c r="G307" s="52"/>
      <c r="H307" s="52"/>
      <c r="I307" s="52"/>
      <c r="J307" s="52"/>
      <c r="K307" s="52"/>
      <c r="L307" s="52"/>
      <c r="M307" s="52"/>
      <c r="N307" s="52"/>
      <c r="O307" s="52"/>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3:42">
      <c r="C308" s="1"/>
      <c r="D308" s="1"/>
      <c r="E308" s="52"/>
      <c r="F308" s="52"/>
      <c r="G308" s="52"/>
      <c r="H308" s="52"/>
      <c r="I308" s="52"/>
      <c r="J308" s="52"/>
      <c r="K308" s="52"/>
      <c r="L308" s="52"/>
      <c r="M308" s="52"/>
      <c r="N308" s="52"/>
      <c r="O308" s="52"/>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3:42">
      <c r="C309" s="1"/>
      <c r="D309" s="1"/>
      <c r="E309" s="52"/>
      <c r="F309" s="52"/>
      <c r="G309" s="52"/>
      <c r="H309" s="52"/>
      <c r="I309" s="52"/>
      <c r="J309" s="52"/>
      <c r="K309" s="52"/>
      <c r="L309" s="52"/>
      <c r="M309" s="52"/>
      <c r="N309" s="52"/>
      <c r="O309" s="52"/>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3:42">
      <c r="C310" s="1"/>
      <c r="D310" s="1"/>
      <c r="E310" s="52"/>
      <c r="F310" s="52"/>
      <c r="G310" s="52"/>
      <c r="H310" s="52"/>
      <c r="I310" s="52"/>
      <c r="J310" s="52"/>
      <c r="K310" s="52"/>
      <c r="L310" s="52"/>
      <c r="M310" s="52"/>
      <c r="N310" s="52"/>
      <c r="O310" s="52"/>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3:42">
      <c r="C311" s="1"/>
      <c r="D311" s="1"/>
      <c r="E311" s="52"/>
      <c r="F311" s="52"/>
      <c r="G311" s="52"/>
      <c r="H311" s="52"/>
      <c r="I311" s="52"/>
      <c r="J311" s="52"/>
      <c r="K311" s="52"/>
      <c r="L311" s="52"/>
      <c r="M311" s="52"/>
      <c r="N311" s="52"/>
      <c r="O311" s="52"/>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3:42">
      <c r="C312" s="1"/>
      <c r="D312" s="1"/>
      <c r="E312" s="52"/>
      <c r="F312" s="52"/>
      <c r="G312" s="52"/>
      <c r="H312" s="52"/>
      <c r="I312" s="52"/>
      <c r="J312" s="52"/>
      <c r="K312" s="52"/>
      <c r="L312" s="52"/>
      <c r="M312" s="52"/>
      <c r="N312" s="52"/>
      <c r="O312" s="52"/>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3:42">
      <c r="C313" s="1"/>
      <c r="D313" s="1"/>
      <c r="E313" s="52"/>
      <c r="F313" s="52"/>
      <c r="G313" s="52"/>
      <c r="H313" s="52"/>
      <c r="I313" s="52"/>
      <c r="J313" s="52"/>
      <c r="K313" s="52"/>
      <c r="L313" s="52"/>
      <c r="M313" s="52"/>
      <c r="N313" s="52"/>
      <c r="O313" s="52"/>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3:42">
      <c r="C314" s="1"/>
      <c r="D314" s="1"/>
      <c r="E314" s="52"/>
      <c r="F314" s="52"/>
      <c r="G314" s="52"/>
      <c r="H314" s="52"/>
      <c r="I314" s="52"/>
      <c r="J314" s="52"/>
      <c r="K314" s="52"/>
      <c r="L314" s="52"/>
      <c r="M314" s="52"/>
      <c r="N314" s="52"/>
      <c r="O314" s="52"/>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3:42">
      <c r="C315" s="1"/>
      <c r="D315" s="1"/>
      <c r="E315" s="52"/>
      <c r="F315" s="52"/>
      <c r="G315" s="52"/>
      <c r="H315" s="52"/>
      <c r="I315" s="52"/>
      <c r="J315" s="52"/>
      <c r="K315" s="52"/>
      <c r="L315" s="52"/>
      <c r="M315" s="52"/>
      <c r="N315" s="52"/>
      <c r="O315" s="52"/>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3:42">
      <c r="C316" s="1"/>
      <c r="D316" s="1"/>
      <c r="E316" s="52"/>
      <c r="F316" s="52"/>
      <c r="G316" s="52"/>
      <c r="H316" s="52"/>
      <c r="I316" s="52"/>
      <c r="J316" s="52"/>
      <c r="K316" s="52"/>
      <c r="L316" s="52"/>
      <c r="M316" s="52"/>
      <c r="N316" s="52"/>
      <c r="O316" s="52"/>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3:42">
      <c r="C317" s="1"/>
      <c r="D317" s="1"/>
      <c r="E317" s="52"/>
      <c r="F317" s="52"/>
      <c r="G317" s="52"/>
      <c r="H317" s="52"/>
      <c r="I317" s="52"/>
      <c r="J317" s="52"/>
      <c r="K317" s="52"/>
      <c r="L317" s="52"/>
      <c r="M317" s="52"/>
      <c r="N317" s="52"/>
      <c r="O317" s="52"/>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3:42">
      <c r="C318" s="1"/>
      <c r="D318" s="1"/>
      <c r="E318" s="52"/>
      <c r="F318" s="52"/>
      <c r="G318" s="52"/>
      <c r="H318" s="52"/>
      <c r="I318" s="52"/>
      <c r="J318" s="52"/>
      <c r="K318" s="52"/>
      <c r="L318" s="52"/>
      <c r="M318" s="52"/>
      <c r="N318" s="52"/>
      <c r="O318" s="52"/>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3:42">
      <c r="C319" s="1"/>
      <c r="D319" s="1"/>
      <c r="E319" s="52"/>
      <c r="F319" s="52"/>
      <c r="G319" s="52"/>
      <c r="H319" s="52"/>
      <c r="I319" s="52"/>
      <c r="J319" s="52"/>
      <c r="K319" s="52"/>
      <c r="L319" s="52"/>
      <c r="M319" s="52"/>
      <c r="N319" s="52"/>
      <c r="O319" s="52"/>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3:42">
      <c r="C320" s="1"/>
      <c r="D320" s="1"/>
      <c r="E320" s="52"/>
      <c r="F320" s="52"/>
      <c r="G320" s="52"/>
      <c r="H320" s="52"/>
      <c r="I320" s="52"/>
      <c r="J320" s="52"/>
      <c r="K320" s="52"/>
      <c r="L320" s="52"/>
      <c r="M320" s="52"/>
      <c r="N320" s="52"/>
      <c r="O320" s="52"/>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3:42">
      <c r="C321" s="1"/>
      <c r="D321" s="1"/>
      <c r="E321" s="52"/>
      <c r="F321" s="52"/>
      <c r="G321" s="52"/>
      <c r="H321" s="52"/>
      <c r="I321" s="52"/>
      <c r="J321" s="52"/>
      <c r="K321" s="52"/>
      <c r="L321" s="52"/>
      <c r="M321" s="52"/>
      <c r="N321" s="52"/>
      <c r="O321" s="52"/>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3:42">
      <c r="C322" s="1"/>
      <c r="D322" s="1"/>
      <c r="E322" s="52"/>
      <c r="F322" s="52"/>
      <c r="G322" s="52"/>
      <c r="H322" s="52"/>
      <c r="I322" s="52"/>
      <c r="J322" s="52"/>
      <c r="K322" s="52"/>
      <c r="L322" s="52"/>
      <c r="M322" s="52"/>
      <c r="N322" s="52"/>
      <c r="O322" s="52"/>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3:42">
      <c r="C323" s="1"/>
      <c r="D323" s="1"/>
      <c r="E323" s="52"/>
      <c r="F323" s="52"/>
      <c r="G323" s="52"/>
      <c r="H323" s="52"/>
      <c r="I323" s="52"/>
      <c r="J323" s="52"/>
      <c r="K323" s="52"/>
      <c r="L323" s="52"/>
      <c r="M323" s="52"/>
      <c r="N323" s="52"/>
      <c r="O323" s="52"/>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3:42">
      <c r="C324" s="1"/>
      <c r="D324" s="1"/>
      <c r="E324" s="52"/>
      <c r="F324" s="52"/>
      <c r="G324" s="52"/>
      <c r="H324" s="52"/>
      <c r="I324" s="52"/>
      <c r="J324" s="52"/>
      <c r="K324" s="52"/>
      <c r="L324" s="52"/>
      <c r="M324" s="52"/>
      <c r="N324" s="52"/>
      <c r="O324" s="52"/>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3:42">
      <c r="C325" s="1"/>
      <c r="D325" s="1"/>
      <c r="E325" s="52"/>
      <c r="F325" s="52"/>
      <c r="G325" s="52"/>
      <c r="H325" s="52"/>
      <c r="I325" s="52"/>
      <c r="J325" s="52"/>
      <c r="K325" s="52"/>
      <c r="L325" s="52"/>
      <c r="M325" s="52"/>
      <c r="N325" s="52"/>
      <c r="O325" s="52"/>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3:42">
      <c r="C326" s="1"/>
      <c r="D326" s="1"/>
      <c r="E326" s="52"/>
      <c r="F326" s="52"/>
      <c r="G326" s="52"/>
      <c r="H326" s="52"/>
      <c r="I326" s="52"/>
      <c r="J326" s="52"/>
      <c r="K326" s="52"/>
      <c r="L326" s="52"/>
      <c r="M326" s="52"/>
      <c r="N326" s="52"/>
      <c r="O326" s="52"/>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3:42">
      <c r="C327" s="1"/>
      <c r="D327" s="1"/>
      <c r="E327" s="52"/>
      <c r="F327" s="52"/>
      <c r="G327" s="52"/>
      <c r="H327" s="52"/>
      <c r="I327" s="52"/>
      <c r="J327" s="52"/>
      <c r="K327" s="52"/>
      <c r="L327" s="52"/>
      <c r="M327" s="52"/>
      <c r="N327" s="52"/>
      <c r="O327" s="52"/>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3:42">
      <c r="C328" s="1"/>
      <c r="D328" s="1"/>
      <c r="E328" s="52"/>
      <c r="F328" s="52"/>
      <c r="G328" s="52"/>
      <c r="H328" s="52"/>
      <c r="I328" s="52"/>
      <c r="J328" s="52"/>
      <c r="K328" s="52"/>
      <c r="L328" s="52"/>
      <c r="M328" s="52"/>
      <c r="N328" s="52"/>
      <c r="O328" s="52"/>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3:42">
      <c r="C329" s="1"/>
      <c r="D329" s="1"/>
      <c r="E329" s="52"/>
      <c r="F329" s="52"/>
      <c r="G329" s="52"/>
      <c r="H329" s="52"/>
      <c r="I329" s="52"/>
      <c r="J329" s="52"/>
      <c r="K329" s="52"/>
      <c r="L329" s="52"/>
      <c r="M329" s="52"/>
      <c r="N329" s="52"/>
      <c r="O329" s="52"/>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3:42">
      <c r="C330" s="1"/>
      <c r="D330" s="1"/>
      <c r="E330" s="52"/>
      <c r="F330" s="52"/>
      <c r="G330" s="52"/>
      <c r="H330" s="52"/>
      <c r="I330" s="52"/>
      <c r="J330" s="52"/>
      <c r="K330" s="52"/>
      <c r="L330" s="52"/>
      <c r="M330" s="52"/>
      <c r="N330" s="52"/>
      <c r="O330" s="52"/>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3:42">
      <c r="C331" s="1"/>
      <c r="D331" s="1"/>
      <c r="E331" s="52"/>
      <c r="F331" s="52"/>
      <c r="G331" s="52"/>
      <c r="H331" s="52"/>
      <c r="I331" s="52"/>
      <c r="J331" s="52"/>
      <c r="K331" s="52"/>
      <c r="L331" s="52"/>
      <c r="M331" s="52"/>
      <c r="N331" s="52"/>
      <c r="O331" s="52"/>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3:42">
      <c r="C332" s="1"/>
      <c r="D332" s="1"/>
      <c r="E332" s="52"/>
      <c r="F332" s="52"/>
      <c r="G332" s="52"/>
      <c r="H332" s="52"/>
      <c r="I332" s="52"/>
      <c r="J332" s="52"/>
      <c r="K332" s="52"/>
      <c r="L332" s="52"/>
      <c r="M332" s="52"/>
      <c r="N332" s="52"/>
      <c r="O332" s="52"/>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3:42">
      <c r="C333" s="1"/>
      <c r="D333" s="1"/>
      <c r="E333" s="52"/>
      <c r="F333" s="52"/>
      <c r="G333" s="52"/>
      <c r="H333" s="52"/>
      <c r="I333" s="52"/>
      <c r="J333" s="52"/>
      <c r="K333" s="52"/>
      <c r="L333" s="52"/>
      <c r="M333" s="52"/>
      <c r="N333" s="52"/>
      <c r="O333" s="52"/>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3:42">
      <c r="C334" s="1"/>
      <c r="D334" s="1"/>
      <c r="E334" s="52"/>
      <c r="F334" s="52"/>
      <c r="G334" s="52"/>
      <c r="H334" s="52"/>
      <c r="I334" s="52"/>
      <c r="J334" s="52"/>
      <c r="K334" s="52"/>
      <c r="L334" s="52"/>
      <c r="M334" s="52"/>
      <c r="N334" s="52"/>
      <c r="O334" s="52"/>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3:42">
      <c r="C335" s="1"/>
      <c r="D335" s="1"/>
      <c r="E335" s="52"/>
      <c r="F335" s="52"/>
      <c r="G335" s="52"/>
      <c r="H335" s="52"/>
      <c r="I335" s="52"/>
      <c r="J335" s="52"/>
      <c r="K335" s="52"/>
      <c r="L335" s="52"/>
      <c r="M335" s="52"/>
      <c r="N335" s="52"/>
      <c r="O335" s="52"/>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3:42">
      <c r="C336" s="1"/>
      <c r="D336" s="1"/>
      <c r="E336" s="52"/>
      <c r="F336" s="52"/>
      <c r="G336" s="52"/>
      <c r="H336" s="52"/>
      <c r="I336" s="52"/>
      <c r="J336" s="52"/>
      <c r="K336" s="52"/>
      <c r="L336" s="52"/>
      <c r="M336" s="52"/>
      <c r="N336" s="52"/>
      <c r="O336" s="52"/>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3:42">
      <c r="C337" s="1"/>
      <c r="D337" s="1"/>
      <c r="E337" s="52"/>
      <c r="F337" s="52"/>
      <c r="G337" s="52"/>
      <c r="H337" s="52"/>
      <c r="I337" s="52"/>
      <c r="J337" s="52"/>
      <c r="K337" s="52"/>
      <c r="L337" s="52"/>
      <c r="M337" s="52"/>
      <c r="N337" s="52"/>
      <c r="O337" s="52"/>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3:42">
      <c r="C338" s="1"/>
      <c r="D338" s="1"/>
      <c r="E338" s="52"/>
      <c r="F338" s="52"/>
      <c r="G338" s="52"/>
      <c r="H338" s="52"/>
      <c r="I338" s="52"/>
      <c r="J338" s="52"/>
      <c r="K338" s="52"/>
      <c r="L338" s="52"/>
      <c r="M338" s="52"/>
      <c r="N338" s="52"/>
      <c r="O338" s="52"/>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3:42">
      <c r="C339" s="1"/>
      <c r="D339" s="1"/>
      <c r="E339" s="52"/>
      <c r="F339" s="52"/>
      <c r="G339" s="52"/>
      <c r="H339" s="52"/>
      <c r="I339" s="52"/>
      <c r="J339" s="52"/>
      <c r="K339" s="52"/>
      <c r="L339" s="52"/>
      <c r="M339" s="52"/>
      <c r="N339" s="52"/>
      <c r="O339" s="52"/>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3:42">
      <c r="C340" s="1"/>
      <c r="D340" s="1"/>
      <c r="E340" s="52"/>
      <c r="F340" s="52"/>
      <c r="G340" s="52"/>
      <c r="H340" s="52"/>
      <c r="I340" s="52"/>
      <c r="J340" s="52"/>
      <c r="K340" s="52"/>
      <c r="L340" s="52"/>
      <c r="M340" s="52"/>
      <c r="N340" s="52"/>
      <c r="O340" s="52"/>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3:42">
      <c r="C341" s="1"/>
      <c r="D341" s="1"/>
      <c r="E341" s="52"/>
      <c r="F341" s="52"/>
      <c r="G341" s="52"/>
      <c r="H341" s="52"/>
      <c r="I341" s="52"/>
      <c r="J341" s="52"/>
      <c r="K341" s="52"/>
      <c r="L341" s="52"/>
      <c r="M341" s="52"/>
      <c r="N341" s="52"/>
      <c r="O341" s="52"/>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3:42">
      <c r="C342" s="1"/>
      <c r="D342" s="1"/>
      <c r="E342" s="52"/>
      <c r="F342" s="52"/>
      <c r="G342" s="52"/>
      <c r="H342" s="52"/>
      <c r="I342" s="52"/>
      <c r="J342" s="52"/>
      <c r="K342" s="52"/>
      <c r="L342" s="52"/>
      <c r="M342" s="52"/>
      <c r="N342" s="52"/>
      <c r="O342" s="52"/>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3:42">
      <c r="C343" s="1"/>
      <c r="D343" s="1"/>
      <c r="E343" s="52"/>
      <c r="F343" s="52"/>
      <c r="G343" s="52"/>
      <c r="H343" s="52"/>
      <c r="I343" s="52"/>
      <c r="J343" s="52"/>
      <c r="K343" s="52"/>
      <c r="L343" s="52"/>
      <c r="M343" s="52"/>
      <c r="N343" s="52"/>
      <c r="O343" s="52"/>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3:42">
      <c r="C344" s="1"/>
      <c r="D344" s="1"/>
      <c r="E344" s="52"/>
      <c r="F344" s="52"/>
      <c r="G344" s="52"/>
      <c r="H344" s="52"/>
      <c r="I344" s="52"/>
      <c r="J344" s="52"/>
      <c r="K344" s="52"/>
      <c r="L344" s="52"/>
      <c r="M344" s="52"/>
      <c r="N344" s="52"/>
      <c r="O344" s="52"/>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3:42">
      <c r="C345" s="1"/>
      <c r="D345" s="1"/>
      <c r="E345" s="52"/>
      <c r="F345" s="52"/>
      <c r="G345" s="52"/>
      <c r="H345" s="52"/>
      <c r="I345" s="52"/>
      <c r="J345" s="52"/>
      <c r="K345" s="52"/>
      <c r="L345" s="52"/>
      <c r="M345" s="52"/>
      <c r="N345" s="52"/>
      <c r="O345" s="52"/>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3:42">
      <c r="C346" s="1"/>
      <c r="D346" s="1"/>
      <c r="E346" s="52"/>
      <c r="F346" s="52"/>
      <c r="G346" s="52"/>
      <c r="H346" s="52"/>
      <c r="I346" s="52"/>
      <c r="J346" s="52"/>
      <c r="K346" s="52"/>
      <c r="L346" s="52"/>
      <c r="M346" s="52"/>
      <c r="N346" s="52"/>
      <c r="O346" s="52"/>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3:42">
      <c r="C347" s="1"/>
      <c r="D347" s="1"/>
      <c r="E347" s="52"/>
      <c r="F347" s="52"/>
      <c r="G347" s="52"/>
      <c r="H347" s="52"/>
      <c r="I347" s="52"/>
      <c r="J347" s="52"/>
      <c r="K347" s="52"/>
      <c r="L347" s="52"/>
      <c r="M347" s="52"/>
      <c r="N347" s="52"/>
      <c r="O347" s="52"/>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3:42">
      <c r="C348" s="1"/>
      <c r="D348" s="1"/>
      <c r="E348" s="52"/>
      <c r="F348" s="52"/>
      <c r="G348" s="52"/>
      <c r="H348" s="52"/>
      <c r="I348" s="52"/>
      <c r="J348" s="52"/>
      <c r="K348" s="52"/>
      <c r="L348" s="52"/>
      <c r="M348" s="52"/>
      <c r="N348" s="52"/>
      <c r="O348" s="52"/>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3:42">
      <c r="C349" s="1"/>
      <c r="D349" s="1"/>
      <c r="E349" s="52"/>
      <c r="F349" s="52"/>
      <c r="G349" s="52"/>
      <c r="H349" s="52"/>
      <c r="I349" s="52"/>
      <c r="J349" s="52"/>
      <c r="K349" s="52"/>
      <c r="L349" s="52"/>
      <c r="M349" s="52"/>
      <c r="N349" s="52"/>
      <c r="O349" s="52"/>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3:42">
      <c r="C350" s="1"/>
      <c r="D350" s="1"/>
      <c r="E350" s="52"/>
      <c r="F350" s="52"/>
      <c r="G350" s="52"/>
      <c r="H350" s="52"/>
      <c r="I350" s="52"/>
      <c r="J350" s="52"/>
      <c r="K350" s="52"/>
      <c r="L350" s="52"/>
      <c r="M350" s="52"/>
      <c r="N350" s="52"/>
      <c r="O350" s="52"/>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3:42">
      <c r="C351" s="1"/>
      <c r="D351" s="1"/>
      <c r="E351" s="52"/>
      <c r="F351" s="52"/>
      <c r="G351" s="52"/>
      <c r="H351" s="52"/>
      <c r="I351" s="52"/>
      <c r="J351" s="52"/>
      <c r="K351" s="52"/>
      <c r="L351" s="52"/>
      <c r="M351" s="52"/>
      <c r="N351" s="52"/>
      <c r="O351" s="52"/>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3:42">
      <c r="C352" s="1"/>
      <c r="D352" s="1"/>
      <c r="E352" s="52"/>
      <c r="F352" s="52"/>
      <c r="G352" s="52"/>
      <c r="H352" s="52"/>
      <c r="I352" s="52"/>
      <c r="J352" s="52"/>
      <c r="K352" s="52"/>
      <c r="L352" s="52"/>
      <c r="M352" s="52"/>
      <c r="N352" s="52"/>
      <c r="O352" s="52"/>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3:42">
      <c r="C353" s="1"/>
      <c r="D353" s="1"/>
      <c r="E353" s="52"/>
      <c r="F353" s="52"/>
      <c r="G353" s="52"/>
      <c r="H353" s="52"/>
      <c r="I353" s="52"/>
      <c r="J353" s="52"/>
      <c r="K353" s="52"/>
      <c r="L353" s="52"/>
      <c r="M353" s="52"/>
      <c r="N353" s="52"/>
      <c r="O353" s="52"/>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3:42">
      <c r="C354" s="1"/>
      <c r="D354" s="1"/>
      <c r="E354" s="52"/>
      <c r="F354" s="52"/>
      <c r="G354" s="52"/>
      <c r="H354" s="52"/>
      <c r="I354" s="52"/>
      <c r="J354" s="52"/>
      <c r="K354" s="52"/>
      <c r="L354" s="52"/>
      <c r="M354" s="52"/>
      <c r="N354" s="52"/>
      <c r="O354" s="52"/>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3:42">
      <c r="C355" s="1"/>
      <c r="D355" s="1"/>
      <c r="E355" s="52"/>
      <c r="F355" s="52"/>
      <c r="G355" s="52"/>
      <c r="H355" s="52"/>
      <c r="I355" s="52"/>
      <c r="J355" s="52"/>
      <c r="K355" s="52"/>
      <c r="L355" s="52"/>
      <c r="M355" s="52"/>
      <c r="N355" s="52"/>
      <c r="O355" s="52"/>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3:42">
      <c r="C356" s="1"/>
      <c r="D356" s="1"/>
      <c r="E356" s="52"/>
      <c r="F356" s="52"/>
      <c r="G356" s="52"/>
      <c r="H356" s="52"/>
      <c r="I356" s="52"/>
      <c r="J356" s="52"/>
      <c r="K356" s="52"/>
      <c r="L356" s="52"/>
      <c r="M356" s="52"/>
      <c r="N356" s="52"/>
      <c r="O356" s="52"/>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3:42">
      <c r="C357" s="1"/>
      <c r="D357" s="1"/>
      <c r="E357" s="52"/>
      <c r="F357" s="52"/>
      <c r="G357" s="52"/>
      <c r="H357" s="52"/>
      <c r="I357" s="52"/>
      <c r="J357" s="52"/>
      <c r="K357" s="52"/>
      <c r="L357" s="52"/>
      <c r="M357" s="52"/>
      <c r="N357" s="52"/>
      <c r="O357" s="52"/>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3:42">
      <c r="C358" s="1"/>
      <c r="D358" s="1"/>
      <c r="E358" s="52"/>
      <c r="F358" s="52"/>
      <c r="G358" s="52"/>
      <c r="H358" s="52"/>
      <c r="I358" s="52"/>
      <c r="J358" s="52"/>
      <c r="K358" s="52"/>
      <c r="L358" s="52"/>
      <c r="M358" s="52"/>
      <c r="N358" s="52"/>
      <c r="O358" s="52"/>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3:42">
      <c r="C359" s="1"/>
      <c r="D359" s="1"/>
      <c r="E359" s="52"/>
      <c r="F359" s="52"/>
      <c r="G359" s="52"/>
      <c r="H359" s="52"/>
      <c r="I359" s="52"/>
      <c r="J359" s="52"/>
      <c r="K359" s="52"/>
      <c r="L359" s="52"/>
      <c r="M359" s="52"/>
      <c r="N359" s="52"/>
      <c r="O359" s="52"/>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3:42">
      <c r="C360" s="1"/>
      <c r="D360" s="1"/>
      <c r="E360" s="52"/>
      <c r="F360" s="52"/>
      <c r="G360" s="52"/>
      <c r="H360" s="52"/>
      <c r="I360" s="52"/>
      <c r="J360" s="52"/>
      <c r="K360" s="52"/>
      <c r="L360" s="52"/>
      <c r="M360" s="52"/>
      <c r="N360" s="52"/>
      <c r="O360" s="52"/>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3:42">
      <c r="C361" s="1"/>
      <c r="D361" s="1"/>
      <c r="E361" s="52"/>
      <c r="F361" s="52"/>
      <c r="G361" s="52"/>
      <c r="H361" s="52"/>
      <c r="I361" s="52"/>
      <c r="J361" s="52"/>
      <c r="K361" s="52"/>
      <c r="L361" s="52"/>
      <c r="M361" s="52"/>
      <c r="N361" s="52"/>
      <c r="O361" s="52"/>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3:42">
      <c r="C362" s="1"/>
      <c r="D362" s="1"/>
      <c r="E362" s="52"/>
      <c r="F362" s="52"/>
      <c r="G362" s="52"/>
      <c r="H362" s="52"/>
      <c r="I362" s="52"/>
      <c r="J362" s="52"/>
      <c r="K362" s="52"/>
      <c r="L362" s="52"/>
      <c r="M362" s="52"/>
      <c r="N362" s="52"/>
      <c r="O362" s="52"/>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row>
    <row r="363" spans="3:42">
      <c r="C363" s="1"/>
      <c r="D363" s="1"/>
      <c r="E363" s="52"/>
      <c r="F363" s="52"/>
      <c r="G363" s="52"/>
      <c r="H363" s="52"/>
      <c r="I363" s="52"/>
      <c r="J363" s="52"/>
      <c r="K363" s="52"/>
      <c r="L363" s="52"/>
      <c r="M363" s="52"/>
      <c r="N363" s="52"/>
      <c r="O363" s="52"/>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3:42">
      <c r="C364" s="1"/>
      <c r="D364" s="1"/>
      <c r="E364" s="52"/>
      <c r="F364" s="52"/>
      <c r="G364" s="52"/>
      <c r="H364" s="52"/>
      <c r="I364" s="52"/>
      <c r="J364" s="52"/>
      <c r="K364" s="52"/>
      <c r="L364" s="52"/>
      <c r="M364" s="52"/>
      <c r="N364" s="52"/>
      <c r="O364" s="52"/>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3:42">
      <c r="C365" s="1"/>
      <c r="D365" s="1"/>
      <c r="E365" s="52"/>
      <c r="F365" s="52"/>
      <c r="G365" s="52"/>
      <c r="H365" s="52"/>
      <c r="I365" s="52"/>
      <c r="J365" s="52"/>
      <c r="K365" s="52"/>
      <c r="L365" s="52"/>
      <c r="M365" s="52"/>
      <c r="N365" s="52"/>
      <c r="O365" s="52"/>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3:42">
      <c r="C366" s="1"/>
      <c r="D366" s="1"/>
      <c r="E366" s="52"/>
      <c r="F366" s="52"/>
      <c r="G366" s="52"/>
      <c r="H366" s="52"/>
      <c r="I366" s="52"/>
      <c r="J366" s="52"/>
      <c r="K366" s="52"/>
      <c r="L366" s="52"/>
      <c r="M366" s="52"/>
      <c r="N366" s="52"/>
      <c r="O366" s="52"/>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3:42">
      <c r="C367" s="1"/>
      <c r="D367" s="1"/>
      <c r="E367" s="52"/>
      <c r="F367" s="52"/>
      <c r="G367" s="52"/>
      <c r="H367" s="52"/>
      <c r="I367" s="52"/>
      <c r="J367" s="52"/>
      <c r="K367" s="52"/>
      <c r="L367" s="52"/>
      <c r="M367" s="52"/>
      <c r="N367" s="52"/>
      <c r="O367" s="52"/>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3:42">
      <c r="C368" s="1"/>
      <c r="D368" s="1"/>
      <c r="E368" s="52"/>
      <c r="F368" s="52"/>
      <c r="G368" s="52"/>
      <c r="H368" s="52"/>
      <c r="I368" s="52"/>
      <c r="J368" s="52"/>
      <c r="K368" s="52"/>
      <c r="L368" s="52"/>
      <c r="M368" s="52"/>
      <c r="N368" s="52"/>
      <c r="O368" s="52"/>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3:42">
      <c r="C369" s="1"/>
      <c r="D369" s="1"/>
      <c r="E369" s="52"/>
      <c r="F369" s="52"/>
      <c r="G369" s="52"/>
      <c r="H369" s="52"/>
      <c r="I369" s="52"/>
      <c r="J369" s="52"/>
      <c r="K369" s="52"/>
      <c r="L369" s="52"/>
      <c r="M369" s="52"/>
      <c r="N369" s="52"/>
      <c r="O369" s="52"/>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3:42">
      <c r="C370" s="1"/>
      <c r="D370" s="1"/>
      <c r="E370" s="52"/>
      <c r="F370" s="52"/>
      <c r="G370" s="52"/>
      <c r="H370" s="52"/>
      <c r="I370" s="52"/>
      <c r="J370" s="52"/>
      <c r="K370" s="52"/>
      <c r="L370" s="52"/>
      <c r="M370" s="52"/>
      <c r="N370" s="52"/>
      <c r="O370" s="52"/>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3:42">
      <c r="C371" s="1"/>
      <c r="D371" s="1"/>
      <c r="E371" s="52"/>
      <c r="F371" s="52"/>
      <c r="G371" s="52"/>
      <c r="H371" s="52"/>
      <c r="I371" s="52"/>
      <c r="J371" s="52"/>
      <c r="K371" s="52"/>
      <c r="L371" s="52"/>
      <c r="M371" s="52"/>
      <c r="N371" s="52"/>
      <c r="O371" s="52"/>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3:42">
      <c r="C372" s="1"/>
      <c r="D372" s="1"/>
      <c r="E372" s="52"/>
      <c r="F372" s="52"/>
      <c r="G372" s="52"/>
      <c r="H372" s="52"/>
      <c r="I372" s="52"/>
      <c r="J372" s="52"/>
      <c r="K372" s="52"/>
      <c r="L372" s="52"/>
      <c r="M372" s="52"/>
      <c r="N372" s="52"/>
      <c r="O372" s="52"/>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3:42">
      <c r="C373" s="1"/>
      <c r="D373" s="1"/>
      <c r="E373" s="52"/>
      <c r="F373" s="52"/>
      <c r="G373" s="52"/>
      <c r="H373" s="52"/>
      <c r="I373" s="52"/>
      <c r="J373" s="52"/>
      <c r="K373" s="52"/>
      <c r="L373" s="52"/>
      <c r="M373" s="52"/>
      <c r="N373" s="52"/>
      <c r="O373" s="52"/>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3:42">
      <c r="C374" s="1"/>
      <c r="D374" s="1"/>
      <c r="E374" s="52"/>
      <c r="F374" s="52"/>
      <c r="G374" s="52"/>
      <c r="H374" s="52"/>
      <c r="I374" s="52"/>
      <c r="J374" s="52"/>
      <c r="K374" s="52"/>
      <c r="L374" s="52"/>
      <c r="M374" s="52"/>
      <c r="N374" s="52"/>
      <c r="O374" s="52"/>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3:42">
      <c r="C375" s="1"/>
      <c r="D375" s="1"/>
      <c r="E375" s="52"/>
      <c r="F375" s="52"/>
      <c r="G375" s="52"/>
      <c r="H375" s="52"/>
      <c r="I375" s="52"/>
      <c r="J375" s="52"/>
      <c r="K375" s="52"/>
      <c r="L375" s="52"/>
      <c r="M375" s="52"/>
      <c r="N375" s="52"/>
      <c r="O375" s="52"/>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3:42">
      <c r="C376" s="1"/>
      <c r="D376" s="1"/>
      <c r="E376" s="52"/>
      <c r="F376" s="52"/>
      <c r="G376" s="52"/>
      <c r="H376" s="52"/>
      <c r="I376" s="52"/>
      <c r="J376" s="52"/>
      <c r="K376" s="52"/>
      <c r="L376" s="52"/>
      <c r="M376" s="52"/>
      <c r="N376" s="52"/>
      <c r="O376" s="52"/>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3:42">
      <c r="C377" s="1"/>
      <c r="D377" s="1"/>
      <c r="E377" s="52"/>
      <c r="F377" s="52"/>
      <c r="G377" s="52"/>
      <c r="H377" s="52"/>
      <c r="I377" s="52"/>
      <c r="J377" s="52"/>
      <c r="K377" s="52"/>
      <c r="L377" s="52"/>
      <c r="M377" s="52"/>
      <c r="N377" s="52"/>
      <c r="O377" s="52"/>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3:42">
      <c r="C378" s="1"/>
      <c r="D378" s="1"/>
      <c r="E378" s="52"/>
      <c r="F378" s="52"/>
      <c r="G378" s="52"/>
      <c r="H378" s="52"/>
      <c r="I378" s="52"/>
      <c r="J378" s="52"/>
      <c r="K378" s="52"/>
      <c r="L378" s="52"/>
      <c r="M378" s="52"/>
      <c r="N378" s="52"/>
      <c r="O378" s="52"/>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3:42">
      <c r="C379" s="1"/>
      <c r="D379" s="1"/>
      <c r="E379" s="52"/>
      <c r="F379" s="52"/>
      <c r="G379" s="52"/>
      <c r="H379" s="52"/>
      <c r="I379" s="52"/>
      <c r="J379" s="52"/>
      <c r="K379" s="52"/>
      <c r="L379" s="52"/>
      <c r="M379" s="52"/>
      <c r="N379" s="52"/>
      <c r="O379" s="52"/>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3:42">
      <c r="C380" s="1"/>
      <c r="D380" s="1"/>
      <c r="E380" s="52"/>
      <c r="F380" s="52"/>
      <c r="G380" s="52"/>
      <c r="H380" s="52"/>
      <c r="I380" s="52"/>
      <c r="J380" s="52"/>
      <c r="K380" s="52"/>
      <c r="L380" s="52"/>
      <c r="M380" s="52"/>
      <c r="N380" s="52"/>
      <c r="O380" s="52"/>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3:42">
      <c r="C381" s="1"/>
      <c r="D381" s="1"/>
      <c r="E381" s="52"/>
      <c r="F381" s="52"/>
      <c r="G381" s="52"/>
      <c r="H381" s="52"/>
      <c r="I381" s="52"/>
      <c r="J381" s="52"/>
      <c r="K381" s="52"/>
      <c r="L381" s="52"/>
      <c r="M381" s="52"/>
      <c r="N381" s="52"/>
      <c r="O381" s="52"/>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3:42">
      <c r="C382" s="1"/>
      <c r="D382" s="1"/>
      <c r="E382" s="52"/>
      <c r="F382" s="52"/>
      <c r="G382" s="52"/>
      <c r="H382" s="52"/>
      <c r="I382" s="52"/>
      <c r="J382" s="52"/>
      <c r="K382" s="52"/>
      <c r="L382" s="52"/>
      <c r="M382" s="52"/>
      <c r="N382" s="52"/>
      <c r="O382" s="52"/>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3:42">
      <c r="C383" s="1"/>
      <c r="D383" s="1"/>
      <c r="E383" s="52"/>
      <c r="F383" s="52"/>
      <c r="G383" s="52"/>
      <c r="H383" s="52"/>
      <c r="I383" s="52"/>
      <c r="J383" s="52"/>
      <c r="K383" s="52"/>
      <c r="L383" s="52"/>
      <c r="M383" s="52"/>
      <c r="N383" s="52"/>
      <c r="O383" s="52"/>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3:42">
      <c r="C384" s="1"/>
      <c r="D384" s="1"/>
      <c r="E384" s="52"/>
      <c r="F384" s="52"/>
      <c r="G384" s="52"/>
      <c r="H384" s="52"/>
      <c r="I384" s="52"/>
      <c r="J384" s="52"/>
      <c r="K384" s="52"/>
      <c r="L384" s="52"/>
      <c r="M384" s="52"/>
      <c r="N384" s="52"/>
      <c r="O384" s="52"/>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3:42">
      <c r="C385" s="1"/>
      <c r="D385" s="1"/>
      <c r="E385" s="52"/>
      <c r="F385" s="52"/>
      <c r="G385" s="52"/>
      <c r="H385" s="52"/>
      <c r="I385" s="52"/>
      <c r="J385" s="52"/>
      <c r="K385" s="52"/>
      <c r="L385" s="52"/>
      <c r="M385" s="52"/>
      <c r="N385" s="52"/>
      <c r="O385" s="52"/>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3:42">
      <c r="C386" s="1"/>
      <c r="D386" s="1"/>
      <c r="E386" s="52"/>
      <c r="F386" s="52"/>
      <c r="G386" s="52"/>
      <c r="H386" s="52"/>
      <c r="I386" s="52"/>
      <c r="J386" s="52"/>
      <c r="K386" s="52"/>
      <c r="L386" s="52"/>
      <c r="M386" s="52"/>
      <c r="N386" s="52"/>
      <c r="O386" s="52"/>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3:42">
      <c r="C387" s="1"/>
      <c r="D387" s="1"/>
      <c r="E387" s="52"/>
      <c r="F387" s="52"/>
      <c r="G387" s="52"/>
      <c r="H387" s="52"/>
      <c r="I387" s="52"/>
      <c r="J387" s="52"/>
      <c r="K387" s="52"/>
      <c r="L387" s="52"/>
      <c r="M387" s="52"/>
      <c r="N387" s="52"/>
      <c r="O387" s="52"/>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3:42">
      <c r="C388" s="1"/>
      <c r="D388" s="1"/>
      <c r="E388" s="52"/>
      <c r="F388" s="52"/>
      <c r="G388" s="52"/>
      <c r="H388" s="52"/>
      <c r="I388" s="52"/>
      <c r="J388" s="52"/>
      <c r="K388" s="52"/>
      <c r="L388" s="52"/>
      <c r="M388" s="52"/>
      <c r="N388" s="52"/>
      <c r="O388" s="52"/>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3:42">
      <c r="C389" s="1"/>
      <c r="D389" s="1"/>
      <c r="E389" s="52"/>
      <c r="F389" s="52"/>
      <c r="G389" s="52"/>
      <c r="H389" s="52"/>
      <c r="I389" s="52"/>
      <c r="J389" s="52"/>
      <c r="K389" s="52"/>
      <c r="L389" s="52"/>
      <c r="M389" s="52"/>
      <c r="N389" s="52"/>
      <c r="O389" s="52"/>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3:42">
      <c r="C390" s="1"/>
      <c r="D390" s="1"/>
      <c r="E390" s="52"/>
      <c r="F390" s="52"/>
      <c r="G390" s="52"/>
      <c r="H390" s="52"/>
      <c r="I390" s="52"/>
      <c r="J390" s="52"/>
      <c r="K390" s="52"/>
      <c r="L390" s="52"/>
      <c r="M390" s="52"/>
      <c r="N390" s="52"/>
      <c r="O390" s="52"/>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3:42">
      <c r="C391" s="1"/>
      <c r="D391" s="1"/>
      <c r="E391" s="52"/>
      <c r="F391" s="52"/>
      <c r="G391" s="52"/>
      <c r="H391" s="52"/>
      <c r="I391" s="52"/>
      <c r="J391" s="52"/>
      <c r="K391" s="52"/>
      <c r="L391" s="52"/>
      <c r="M391" s="52"/>
      <c r="N391" s="52"/>
      <c r="O391" s="52"/>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3:42">
      <c r="C392" s="1"/>
      <c r="D392" s="1"/>
      <c r="E392" s="52"/>
      <c r="F392" s="52"/>
      <c r="G392" s="52"/>
      <c r="H392" s="52"/>
      <c r="I392" s="52"/>
      <c r="J392" s="52"/>
      <c r="K392" s="52"/>
      <c r="L392" s="52"/>
      <c r="M392" s="52"/>
      <c r="N392" s="52"/>
      <c r="O392" s="52"/>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3:42">
      <c r="C393" s="1"/>
      <c r="D393" s="1"/>
      <c r="E393" s="52"/>
      <c r="F393" s="52"/>
      <c r="G393" s="52"/>
      <c r="H393" s="52"/>
      <c r="I393" s="52"/>
      <c r="J393" s="52"/>
      <c r="K393" s="52"/>
      <c r="L393" s="52"/>
      <c r="M393" s="52"/>
      <c r="N393" s="52"/>
      <c r="O393" s="52"/>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3:42">
      <c r="C394" s="1"/>
      <c r="D394" s="1"/>
      <c r="E394" s="52"/>
      <c r="F394" s="52"/>
      <c r="G394" s="52"/>
      <c r="H394" s="52"/>
      <c r="I394" s="52"/>
      <c r="J394" s="52"/>
      <c r="K394" s="52"/>
      <c r="L394" s="52"/>
      <c r="M394" s="52"/>
      <c r="N394" s="52"/>
      <c r="O394" s="52"/>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3:42">
      <c r="C395" s="1"/>
      <c r="D395" s="1"/>
      <c r="E395" s="52"/>
      <c r="F395" s="52"/>
      <c r="G395" s="52"/>
      <c r="H395" s="52"/>
      <c r="I395" s="52"/>
      <c r="J395" s="52"/>
      <c r="K395" s="52"/>
      <c r="L395" s="52"/>
      <c r="M395" s="52"/>
      <c r="N395" s="52"/>
      <c r="O395" s="52"/>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3:42">
      <c r="C396" s="1"/>
      <c r="D396" s="1"/>
      <c r="E396" s="52"/>
      <c r="F396" s="52"/>
      <c r="G396" s="52"/>
      <c r="H396" s="52"/>
      <c r="I396" s="52"/>
      <c r="J396" s="52"/>
      <c r="K396" s="52"/>
      <c r="L396" s="52"/>
      <c r="M396" s="52"/>
      <c r="N396" s="52"/>
      <c r="O396" s="52"/>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3:42">
      <c r="C397" s="1"/>
      <c r="D397" s="1"/>
      <c r="E397" s="52"/>
      <c r="F397" s="52"/>
      <c r="G397" s="52"/>
      <c r="H397" s="52"/>
      <c r="I397" s="52"/>
      <c r="J397" s="52"/>
      <c r="K397" s="52"/>
      <c r="L397" s="52"/>
      <c r="M397" s="52"/>
      <c r="N397" s="52"/>
      <c r="O397" s="52"/>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3:42">
      <c r="C398" s="1"/>
      <c r="D398" s="1"/>
      <c r="E398" s="52"/>
      <c r="F398" s="52"/>
      <c r="G398" s="52"/>
      <c r="H398" s="52"/>
      <c r="I398" s="52"/>
      <c r="J398" s="52"/>
      <c r="K398" s="52"/>
      <c r="L398" s="52"/>
      <c r="M398" s="52"/>
      <c r="N398" s="52"/>
      <c r="O398" s="52"/>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3:42">
      <c r="C399" s="1"/>
      <c r="D399" s="1"/>
      <c r="E399" s="52"/>
      <c r="F399" s="52"/>
      <c r="G399" s="52"/>
      <c r="H399" s="52"/>
      <c r="I399" s="52"/>
      <c r="J399" s="52"/>
      <c r="K399" s="52"/>
      <c r="L399" s="52"/>
      <c r="M399" s="52"/>
      <c r="N399" s="52"/>
      <c r="O399" s="52"/>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3:42">
      <c r="C400" s="1"/>
      <c r="D400" s="1"/>
      <c r="E400" s="52"/>
      <c r="F400" s="52"/>
      <c r="G400" s="52"/>
      <c r="H400" s="52"/>
      <c r="I400" s="52"/>
      <c r="J400" s="52"/>
      <c r="K400" s="52"/>
      <c r="L400" s="52"/>
      <c r="M400" s="52"/>
      <c r="N400" s="52"/>
      <c r="O400" s="52"/>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3:42">
      <c r="C401" s="1"/>
      <c r="D401" s="1"/>
      <c r="E401" s="52"/>
      <c r="F401" s="52"/>
      <c r="G401" s="52"/>
      <c r="H401" s="52"/>
      <c r="I401" s="52"/>
      <c r="J401" s="52"/>
      <c r="K401" s="52"/>
      <c r="L401" s="52"/>
      <c r="M401" s="52"/>
      <c r="N401" s="52"/>
      <c r="O401" s="52"/>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3:42">
      <c r="C402" s="1"/>
      <c r="D402" s="1"/>
      <c r="E402" s="52"/>
      <c r="F402" s="52"/>
      <c r="G402" s="52"/>
      <c r="H402" s="52"/>
      <c r="I402" s="52"/>
      <c r="J402" s="52"/>
      <c r="K402" s="52"/>
      <c r="L402" s="52"/>
      <c r="M402" s="52"/>
      <c r="N402" s="52"/>
      <c r="O402" s="52"/>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3:42">
      <c r="C403" s="1"/>
      <c r="D403" s="1"/>
      <c r="E403" s="52"/>
      <c r="F403" s="52"/>
      <c r="G403" s="52"/>
      <c r="H403" s="52"/>
      <c r="I403" s="52"/>
      <c r="J403" s="52"/>
      <c r="K403" s="52"/>
      <c r="L403" s="52"/>
      <c r="M403" s="52"/>
      <c r="N403" s="52"/>
      <c r="O403" s="52"/>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3:42">
      <c r="C404" s="1"/>
      <c r="D404" s="1"/>
      <c r="E404" s="52"/>
      <c r="F404" s="52"/>
      <c r="G404" s="52"/>
      <c r="H404" s="52"/>
      <c r="I404" s="52"/>
      <c r="J404" s="52"/>
      <c r="K404" s="52"/>
      <c r="L404" s="52"/>
      <c r="M404" s="52"/>
      <c r="N404" s="52"/>
      <c r="O404" s="52"/>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3:42">
      <c r="C405" s="1"/>
      <c r="D405" s="1"/>
      <c r="E405" s="52"/>
      <c r="F405" s="52"/>
      <c r="G405" s="52"/>
      <c r="H405" s="52"/>
      <c r="I405" s="52"/>
      <c r="J405" s="52"/>
      <c r="K405" s="52"/>
      <c r="L405" s="52"/>
      <c r="M405" s="52"/>
      <c r="N405" s="52"/>
      <c r="O405" s="52"/>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3:42">
      <c r="C406" s="1"/>
      <c r="D406" s="1"/>
      <c r="E406" s="52"/>
      <c r="F406" s="52"/>
      <c r="G406" s="52"/>
      <c r="H406" s="52"/>
      <c r="I406" s="52"/>
      <c r="J406" s="52"/>
      <c r="K406" s="52"/>
      <c r="L406" s="52"/>
      <c r="M406" s="52"/>
      <c r="N406" s="52"/>
      <c r="O406" s="52"/>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3:42">
      <c r="C407" s="1"/>
      <c r="D407" s="1"/>
      <c r="E407" s="52"/>
      <c r="F407" s="52"/>
      <c r="G407" s="52"/>
      <c r="H407" s="52"/>
      <c r="I407" s="52"/>
      <c r="J407" s="52"/>
      <c r="K407" s="52"/>
      <c r="L407" s="52"/>
      <c r="M407" s="52"/>
      <c r="N407" s="52"/>
      <c r="O407" s="52"/>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3:42">
      <c r="C408" s="1"/>
      <c r="D408" s="1"/>
      <c r="E408" s="52"/>
      <c r="F408" s="52"/>
      <c r="G408" s="52"/>
      <c r="H408" s="52"/>
      <c r="I408" s="52"/>
      <c r="J408" s="52"/>
      <c r="K408" s="52"/>
      <c r="L408" s="52"/>
      <c r="M408" s="52"/>
      <c r="N408" s="52"/>
      <c r="O408" s="52"/>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3:42">
      <c r="C409" s="1"/>
      <c r="D409" s="1"/>
      <c r="E409" s="52"/>
      <c r="F409" s="52"/>
      <c r="G409" s="52"/>
      <c r="H409" s="52"/>
      <c r="I409" s="52"/>
      <c r="J409" s="52"/>
      <c r="K409" s="52"/>
      <c r="L409" s="52"/>
      <c r="M409" s="52"/>
      <c r="N409" s="52"/>
      <c r="O409" s="52"/>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3:42">
      <c r="C410" s="1"/>
      <c r="D410" s="1"/>
      <c r="E410" s="52"/>
      <c r="F410" s="52"/>
      <c r="G410" s="52"/>
      <c r="H410" s="52"/>
      <c r="I410" s="52"/>
      <c r="J410" s="52"/>
      <c r="K410" s="52"/>
      <c r="L410" s="52"/>
      <c r="M410" s="52"/>
      <c r="N410" s="52"/>
      <c r="O410" s="52"/>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3:42">
      <c r="C411" s="1"/>
      <c r="D411" s="1"/>
      <c r="E411" s="52"/>
      <c r="F411" s="52"/>
      <c r="G411" s="52"/>
      <c r="H411" s="52"/>
      <c r="I411" s="52"/>
      <c r="J411" s="52"/>
      <c r="K411" s="52"/>
      <c r="L411" s="52"/>
      <c r="M411" s="52"/>
      <c r="N411" s="52"/>
      <c r="O411" s="52"/>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3:42">
      <c r="C412" s="1"/>
      <c r="D412" s="1"/>
      <c r="E412" s="52"/>
      <c r="F412" s="52"/>
      <c r="G412" s="52"/>
      <c r="H412" s="52"/>
      <c r="I412" s="52"/>
      <c r="J412" s="52"/>
      <c r="K412" s="52"/>
      <c r="L412" s="52"/>
      <c r="M412" s="52"/>
      <c r="N412" s="52"/>
      <c r="O412" s="52"/>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3:42">
      <c r="C413" s="1"/>
      <c r="D413" s="1"/>
      <c r="E413" s="52"/>
      <c r="F413" s="52"/>
      <c r="G413" s="52"/>
      <c r="H413" s="52"/>
      <c r="I413" s="52"/>
      <c r="J413" s="52"/>
      <c r="K413" s="52"/>
      <c r="L413" s="52"/>
      <c r="M413" s="52"/>
      <c r="N413" s="52"/>
      <c r="O413" s="52"/>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3:42">
      <c r="C414" s="1"/>
      <c r="D414" s="1"/>
      <c r="E414" s="52"/>
      <c r="F414" s="52"/>
      <c r="G414" s="52"/>
      <c r="H414" s="52"/>
      <c r="I414" s="52"/>
      <c r="J414" s="52"/>
      <c r="K414" s="52"/>
      <c r="L414" s="52"/>
      <c r="M414" s="52"/>
      <c r="N414" s="52"/>
      <c r="O414" s="52"/>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3:42">
      <c r="C415" s="1"/>
      <c r="D415" s="1"/>
      <c r="E415" s="52"/>
      <c r="F415" s="52"/>
      <c r="G415" s="52"/>
      <c r="H415" s="52"/>
      <c r="I415" s="52"/>
      <c r="J415" s="52"/>
      <c r="K415" s="52"/>
      <c r="L415" s="52"/>
      <c r="M415" s="52"/>
      <c r="N415" s="52"/>
      <c r="O415" s="52"/>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3:42">
      <c r="C416" s="1"/>
      <c r="D416" s="1"/>
      <c r="E416" s="52"/>
      <c r="F416" s="52"/>
      <c r="G416" s="52"/>
      <c r="H416" s="52"/>
      <c r="I416" s="52"/>
      <c r="J416" s="52"/>
      <c r="K416" s="52"/>
      <c r="L416" s="52"/>
      <c r="M416" s="52"/>
      <c r="N416" s="52"/>
      <c r="O416" s="52"/>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3:42">
      <c r="C417" s="1"/>
      <c r="D417" s="1"/>
      <c r="E417" s="52"/>
      <c r="F417" s="52"/>
      <c r="G417" s="52"/>
      <c r="H417" s="52"/>
      <c r="I417" s="52"/>
      <c r="J417" s="52"/>
      <c r="K417" s="52"/>
      <c r="L417" s="52"/>
      <c r="M417" s="52"/>
      <c r="N417" s="52"/>
      <c r="O417" s="52"/>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3:42">
      <c r="C418" s="1"/>
      <c r="D418" s="1"/>
      <c r="E418" s="52"/>
      <c r="F418" s="52"/>
      <c r="G418" s="52"/>
      <c r="H418" s="52"/>
      <c r="I418" s="52"/>
      <c r="J418" s="52"/>
      <c r="K418" s="52"/>
      <c r="L418" s="52"/>
      <c r="M418" s="52"/>
      <c r="N418" s="52"/>
      <c r="O418" s="52"/>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3:42">
      <c r="C419" s="1"/>
      <c r="D419" s="1"/>
      <c r="E419" s="52"/>
      <c r="F419" s="52"/>
      <c r="G419" s="52"/>
      <c r="H419" s="52"/>
      <c r="I419" s="52"/>
      <c r="J419" s="52"/>
      <c r="K419" s="52"/>
      <c r="L419" s="52"/>
      <c r="M419" s="52"/>
      <c r="N419" s="52"/>
      <c r="O419" s="52"/>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3:42">
      <c r="C420" s="1"/>
      <c r="D420" s="1"/>
      <c r="E420" s="52"/>
      <c r="F420" s="52"/>
      <c r="G420" s="52"/>
      <c r="H420" s="52"/>
      <c r="I420" s="52"/>
      <c r="J420" s="52"/>
      <c r="K420" s="52"/>
      <c r="L420" s="52"/>
      <c r="M420" s="52"/>
      <c r="N420" s="52"/>
      <c r="O420" s="52"/>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3:42">
      <c r="C421" s="1"/>
      <c r="D421" s="1"/>
      <c r="E421" s="52"/>
      <c r="F421" s="52"/>
      <c r="G421" s="52"/>
      <c r="H421" s="52"/>
      <c r="I421" s="52"/>
      <c r="J421" s="52"/>
      <c r="K421" s="52"/>
      <c r="L421" s="52"/>
      <c r="M421" s="52"/>
      <c r="N421" s="52"/>
      <c r="O421" s="52"/>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3:42">
      <c r="C422" s="1"/>
      <c r="D422" s="1"/>
      <c r="E422" s="52"/>
      <c r="F422" s="52"/>
      <c r="G422" s="52"/>
      <c r="H422" s="52"/>
      <c r="I422" s="52"/>
      <c r="J422" s="52"/>
      <c r="K422" s="52"/>
      <c r="L422" s="52"/>
      <c r="M422" s="52"/>
      <c r="N422" s="52"/>
      <c r="O422" s="52"/>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3:42">
      <c r="C423" s="1"/>
      <c r="D423" s="1"/>
      <c r="E423" s="52"/>
      <c r="F423" s="52"/>
      <c r="G423" s="52"/>
      <c r="H423" s="52"/>
      <c r="I423" s="52"/>
      <c r="J423" s="52"/>
      <c r="K423" s="52"/>
      <c r="L423" s="52"/>
      <c r="M423" s="52"/>
      <c r="N423" s="52"/>
      <c r="O423" s="52"/>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3:42">
      <c r="C424" s="1"/>
      <c r="D424" s="1"/>
      <c r="E424" s="52"/>
      <c r="F424" s="52"/>
      <c r="G424" s="52"/>
      <c r="H424" s="52"/>
      <c r="I424" s="52"/>
      <c r="J424" s="52"/>
      <c r="K424" s="52"/>
      <c r="L424" s="52"/>
      <c r="M424" s="52"/>
      <c r="N424" s="52"/>
      <c r="O424" s="52"/>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3:42">
      <c r="C425" s="1"/>
      <c r="D425" s="1"/>
      <c r="E425" s="52"/>
      <c r="F425" s="52"/>
      <c r="G425" s="52"/>
      <c r="H425" s="52"/>
      <c r="I425" s="52"/>
      <c r="J425" s="52"/>
      <c r="K425" s="52"/>
      <c r="L425" s="52"/>
      <c r="M425" s="52"/>
      <c r="N425" s="52"/>
      <c r="O425" s="52"/>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3:42">
      <c r="C426" s="1"/>
      <c r="D426" s="1"/>
      <c r="E426" s="52"/>
      <c r="F426" s="52"/>
      <c r="G426" s="52"/>
      <c r="H426" s="52"/>
      <c r="I426" s="52"/>
      <c r="J426" s="52"/>
      <c r="K426" s="52"/>
      <c r="L426" s="52"/>
      <c r="M426" s="52"/>
      <c r="N426" s="52"/>
      <c r="O426" s="52"/>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3:42">
      <c r="C427" s="1"/>
      <c r="D427" s="1"/>
      <c r="E427" s="52"/>
      <c r="F427" s="52"/>
      <c r="G427" s="52"/>
      <c r="H427" s="52"/>
      <c r="I427" s="52"/>
      <c r="J427" s="52"/>
      <c r="K427" s="52"/>
      <c r="L427" s="52"/>
      <c r="M427" s="52"/>
      <c r="N427" s="52"/>
      <c r="O427" s="52"/>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3:42">
      <c r="C428" s="1"/>
      <c r="D428" s="1"/>
      <c r="E428" s="52"/>
      <c r="F428" s="52"/>
      <c r="G428" s="52"/>
      <c r="H428" s="52"/>
      <c r="I428" s="52"/>
      <c r="J428" s="52"/>
      <c r="K428" s="52"/>
      <c r="L428" s="52"/>
      <c r="M428" s="52"/>
      <c r="N428" s="52"/>
      <c r="O428" s="52"/>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3:42">
      <c r="C429" s="1"/>
      <c r="D429" s="1"/>
      <c r="E429" s="52"/>
      <c r="F429" s="52"/>
      <c r="G429" s="52"/>
      <c r="H429" s="52"/>
      <c r="I429" s="52"/>
      <c r="J429" s="52"/>
      <c r="K429" s="52"/>
      <c r="L429" s="52"/>
      <c r="M429" s="52"/>
      <c r="N429" s="52"/>
      <c r="O429" s="52"/>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3:42">
      <c r="C430" s="1"/>
      <c r="D430" s="1"/>
      <c r="E430" s="52"/>
      <c r="F430" s="52"/>
      <c r="G430" s="52"/>
      <c r="H430" s="52"/>
      <c r="I430" s="52"/>
      <c r="J430" s="52"/>
      <c r="K430" s="52"/>
      <c r="L430" s="52"/>
      <c r="M430" s="52"/>
      <c r="N430" s="52"/>
      <c r="O430" s="52"/>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3:42">
      <c r="C431" s="1"/>
      <c r="D431" s="1"/>
      <c r="E431" s="52"/>
      <c r="F431" s="52"/>
      <c r="G431" s="52"/>
      <c r="H431" s="52"/>
      <c r="I431" s="52"/>
      <c r="J431" s="52"/>
      <c r="K431" s="52"/>
      <c r="L431" s="52"/>
      <c r="M431" s="52"/>
      <c r="N431" s="52"/>
      <c r="O431" s="52"/>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3:42">
      <c r="C432" s="1"/>
      <c r="D432" s="1"/>
      <c r="E432" s="52"/>
      <c r="F432" s="52"/>
      <c r="G432" s="52"/>
      <c r="H432" s="52"/>
      <c r="I432" s="52"/>
      <c r="J432" s="52"/>
      <c r="K432" s="52"/>
      <c r="L432" s="52"/>
      <c r="M432" s="52"/>
      <c r="N432" s="52"/>
      <c r="O432" s="52"/>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3:42">
      <c r="C433" s="1"/>
      <c r="D433" s="1"/>
      <c r="E433" s="52"/>
      <c r="F433" s="52"/>
      <c r="G433" s="52"/>
      <c r="H433" s="52"/>
      <c r="I433" s="52"/>
      <c r="J433" s="52"/>
      <c r="K433" s="52"/>
      <c r="L433" s="52"/>
      <c r="M433" s="52"/>
      <c r="N433" s="52"/>
      <c r="O433" s="52"/>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3:42">
      <c r="C434" s="1"/>
      <c r="D434" s="1"/>
      <c r="E434" s="52"/>
      <c r="F434" s="52"/>
      <c r="G434" s="52"/>
      <c r="H434" s="52"/>
      <c r="I434" s="52"/>
      <c r="J434" s="52"/>
      <c r="K434" s="52"/>
      <c r="L434" s="52"/>
      <c r="M434" s="52"/>
      <c r="N434" s="52"/>
      <c r="O434" s="52"/>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3:42">
      <c r="C435" s="1"/>
      <c r="D435" s="1"/>
      <c r="E435" s="52"/>
      <c r="F435" s="52"/>
      <c r="G435" s="52"/>
      <c r="H435" s="52"/>
      <c r="I435" s="52"/>
      <c r="J435" s="52"/>
      <c r="K435" s="52"/>
      <c r="L435" s="52"/>
      <c r="M435" s="52"/>
      <c r="N435" s="52"/>
      <c r="O435" s="52"/>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3:42">
      <c r="C436" s="1"/>
      <c r="D436" s="1"/>
      <c r="E436" s="52"/>
      <c r="F436" s="52"/>
      <c r="G436" s="52"/>
      <c r="H436" s="52"/>
      <c r="I436" s="52"/>
      <c r="J436" s="52"/>
      <c r="K436" s="52"/>
      <c r="L436" s="52"/>
      <c r="M436" s="52"/>
      <c r="N436" s="52"/>
      <c r="O436" s="52"/>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3:42">
      <c r="C437" s="1"/>
      <c r="D437" s="1"/>
      <c r="E437" s="52"/>
      <c r="F437" s="52"/>
      <c r="G437" s="52"/>
      <c r="H437" s="52"/>
      <c r="I437" s="52"/>
      <c r="J437" s="52"/>
      <c r="K437" s="52"/>
      <c r="L437" s="52"/>
      <c r="M437" s="52"/>
      <c r="N437" s="52"/>
      <c r="O437" s="52"/>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3:42">
      <c r="C438" s="1"/>
      <c r="D438" s="1"/>
      <c r="E438" s="52"/>
      <c r="F438" s="52"/>
      <c r="G438" s="52"/>
      <c r="H438" s="52"/>
      <c r="I438" s="52"/>
      <c r="J438" s="52"/>
      <c r="K438" s="52"/>
      <c r="L438" s="52"/>
      <c r="M438" s="52"/>
      <c r="N438" s="52"/>
      <c r="O438" s="52"/>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3:42">
      <c r="C439" s="1"/>
      <c r="D439" s="1"/>
      <c r="E439" s="52"/>
      <c r="F439" s="52"/>
      <c r="G439" s="52"/>
      <c r="H439" s="52"/>
      <c r="I439" s="52"/>
      <c r="J439" s="52"/>
      <c r="K439" s="52"/>
      <c r="L439" s="52"/>
      <c r="M439" s="52"/>
      <c r="N439" s="52"/>
      <c r="O439" s="52"/>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3:42">
      <c r="C440" s="1"/>
      <c r="D440" s="1"/>
      <c r="E440" s="52"/>
      <c r="F440" s="52"/>
      <c r="G440" s="52"/>
      <c r="H440" s="52"/>
      <c r="I440" s="52"/>
      <c r="J440" s="52"/>
      <c r="K440" s="52"/>
      <c r="L440" s="52"/>
      <c r="M440" s="52"/>
      <c r="N440" s="52"/>
      <c r="O440" s="52"/>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3:42">
      <c r="C441" s="1"/>
      <c r="D441" s="1"/>
      <c r="E441" s="52"/>
      <c r="F441" s="52"/>
      <c r="G441" s="52"/>
      <c r="H441" s="52"/>
      <c r="I441" s="52"/>
      <c r="J441" s="52"/>
      <c r="K441" s="52"/>
      <c r="L441" s="52"/>
      <c r="M441" s="52"/>
      <c r="N441" s="52"/>
      <c r="O441" s="52"/>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3:42">
      <c r="C442" s="1"/>
      <c r="D442" s="1"/>
      <c r="E442" s="52"/>
      <c r="F442" s="52"/>
      <c r="G442" s="52"/>
      <c r="H442" s="52"/>
      <c r="I442" s="52"/>
      <c r="J442" s="52"/>
      <c r="K442" s="52"/>
      <c r="L442" s="52"/>
      <c r="M442" s="52"/>
      <c r="N442" s="52"/>
      <c r="O442" s="52"/>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3:42">
      <c r="C443" s="1"/>
      <c r="D443" s="1"/>
      <c r="E443" s="52"/>
      <c r="F443" s="52"/>
      <c r="G443" s="52"/>
      <c r="H443" s="52"/>
      <c r="I443" s="52"/>
      <c r="J443" s="52"/>
      <c r="K443" s="52"/>
      <c r="L443" s="52"/>
      <c r="M443" s="52"/>
      <c r="N443" s="52"/>
      <c r="O443" s="52"/>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3:42">
      <c r="C444" s="1"/>
      <c r="D444" s="1"/>
      <c r="E444" s="52"/>
      <c r="F444" s="52"/>
      <c r="G444" s="52"/>
      <c r="H444" s="52"/>
      <c r="I444" s="52"/>
      <c r="J444" s="52"/>
      <c r="K444" s="52"/>
      <c r="L444" s="52"/>
      <c r="M444" s="52"/>
      <c r="N444" s="52"/>
      <c r="O444" s="52"/>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3:42">
      <c r="C445" s="1"/>
      <c r="D445" s="1"/>
      <c r="E445" s="52"/>
      <c r="F445" s="52"/>
      <c r="G445" s="52"/>
      <c r="H445" s="52"/>
      <c r="I445" s="52"/>
      <c r="J445" s="52"/>
      <c r="K445" s="52"/>
      <c r="L445" s="52"/>
      <c r="M445" s="52"/>
      <c r="N445" s="52"/>
      <c r="O445" s="52"/>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3:42">
      <c r="C446" s="1"/>
      <c r="D446" s="1"/>
      <c r="E446" s="52"/>
      <c r="F446" s="52"/>
      <c r="G446" s="52"/>
      <c r="H446" s="52"/>
      <c r="I446" s="52"/>
      <c r="J446" s="52"/>
      <c r="K446" s="52"/>
      <c r="L446" s="52"/>
      <c r="M446" s="52"/>
      <c r="N446" s="52"/>
      <c r="O446" s="52"/>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3:42">
      <c r="C447" s="1"/>
      <c r="D447" s="1"/>
      <c r="E447" s="52"/>
      <c r="F447" s="52"/>
      <c r="G447" s="52"/>
      <c r="H447" s="52"/>
      <c r="I447" s="52"/>
      <c r="J447" s="52"/>
      <c r="K447" s="52"/>
      <c r="L447" s="52"/>
      <c r="M447" s="52"/>
      <c r="N447" s="52"/>
      <c r="O447" s="52"/>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3:42">
      <c r="C448" s="1"/>
      <c r="D448" s="1"/>
      <c r="E448" s="52"/>
      <c r="F448" s="52"/>
      <c r="G448" s="52"/>
      <c r="H448" s="52"/>
      <c r="I448" s="52"/>
      <c r="J448" s="52"/>
      <c r="K448" s="52"/>
      <c r="L448" s="52"/>
      <c r="M448" s="52"/>
      <c r="N448" s="52"/>
      <c r="O448" s="52"/>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3:42">
      <c r="C449" s="1"/>
      <c r="D449" s="1"/>
      <c r="E449" s="52"/>
      <c r="F449" s="52"/>
      <c r="G449" s="52"/>
      <c r="H449" s="52"/>
      <c r="I449" s="52"/>
      <c r="J449" s="52"/>
      <c r="K449" s="52"/>
      <c r="L449" s="52"/>
      <c r="M449" s="52"/>
      <c r="N449" s="52"/>
      <c r="O449" s="52"/>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row>
    <row r="450" spans="3:42">
      <c r="C450" s="1"/>
      <c r="D450" s="1"/>
      <c r="E450" s="52"/>
      <c r="F450" s="52"/>
      <c r="G450" s="52"/>
      <c r="H450" s="52"/>
      <c r="I450" s="52"/>
      <c r="J450" s="52"/>
      <c r="K450" s="52"/>
      <c r="L450" s="52"/>
      <c r="M450" s="52"/>
      <c r="N450" s="52"/>
      <c r="O450" s="52"/>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3:42">
      <c r="C451" s="1"/>
      <c r="D451" s="1"/>
      <c r="E451" s="52"/>
      <c r="F451" s="52"/>
      <c r="G451" s="52"/>
      <c r="H451" s="52"/>
      <c r="I451" s="52"/>
      <c r="J451" s="52"/>
      <c r="K451" s="52"/>
      <c r="L451" s="52"/>
      <c r="M451" s="52"/>
      <c r="N451" s="52"/>
      <c r="O451" s="52"/>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3:42">
      <c r="C452" s="1"/>
      <c r="D452" s="1"/>
      <c r="E452" s="52"/>
      <c r="F452" s="52"/>
      <c r="G452" s="52"/>
      <c r="H452" s="52"/>
      <c r="I452" s="52"/>
      <c r="J452" s="52"/>
      <c r="K452" s="52"/>
      <c r="L452" s="52"/>
      <c r="M452" s="52"/>
      <c r="N452" s="52"/>
      <c r="O452" s="52"/>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3:42">
      <c r="C453" s="1"/>
      <c r="D453" s="1"/>
      <c r="E453" s="52"/>
      <c r="F453" s="52"/>
      <c r="G453" s="52"/>
      <c r="H453" s="52"/>
      <c r="I453" s="52"/>
      <c r="J453" s="52"/>
      <c r="K453" s="52"/>
      <c r="L453" s="52"/>
      <c r="M453" s="52"/>
      <c r="N453" s="52"/>
      <c r="O453" s="52"/>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3:42">
      <c r="C454" s="1"/>
      <c r="D454" s="1"/>
      <c r="E454" s="52"/>
      <c r="F454" s="52"/>
      <c r="G454" s="52"/>
      <c r="H454" s="52"/>
      <c r="I454" s="52"/>
      <c r="J454" s="52"/>
      <c r="K454" s="52"/>
      <c r="L454" s="52"/>
      <c r="M454" s="52"/>
      <c r="N454" s="52"/>
      <c r="O454" s="52"/>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3:42">
      <c r="C455" s="1"/>
      <c r="D455" s="1"/>
      <c r="E455" s="52"/>
      <c r="F455" s="52"/>
      <c r="G455" s="52"/>
      <c r="H455" s="52"/>
      <c r="I455" s="52"/>
      <c r="J455" s="52"/>
      <c r="K455" s="52"/>
      <c r="L455" s="52"/>
      <c r="M455" s="52"/>
      <c r="N455" s="52"/>
      <c r="O455" s="52"/>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3:42">
      <c r="C456" s="1"/>
      <c r="D456" s="1"/>
      <c r="E456" s="52"/>
      <c r="F456" s="52"/>
      <c r="G456" s="52"/>
      <c r="H456" s="52"/>
      <c r="I456" s="52"/>
      <c r="J456" s="52"/>
      <c r="K456" s="52"/>
      <c r="L456" s="52"/>
      <c r="M456" s="52"/>
      <c r="N456" s="52"/>
      <c r="O456" s="52"/>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3:42">
      <c r="C457" s="1"/>
      <c r="D457" s="1"/>
      <c r="E457" s="52"/>
      <c r="F457" s="52"/>
      <c r="G457" s="52"/>
      <c r="H457" s="52"/>
      <c r="I457" s="52"/>
      <c r="J457" s="52"/>
      <c r="K457" s="52"/>
      <c r="L457" s="52"/>
      <c r="M457" s="52"/>
      <c r="N457" s="52"/>
      <c r="O457" s="52"/>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3:42">
      <c r="C458" s="1"/>
      <c r="D458" s="1"/>
      <c r="E458" s="52"/>
      <c r="F458" s="52"/>
      <c r="G458" s="52"/>
      <c r="H458" s="52"/>
      <c r="I458" s="52"/>
      <c r="J458" s="52"/>
      <c r="K458" s="52"/>
      <c r="L458" s="52"/>
      <c r="M458" s="52"/>
      <c r="N458" s="52"/>
      <c r="O458" s="52"/>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3:42">
      <c r="C459" s="1"/>
      <c r="D459" s="1"/>
      <c r="E459" s="52"/>
      <c r="F459" s="52"/>
      <c r="G459" s="52"/>
      <c r="H459" s="52"/>
      <c r="I459" s="52"/>
      <c r="J459" s="52"/>
      <c r="K459" s="52"/>
      <c r="L459" s="52"/>
      <c r="M459" s="52"/>
      <c r="N459" s="52"/>
      <c r="O459" s="52"/>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3:42">
      <c r="C460" s="1"/>
      <c r="D460" s="1"/>
      <c r="E460" s="52"/>
      <c r="F460" s="52"/>
      <c r="G460" s="52"/>
      <c r="H460" s="52"/>
      <c r="I460" s="52"/>
      <c r="J460" s="52"/>
      <c r="K460" s="52"/>
      <c r="L460" s="52"/>
      <c r="M460" s="52"/>
      <c r="N460" s="52"/>
      <c r="O460" s="52"/>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3:42">
      <c r="C461" s="1"/>
      <c r="D461" s="1"/>
      <c r="E461" s="52"/>
      <c r="F461" s="52"/>
      <c r="G461" s="52"/>
      <c r="H461" s="52"/>
      <c r="I461" s="52"/>
      <c r="J461" s="52"/>
      <c r="K461" s="52"/>
      <c r="L461" s="52"/>
      <c r="M461" s="52"/>
      <c r="N461" s="52"/>
      <c r="O461" s="52"/>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3:42">
      <c r="C462" s="1"/>
      <c r="D462" s="1"/>
      <c r="E462" s="52"/>
      <c r="F462" s="52"/>
      <c r="G462" s="52"/>
      <c r="H462" s="52"/>
      <c r="I462" s="52"/>
      <c r="J462" s="52"/>
      <c r="K462" s="52"/>
      <c r="L462" s="52"/>
      <c r="M462" s="52"/>
      <c r="N462" s="52"/>
      <c r="O462" s="52"/>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row>
    <row r="463" spans="3:42">
      <c r="C463" s="1"/>
      <c r="D463" s="1"/>
      <c r="E463" s="52"/>
      <c r="F463" s="52"/>
      <c r="G463" s="52"/>
      <c r="H463" s="52"/>
      <c r="I463" s="52"/>
      <c r="J463" s="52"/>
      <c r="K463" s="52"/>
      <c r="L463" s="52"/>
      <c r="M463" s="52"/>
      <c r="N463" s="52"/>
      <c r="O463" s="52"/>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3:42">
      <c r="C464" s="1"/>
      <c r="D464" s="1"/>
      <c r="E464" s="52"/>
      <c r="F464" s="52"/>
      <c r="G464" s="52"/>
      <c r="H464" s="52"/>
      <c r="I464" s="52"/>
      <c r="J464" s="52"/>
      <c r="K464" s="52"/>
      <c r="L464" s="52"/>
      <c r="M464" s="52"/>
      <c r="N464" s="52"/>
      <c r="O464" s="52"/>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3:42">
      <c r="C465" s="1"/>
      <c r="D465" s="1"/>
      <c r="E465" s="52"/>
      <c r="F465" s="52"/>
      <c r="G465" s="52"/>
      <c r="H465" s="52"/>
      <c r="I465" s="52"/>
      <c r="J465" s="52"/>
      <c r="K465" s="52"/>
      <c r="L465" s="52"/>
      <c r="M465" s="52"/>
      <c r="N465" s="52"/>
      <c r="O465" s="52"/>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3:42">
      <c r="C466" s="1"/>
      <c r="D466" s="1"/>
      <c r="E466" s="52"/>
      <c r="F466" s="52"/>
      <c r="G466" s="52"/>
      <c r="H466" s="52"/>
      <c r="I466" s="52"/>
      <c r="J466" s="52"/>
      <c r="K466" s="52"/>
      <c r="L466" s="52"/>
      <c r="M466" s="52"/>
      <c r="N466" s="52"/>
      <c r="O466" s="52"/>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3:42">
      <c r="C467" s="1"/>
      <c r="D467" s="1"/>
      <c r="E467" s="52"/>
      <c r="F467" s="52"/>
      <c r="G467" s="52"/>
      <c r="H467" s="52"/>
      <c r="I467" s="52"/>
      <c r="J467" s="52"/>
      <c r="K467" s="52"/>
      <c r="L467" s="52"/>
      <c r="M467" s="52"/>
      <c r="N467" s="52"/>
      <c r="O467" s="52"/>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3:42">
      <c r="C468" s="1"/>
      <c r="D468" s="1"/>
      <c r="E468" s="52"/>
      <c r="F468" s="52"/>
      <c r="G468" s="52"/>
      <c r="H468" s="52"/>
      <c r="I468" s="52"/>
      <c r="J468" s="52"/>
      <c r="K468" s="52"/>
      <c r="L468" s="52"/>
      <c r="M468" s="52"/>
      <c r="N468" s="52"/>
      <c r="O468" s="52"/>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3:42">
      <c r="C469" s="1"/>
      <c r="D469" s="1"/>
      <c r="E469" s="52"/>
      <c r="F469" s="52"/>
      <c r="G469" s="52"/>
      <c r="H469" s="52"/>
      <c r="I469" s="52"/>
      <c r="J469" s="52"/>
      <c r="K469" s="52"/>
      <c r="L469" s="52"/>
      <c r="M469" s="52"/>
      <c r="N469" s="52"/>
      <c r="O469" s="52"/>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3:42">
      <c r="C470" s="1"/>
      <c r="D470" s="1"/>
      <c r="E470" s="52"/>
      <c r="F470" s="52"/>
      <c r="G470" s="52"/>
      <c r="H470" s="52"/>
      <c r="I470" s="52"/>
      <c r="J470" s="52"/>
      <c r="K470" s="52"/>
      <c r="L470" s="52"/>
      <c r="M470" s="52"/>
      <c r="N470" s="52"/>
      <c r="O470" s="52"/>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row>
    <row r="471" spans="3:42">
      <c r="C471" s="1"/>
      <c r="D471" s="1"/>
      <c r="E471" s="52"/>
      <c r="F471" s="52"/>
      <c r="G471" s="52"/>
      <c r="H471" s="52"/>
      <c r="I471" s="52"/>
      <c r="J471" s="52"/>
      <c r="K471" s="52"/>
      <c r="L471" s="52"/>
      <c r="M471" s="52"/>
      <c r="N471" s="52"/>
      <c r="O471" s="52"/>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3:42">
      <c r="C472" s="1"/>
      <c r="D472" s="1"/>
      <c r="E472" s="52"/>
      <c r="F472" s="52"/>
      <c r="G472" s="52"/>
      <c r="H472" s="52"/>
      <c r="I472" s="52"/>
      <c r="J472" s="52"/>
      <c r="K472" s="52"/>
      <c r="L472" s="52"/>
      <c r="M472" s="52"/>
      <c r="N472" s="52"/>
      <c r="O472" s="52"/>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row>
    <row r="473" spans="3:42">
      <c r="C473" s="1"/>
      <c r="D473" s="1"/>
      <c r="E473" s="52"/>
      <c r="F473" s="52"/>
      <c r="G473" s="52"/>
      <c r="H473" s="52"/>
      <c r="I473" s="52"/>
      <c r="J473" s="52"/>
      <c r="K473" s="52"/>
      <c r="L473" s="52"/>
      <c r="M473" s="52"/>
      <c r="N473" s="52"/>
      <c r="O473" s="52"/>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3:42">
      <c r="C474" s="1"/>
      <c r="D474" s="1"/>
      <c r="E474" s="52"/>
      <c r="F474" s="52"/>
      <c r="G474" s="52"/>
      <c r="H474" s="52"/>
      <c r="I474" s="52"/>
      <c r="J474" s="52"/>
      <c r="K474" s="52"/>
      <c r="L474" s="52"/>
      <c r="M474" s="52"/>
      <c r="N474" s="52"/>
      <c r="O474" s="52"/>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3:42">
      <c r="C475" s="1"/>
      <c r="D475" s="1"/>
      <c r="E475" s="52"/>
      <c r="F475" s="52"/>
      <c r="G475" s="52"/>
      <c r="H475" s="52"/>
      <c r="I475" s="52"/>
      <c r="J475" s="52"/>
      <c r="K475" s="52"/>
      <c r="L475" s="52"/>
      <c r="M475" s="52"/>
      <c r="N475" s="52"/>
      <c r="O475" s="52"/>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3:42">
      <c r="C476" s="1"/>
      <c r="D476" s="1"/>
      <c r="E476" s="52"/>
      <c r="F476" s="52"/>
      <c r="G476" s="52"/>
      <c r="H476" s="52"/>
      <c r="I476" s="52"/>
      <c r="J476" s="52"/>
      <c r="K476" s="52"/>
      <c r="L476" s="52"/>
      <c r="M476" s="52"/>
      <c r="N476" s="52"/>
      <c r="O476" s="52"/>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3:42">
      <c r="C477" s="1"/>
      <c r="D477" s="1"/>
      <c r="E477" s="52"/>
      <c r="F477" s="52"/>
      <c r="G477" s="52"/>
      <c r="H477" s="52"/>
      <c r="I477" s="52"/>
      <c r="J477" s="52"/>
      <c r="K477" s="52"/>
      <c r="L477" s="52"/>
      <c r="M477" s="52"/>
      <c r="N477" s="52"/>
      <c r="O477" s="52"/>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3:42">
      <c r="C478" s="1"/>
      <c r="D478" s="1"/>
      <c r="E478" s="52"/>
      <c r="F478" s="52"/>
      <c r="G478" s="52"/>
      <c r="H478" s="52"/>
      <c r="I478" s="52"/>
      <c r="J478" s="52"/>
      <c r="K478" s="52"/>
      <c r="L478" s="52"/>
      <c r="M478" s="52"/>
      <c r="N478" s="52"/>
      <c r="O478" s="52"/>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3:42">
      <c r="C479" s="1"/>
      <c r="D479" s="1"/>
      <c r="E479" s="52"/>
      <c r="F479" s="52"/>
      <c r="G479" s="52"/>
      <c r="H479" s="52"/>
      <c r="I479" s="52"/>
      <c r="J479" s="52"/>
      <c r="K479" s="52"/>
      <c r="L479" s="52"/>
      <c r="M479" s="52"/>
      <c r="N479" s="52"/>
      <c r="O479" s="52"/>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3:42">
      <c r="C480" s="1"/>
      <c r="D480" s="1"/>
      <c r="E480" s="52"/>
      <c r="F480" s="52"/>
      <c r="G480" s="52"/>
      <c r="H480" s="52"/>
      <c r="I480" s="52"/>
      <c r="J480" s="52"/>
      <c r="K480" s="52"/>
      <c r="L480" s="52"/>
      <c r="M480" s="52"/>
      <c r="N480" s="52"/>
      <c r="O480" s="52"/>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3:42">
      <c r="C481" s="1"/>
      <c r="D481" s="1"/>
      <c r="E481" s="52"/>
      <c r="F481" s="52"/>
      <c r="G481" s="52"/>
      <c r="H481" s="52"/>
      <c r="I481" s="52"/>
      <c r="J481" s="52"/>
      <c r="K481" s="52"/>
      <c r="L481" s="52"/>
      <c r="M481" s="52"/>
      <c r="N481" s="52"/>
      <c r="O481" s="52"/>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3:42">
      <c r="C482" s="1"/>
      <c r="D482" s="1"/>
      <c r="E482" s="52"/>
      <c r="F482" s="52"/>
      <c r="G482" s="52"/>
      <c r="H482" s="52"/>
      <c r="I482" s="52"/>
      <c r="J482" s="52"/>
      <c r="K482" s="52"/>
      <c r="L482" s="52"/>
      <c r="M482" s="52"/>
      <c r="N482" s="52"/>
      <c r="O482" s="52"/>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3:42">
      <c r="C483" s="1"/>
      <c r="D483" s="1"/>
      <c r="E483" s="52"/>
      <c r="F483" s="52"/>
      <c r="G483" s="52"/>
      <c r="H483" s="52"/>
      <c r="I483" s="52"/>
      <c r="J483" s="52"/>
      <c r="K483" s="52"/>
      <c r="L483" s="52"/>
      <c r="M483" s="52"/>
      <c r="N483" s="52"/>
      <c r="O483" s="52"/>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3:42">
      <c r="C484" s="1"/>
      <c r="D484" s="1"/>
      <c r="E484" s="52"/>
      <c r="F484" s="52"/>
      <c r="G484" s="52"/>
      <c r="H484" s="52"/>
      <c r="I484" s="52"/>
      <c r="J484" s="52"/>
      <c r="K484" s="52"/>
      <c r="L484" s="52"/>
      <c r="M484" s="52"/>
      <c r="N484" s="52"/>
      <c r="O484" s="52"/>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3:42">
      <c r="C485" s="1"/>
      <c r="D485" s="1"/>
      <c r="E485" s="52"/>
      <c r="F485" s="52"/>
      <c r="G485" s="52"/>
      <c r="H485" s="52"/>
      <c r="I485" s="52"/>
      <c r="J485" s="52"/>
      <c r="K485" s="52"/>
      <c r="L485" s="52"/>
      <c r="M485" s="52"/>
      <c r="N485" s="52"/>
      <c r="O485" s="52"/>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3:42">
      <c r="C486" s="1"/>
      <c r="D486" s="1"/>
      <c r="E486" s="52"/>
      <c r="F486" s="52"/>
      <c r="G486" s="52"/>
      <c r="H486" s="52"/>
      <c r="I486" s="52"/>
      <c r="J486" s="52"/>
      <c r="K486" s="52"/>
      <c r="L486" s="52"/>
      <c r="M486" s="52"/>
      <c r="N486" s="52"/>
      <c r="O486" s="52"/>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3:42">
      <c r="C487" s="1"/>
      <c r="D487" s="1"/>
      <c r="E487" s="52"/>
      <c r="F487" s="52"/>
      <c r="G487" s="52"/>
      <c r="H487" s="52"/>
      <c r="I487" s="52"/>
      <c r="J487" s="52"/>
      <c r="K487" s="52"/>
      <c r="L487" s="52"/>
      <c r="M487" s="52"/>
      <c r="N487" s="52"/>
      <c r="O487" s="52"/>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3:42">
      <c r="C488" s="1"/>
      <c r="D488" s="1"/>
      <c r="E488" s="52"/>
      <c r="F488" s="52"/>
      <c r="G488" s="52"/>
      <c r="H488" s="52"/>
      <c r="I488" s="52"/>
      <c r="J488" s="52"/>
      <c r="K488" s="52"/>
      <c r="L488" s="52"/>
      <c r="M488" s="52"/>
      <c r="N488" s="52"/>
      <c r="O488" s="52"/>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3:42">
      <c r="C489" s="1"/>
      <c r="D489" s="1"/>
      <c r="E489" s="52"/>
      <c r="F489" s="52"/>
      <c r="G489" s="52"/>
      <c r="H489" s="52"/>
      <c r="I489" s="52"/>
      <c r="J489" s="52"/>
      <c r="K489" s="52"/>
      <c r="L489" s="52"/>
      <c r="M489" s="52"/>
      <c r="N489" s="52"/>
      <c r="O489" s="52"/>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3:42">
      <c r="C490" s="1"/>
      <c r="D490" s="1"/>
      <c r="E490" s="52"/>
      <c r="F490" s="52"/>
      <c r="G490" s="52"/>
      <c r="H490" s="52"/>
      <c r="I490" s="52"/>
      <c r="J490" s="52"/>
      <c r="K490" s="52"/>
      <c r="L490" s="52"/>
      <c r="M490" s="52"/>
      <c r="N490" s="52"/>
      <c r="O490" s="52"/>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3:42">
      <c r="C491" s="1"/>
      <c r="D491" s="1"/>
      <c r="E491" s="52"/>
      <c r="F491" s="52"/>
      <c r="G491" s="52"/>
      <c r="H491" s="52"/>
      <c r="I491" s="52"/>
      <c r="J491" s="52"/>
      <c r="K491" s="52"/>
      <c r="L491" s="52"/>
      <c r="M491" s="52"/>
      <c r="N491" s="52"/>
      <c r="O491" s="52"/>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3:42">
      <c r="C492" s="1"/>
      <c r="D492" s="1"/>
      <c r="E492" s="52"/>
      <c r="F492" s="52"/>
      <c r="G492" s="52"/>
      <c r="H492" s="52"/>
      <c r="I492" s="52"/>
      <c r="J492" s="52"/>
      <c r="K492" s="52"/>
      <c r="L492" s="52"/>
      <c r="M492" s="52"/>
      <c r="N492" s="52"/>
      <c r="O492" s="52"/>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3:42">
      <c r="C493" s="1"/>
      <c r="D493" s="1"/>
      <c r="E493" s="52"/>
      <c r="F493" s="52"/>
      <c r="G493" s="52"/>
      <c r="H493" s="52"/>
      <c r="I493" s="52"/>
      <c r="J493" s="52"/>
      <c r="K493" s="52"/>
      <c r="L493" s="52"/>
      <c r="M493" s="52"/>
      <c r="N493" s="52"/>
      <c r="O493" s="52"/>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3:42">
      <c r="C494" s="1"/>
      <c r="D494" s="1"/>
      <c r="E494" s="52"/>
      <c r="F494" s="52"/>
      <c r="G494" s="52"/>
      <c r="H494" s="52"/>
      <c r="I494" s="52"/>
      <c r="J494" s="52"/>
      <c r="K494" s="52"/>
      <c r="L494" s="52"/>
      <c r="M494" s="52"/>
      <c r="N494" s="52"/>
      <c r="O494" s="52"/>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3:42">
      <c r="C495" s="1"/>
      <c r="D495" s="1"/>
      <c r="E495" s="52"/>
      <c r="F495" s="52"/>
      <c r="G495" s="52"/>
      <c r="H495" s="52"/>
      <c r="I495" s="52"/>
      <c r="J495" s="52"/>
      <c r="K495" s="52"/>
      <c r="L495" s="52"/>
      <c r="M495" s="52"/>
      <c r="N495" s="52"/>
      <c r="O495" s="52"/>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3:42">
      <c r="C496" s="1"/>
      <c r="D496" s="1"/>
      <c r="E496" s="52"/>
      <c r="F496" s="52"/>
      <c r="G496" s="52"/>
      <c r="H496" s="52"/>
      <c r="I496" s="52"/>
      <c r="J496" s="52"/>
      <c r="K496" s="52"/>
      <c r="L496" s="52"/>
      <c r="M496" s="52"/>
      <c r="N496" s="52"/>
      <c r="O496" s="52"/>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3:42">
      <c r="C497" s="1"/>
      <c r="D497" s="1"/>
      <c r="E497" s="52"/>
      <c r="F497" s="52"/>
      <c r="G497" s="52"/>
      <c r="H497" s="52"/>
      <c r="I497" s="52"/>
      <c r="J497" s="52"/>
      <c r="K497" s="52"/>
      <c r="L497" s="52"/>
      <c r="M497" s="52"/>
      <c r="N497" s="52"/>
      <c r="O497" s="52"/>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3:42">
      <c r="C498" s="1"/>
      <c r="D498" s="1"/>
      <c r="E498" s="52"/>
      <c r="F498" s="52"/>
      <c r="G498" s="52"/>
      <c r="H498" s="52"/>
      <c r="I498" s="52"/>
      <c r="J498" s="52"/>
      <c r="K498" s="52"/>
      <c r="L498" s="52"/>
      <c r="M498" s="52"/>
      <c r="N498" s="52"/>
      <c r="O498" s="52"/>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3:42">
      <c r="C499" s="1"/>
      <c r="D499" s="1"/>
      <c r="E499" s="52"/>
      <c r="F499" s="52"/>
      <c r="G499" s="52"/>
      <c r="H499" s="52"/>
      <c r="I499" s="52"/>
      <c r="J499" s="52"/>
      <c r="K499" s="52"/>
      <c r="L499" s="52"/>
      <c r="M499" s="52"/>
      <c r="N499" s="52"/>
      <c r="O499" s="52"/>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3:42">
      <c r="C500" s="1"/>
      <c r="D500" s="1"/>
      <c r="E500" s="52"/>
      <c r="F500" s="52"/>
      <c r="G500" s="52"/>
      <c r="H500" s="52"/>
      <c r="I500" s="52"/>
      <c r="J500" s="52"/>
      <c r="K500" s="52"/>
      <c r="L500" s="52"/>
      <c r="M500" s="52"/>
      <c r="N500" s="52"/>
      <c r="O500" s="52"/>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3:42">
      <c r="C501" s="1"/>
      <c r="D501" s="1"/>
      <c r="E501" s="52"/>
      <c r="F501" s="52"/>
      <c r="G501" s="52"/>
      <c r="H501" s="52"/>
      <c r="I501" s="52"/>
      <c r="J501" s="52"/>
      <c r="K501" s="52"/>
      <c r="L501" s="52"/>
      <c r="M501" s="52"/>
      <c r="N501" s="52"/>
      <c r="O501" s="52"/>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3:42">
      <c r="C502" s="1"/>
      <c r="D502" s="1"/>
      <c r="E502" s="52"/>
      <c r="F502" s="52"/>
      <c r="G502" s="52"/>
      <c r="H502" s="52"/>
      <c r="I502" s="52"/>
      <c r="J502" s="52"/>
      <c r="K502" s="52"/>
      <c r="L502" s="52"/>
      <c r="M502" s="52"/>
      <c r="N502" s="52"/>
      <c r="O502" s="52"/>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3:42">
      <c r="C503" s="1"/>
      <c r="D503" s="1"/>
      <c r="E503" s="52"/>
      <c r="F503" s="52"/>
      <c r="G503" s="52"/>
      <c r="H503" s="52"/>
      <c r="I503" s="52"/>
      <c r="J503" s="52"/>
      <c r="K503" s="52"/>
      <c r="L503" s="52"/>
      <c r="M503" s="52"/>
      <c r="N503" s="52"/>
      <c r="O503" s="52"/>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3:42">
      <c r="C504" s="1"/>
      <c r="D504" s="1"/>
      <c r="E504" s="52"/>
      <c r="F504" s="52"/>
      <c r="G504" s="52"/>
      <c r="H504" s="52"/>
      <c r="I504" s="52"/>
      <c r="J504" s="52"/>
      <c r="K504" s="52"/>
      <c r="L504" s="52"/>
      <c r="M504" s="52"/>
      <c r="N504" s="52"/>
      <c r="O504" s="52"/>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3:42">
      <c r="C505" s="1"/>
      <c r="D505" s="1"/>
      <c r="E505" s="52"/>
      <c r="F505" s="52"/>
      <c r="G505" s="52"/>
      <c r="H505" s="52"/>
      <c r="I505" s="52"/>
      <c r="J505" s="52"/>
      <c r="K505" s="52"/>
      <c r="L505" s="52"/>
      <c r="M505" s="52"/>
      <c r="N505" s="52"/>
      <c r="O505" s="52"/>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3:42">
      <c r="C506" s="1"/>
      <c r="D506" s="1"/>
      <c r="E506" s="52"/>
      <c r="F506" s="52"/>
      <c r="G506" s="52"/>
      <c r="H506" s="52"/>
      <c r="I506" s="52"/>
      <c r="J506" s="52"/>
      <c r="K506" s="52"/>
      <c r="L506" s="52"/>
      <c r="M506" s="52"/>
      <c r="N506" s="52"/>
      <c r="O506" s="52"/>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3:42">
      <c r="C507" s="1"/>
      <c r="D507" s="1"/>
      <c r="E507" s="52"/>
      <c r="F507" s="52"/>
      <c r="G507" s="52"/>
      <c r="H507" s="52"/>
      <c r="I507" s="52"/>
      <c r="J507" s="52"/>
      <c r="K507" s="52"/>
      <c r="L507" s="52"/>
      <c r="M507" s="52"/>
      <c r="N507" s="52"/>
      <c r="O507" s="52"/>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3:42">
      <c r="C508" s="1"/>
      <c r="D508" s="1"/>
      <c r="E508" s="52"/>
      <c r="F508" s="52"/>
      <c r="G508" s="52"/>
      <c r="H508" s="52"/>
      <c r="I508" s="52"/>
      <c r="J508" s="52"/>
      <c r="K508" s="52"/>
      <c r="L508" s="52"/>
      <c r="M508" s="52"/>
      <c r="N508" s="52"/>
      <c r="O508" s="52"/>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3:42">
      <c r="C509" s="1"/>
      <c r="D509" s="1"/>
      <c r="E509" s="52"/>
      <c r="F509" s="52"/>
      <c r="G509" s="52"/>
      <c r="H509" s="52"/>
      <c r="I509" s="52"/>
      <c r="J509" s="52"/>
      <c r="K509" s="52"/>
      <c r="L509" s="52"/>
      <c r="M509" s="52"/>
      <c r="N509" s="52"/>
      <c r="O509" s="52"/>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3:42">
      <c r="C510" s="1"/>
      <c r="D510" s="1"/>
      <c r="E510" s="52"/>
      <c r="F510" s="52"/>
      <c r="G510" s="52"/>
      <c r="H510" s="52"/>
      <c r="I510" s="52"/>
      <c r="J510" s="52"/>
      <c r="K510" s="52"/>
      <c r="L510" s="52"/>
      <c r="M510" s="52"/>
      <c r="N510" s="52"/>
      <c r="O510" s="52"/>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3:42">
      <c r="C511" s="1"/>
      <c r="D511" s="1"/>
      <c r="E511" s="52"/>
      <c r="F511" s="52"/>
      <c r="G511" s="52"/>
      <c r="H511" s="52"/>
      <c r="I511" s="52"/>
      <c r="J511" s="52"/>
      <c r="K511" s="52"/>
      <c r="L511" s="52"/>
      <c r="M511" s="52"/>
      <c r="N511" s="52"/>
      <c r="O511" s="52"/>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3:42">
      <c r="C512" s="1"/>
      <c r="D512" s="1"/>
      <c r="E512" s="52"/>
      <c r="F512" s="52"/>
      <c r="G512" s="52"/>
      <c r="H512" s="52"/>
      <c r="I512" s="52"/>
      <c r="J512" s="52"/>
      <c r="K512" s="52"/>
      <c r="L512" s="52"/>
      <c r="M512" s="52"/>
      <c r="N512" s="52"/>
      <c r="O512" s="52"/>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3:42">
      <c r="C513" s="1"/>
      <c r="D513" s="1"/>
      <c r="E513" s="52"/>
      <c r="F513" s="52"/>
      <c r="G513" s="52"/>
      <c r="H513" s="52"/>
      <c r="I513" s="52"/>
      <c r="J513" s="52"/>
      <c r="K513" s="52"/>
      <c r="L513" s="52"/>
      <c r="M513" s="52"/>
      <c r="N513" s="52"/>
      <c r="O513" s="52"/>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3:42">
      <c r="C514" s="1"/>
      <c r="D514" s="1"/>
      <c r="E514" s="52"/>
      <c r="F514" s="52"/>
      <c r="G514" s="52"/>
      <c r="H514" s="52"/>
      <c r="I514" s="52"/>
      <c r="J514" s="52"/>
      <c r="K514" s="52"/>
      <c r="L514" s="52"/>
      <c r="M514" s="52"/>
      <c r="N514" s="52"/>
      <c r="O514" s="52"/>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3:42">
      <c r="C515" s="1"/>
      <c r="D515" s="1"/>
      <c r="E515" s="52"/>
      <c r="F515" s="52"/>
      <c r="G515" s="52"/>
      <c r="H515" s="52"/>
      <c r="I515" s="52"/>
      <c r="J515" s="52"/>
      <c r="K515" s="52"/>
      <c r="L515" s="52"/>
      <c r="M515" s="52"/>
      <c r="N515" s="52"/>
      <c r="O515" s="52"/>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3:42">
      <c r="C516" s="1"/>
      <c r="D516" s="1"/>
      <c r="E516" s="52"/>
      <c r="F516" s="52"/>
      <c r="G516" s="52"/>
      <c r="H516" s="52"/>
      <c r="I516" s="52"/>
      <c r="J516" s="52"/>
      <c r="K516" s="52"/>
      <c r="L516" s="52"/>
      <c r="M516" s="52"/>
      <c r="N516" s="52"/>
      <c r="O516" s="52"/>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3:42">
      <c r="C517" s="1"/>
      <c r="D517" s="1"/>
      <c r="E517" s="52"/>
      <c r="F517" s="52"/>
      <c r="G517" s="52"/>
      <c r="H517" s="52"/>
      <c r="I517" s="52"/>
      <c r="J517" s="52"/>
      <c r="K517" s="52"/>
      <c r="L517" s="52"/>
      <c r="M517" s="52"/>
      <c r="N517" s="52"/>
      <c r="O517" s="52"/>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3:42">
      <c r="C518" s="1"/>
      <c r="D518" s="1"/>
      <c r="E518" s="52"/>
      <c r="F518" s="52"/>
      <c r="G518" s="52"/>
      <c r="H518" s="52"/>
      <c r="I518" s="52"/>
      <c r="J518" s="52"/>
      <c r="K518" s="52"/>
      <c r="L518" s="52"/>
      <c r="M518" s="52"/>
      <c r="N518" s="52"/>
      <c r="O518" s="52"/>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3:42">
      <c r="C519" s="1"/>
      <c r="D519" s="1"/>
      <c r="E519" s="52"/>
      <c r="F519" s="52"/>
      <c r="G519" s="52"/>
      <c r="H519" s="52"/>
      <c r="I519" s="52"/>
      <c r="J519" s="52"/>
      <c r="K519" s="52"/>
      <c r="L519" s="52"/>
      <c r="M519" s="52"/>
      <c r="N519" s="52"/>
      <c r="O519" s="52"/>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3:42">
      <c r="C520" s="1"/>
      <c r="D520" s="1"/>
      <c r="E520" s="52"/>
      <c r="F520" s="52"/>
      <c r="G520" s="52"/>
      <c r="H520" s="52"/>
      <c r="I520" s="52"/>
      <c r="J520" s="52"/>
      <c r="K520" s="52"/>
      <c r="L520" s="52"/>
      <c r="M520" s="52"/>
      <c r="N520" s="52"/>
      <c r="O520" s="52"/>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3:42">
      <c r="C521" s="1"/>
      <c r="D521" s="1"/>
      <c r="E521" s="52"/>
      <c r="F521" s="52"/>
      <c r="G521" s="52"/>
      <c r="H521" s="52"/>
      <c r="I521" s="52"/>
      <c r="J521" s="52"/>
      <c r="K521" s="52"/>
      <c r="L521" s="52"/>
      <c r="M521" s="52"/>
      <c r="N521" s="52"/>
      <c r="O521" s="52"/>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3:42">
      <c r="C522" s="1"/>
      <c r="D522" s="1"/>
      <c r="E522" s="52"/>
      <c r="F522" s="52"/>
      <c r="G522" s="52"/>
      <c r="H522" s="52"/>
      <c r="I522" s="52"/>
      <c r="J522" s="52"/>
      <c r="K522" s="52"/>
      <c r="L522" s="52"/>
      <c r="M522" s="52"/>
      <c r="N522" s="52"/>
      <c r="O522" s="52"/>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3:42">
      <c r="C523" s="1"/>
      <c r="D523" s="1"/>
      <c r="E523" s="52"/>
      <c r="F523" s="52"/>
      <c r="G523" s="52"/>
      <c r="H523" s="52"/>
      <c r="I523" s="52"/>
      <c r="J523" s="52"/>
      <c r="K523" s="52"/>
      <c r="L523" s="52"/>
      <c r="M523" s="52"/>
      <c r="N523" s="52"/>
      <c r="O523" s="52"/>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3:42">
      <c r="C524" s="1"/>
      <c r="D524" s="1"/>
      <c r="E524" s="52"/>
      <c r="F524" s="52"/>
      <c r="G524" s="52"/>
      <c r="H524" s="52"/>
      <c r="I524" s="52"/>
      <c r="J524" s="52"/>
      <c r="K524" s="52"/>
      <c r="L524" s="52"/>
      <c r="M524" s="52"/>
      <c r="N524" s="52"/>
      <c r="O524" s="52"/>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3:42">
      <c r="C525" s="1"/>
      <c r="D525" s="1"/>
      <c r="E525" s="52"/>
      <c r="F525" s="52"/>
      <c r="G525" s="52"/>
      <c r="H525" s="52"/>
      <c r="I525" s="52"/>
      <c r="J525" s="52"/>
      <c r="K525" s="52"/>
      <c r="L525" s="52"/>
      <c r="M525" s="52"/>
      <c r="N525" s="52"/>
      <c r="O525" s="52"/>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3:42">
      <c r="C526" s="1"/>
      <c r="D526" s="1"/>
      <c r="E526" s="52"/>
      <c r="F526" s="52"/>
      <c r="G526" s="52"/>
      <c r="H526" s="52"/>
      <c r="I526" s="52"/>
      <c r="J526" s="52"/>
      <c r="K526" s="52"/>
      <c r="L526" s="52"/>
      <c r="M526" s="52"/>
      <c r="N526" s="52"/>
      <c r="O526" s="52"/>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3:42">
      <c r="C527" s="1"/>
      <c r="D527" s="1"/>
      <c r="E527" s="52"/>
      <c r="F527" s="52"/>
      <c r="G527" s="52"/>
      <c r="H527" s="52"/>
      <c r="I527" s="52"/>
      <c r="J527" s="52"/>
      <c r="K527" s="52"/>
      <c r="L527" s="52"/>
      <c r="M527" s="52"/>
      <c r="N527" s="52"/>
      <c r="O527" s="52"/>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3:42">
      <c r="C528" s="1"/>
      <c r="D528" s="1"/>
      <c r="E528" s="52"/>
      <c r="F528" s="52"/>
      <c r="G528" s="52"/>
      <c r="H528" s="52"/>
      <c r="I528" s="52"/>
      <c r="J528" s="52"/>
      <c r="K528" s="52"/>
      <c r="L528" s="52"/>
      <c r="M528" s="52"/>
      <c r="N528" s="52"/>
      <c r="O528" s="52"/>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3:42">
      <c r="C529" s="1"/>
      <c r="D529" s="1"/>
      <c r="E529" s="52"/>
      <c r="F529" s="52"/>
      <c r="G529" s="52"/>
      <c r="H529" s="52"/>
      <c r="I529" s="52"/>
      <c r="J529" s="52"/>
      <c r="K529" s="52"/>
      <c r="L529" s="52"/>
      <c r="M529" s="52"/>
      <c r="N529" s="52"/>
      <c r="O529" s="52"/>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3:42">
      <c r="C530" s="1"/>
      <c r="D530" s="1"/>
      <c r="E530" s="52"/>
      <c r="F530" s="52"/>
      <c r="G530" s="52"/>
      <c r="H530" s="52"/>
      <c r="I530" s="52"/>
      <c r="J530" s="52"/>
      <c r="K530" s="52"/>
      <c r="L530" s="52"/>
      <c r="M530" s="52"/>
      <c r="N530" s="52"/>
      <c r="O530" s="52"/>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3:42">
      <c r="C531" s="1"/>
      <c r="D531" s="1"/>
      <c r="E531" s="52"/>
      <c r="F531" s="52"/>
      <c r="G531" s="52"/>
      <c r="H531" s="52"/>
      <c r="I531" s="52"/>
      <c r="J531" s="52"/>
      <c r="K531" s="52"/>
      <c r="L531" s="52"/>
      <c r="M531" s="52"/>
      <c r="N531" s="52"/>
      <c r="O531" s="52"/>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3:42">
      <c r="C532" s="1"/>
      <c r="D532" s="1"/>
      <c r="E532" s="52"/>
      <c r="F532" s="52"/>
      <c r="G532" s="52"/>
      <c r="H532" s="52"/>
      <c r="I532" s="52"/>
      <c r="J532" s="52"/>
      <c r="K532" s="52"/>
      <c r="L532" s="52"/>
      <c r="M532" s="52"/>
      <c r="N532" s="52"/>
      <c r="O532" s="52"/>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3:42">
      <c r="C533" s="1"/>
      <c r="D533" s="1"/>
      <c r="E533" s="52"/>
      <c r="F533" s="52"/>
      <c r="G533" s="52"/>
      <c r="H533" s="52"/>
      <c r="I533" s="52"/>
      <c r="J533" s="52"/>
      <c r="K533" s="52"/>
      <c r="L533" s="52"/>
      <c r="M533" s="52"/>
      <c r="N533" s="52"/>
      <c r="O533" s="52"/>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3:42">
      <c r="C534" s="1"/>
      <c r="D534" s="1"/>
      <c r="E534" s="52"/>
      <c r="F534" s="52"/>
      <c r="G534" s="52"/>
      <c r="H534" s="52"/>
      <c r="I534" s="52"/>
      <c r="J534" s="52"/>
      <c r="K534" s="52"/>
      <c r="L534" s="52"/>
      <c r="M534" s="52"/>
      <c r="N534" s="52"/>
      <c r="O534" s="52"/>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3:42">
      <c r="C535" s="1"/>
      <c r="D535" s="1"/>
      <c r="E535" s="52"/>
      <c r="F535" s="52"/>
      <c r="G535" s="52"/>
      <c r="H535" s="52"/>
      <c r="I535" s="52"/>
      <c r="J535" s="52"/>
      <c r="K535" s="52"/>
      <c r="L535" s="52"/>
      <c r="M535" s="52"/>
      <c r="N535" s="52"/>
      <c r="O535" s="52"/>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3:42">
      <c r="C536" s="1"/>
      <c r="D536" s="1"/>
      <c r="E536" s="52"/>
      <c r="F536" s="52"/>
      <c r="G536" s="52"/>
      <c r="H536" s="52"/>
      <c r="I536" s="52"/>
      <c r="J536" s="52"/>
      <c r="K536" s="52"/>
      <c r="L536" s="52"/>
      <c r="M536" s="52"/>
      <c r="N536" s="52"/>
      <c r="O536" s="52"/>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3:42">
      <c r="C537" s="1"/>
      <c r="D537" s="1"/>
      <c r="E537" s="52"/>
      <c r="F537" s="52"/>
      <c r="G537" s="52"/>
      <c r="H537" s="52"/>
      <c r="I537" s="52"/>
      <c r="J537" s="52"/>
      <c r="K537" s="52"/>
      <c r="L537" s="52"/>
      <c r="M537" s="52"/>
      <c r="N537" s="52"/>
      <c r="O537" s="52"/>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3:42">
      <c r="C538" s="1"/>
      <c r="D538" s="1"/>
      <c r="E538" s="52"/>
      <c r="F538" s="52"/>
      <c r="G538" s="52"/>
      <c r="H538" s="52"/>
      <c r="I538" s="52"/>
      <c r="J538" s="52"/>
      <c r="K538" s="52"/>
      <c r="L538" s="52"/>
      <c r="M538" s="52"/>
      <c r="N538" s="52"/>
      <c r="O538" s="52"/>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3:42">
      <c r="C539" s="1"/>
      <c r="D539" s="1"/>
      <c r="E539" s="52"/>
      <c r="F539" s="52"/>
      <c r="G539" s="52"/>
      <c r="H539" s="52"/>
      <c r="I539" s="52"/>
      <c r="J539" s="52"/>
      <c r="K539" s="52"/>
      <c r="L539" s="52"/>
      <c r="M539" s="52"/>
      <c r="N539" s="52"/>
      <c r="O539" s="52"/>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3:42">
      <c r="C540" s="1"/>
      <c r="D540" s="1"/>
      <c r="E540" s="52"/>
      <c r="F540" s="52"/>
      <c r="G540" s="52"/>
      <c r="H540" s="52"/>
      <c r="I540" s="52"/>
      <c r="J540" s="52"/>
      <c r="K540" s="52"/>
      <c r="L540" s="52"/>
      <c r="M540" s="52"/>
      <c r="N540" s="52"/>
      <c r="O540" s="52"/>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3:42">
      <c r="C541" s="1"/>
      <c r="D541" s="1"/>
      <c r="E541" s="52"/>
      <c r="F541" s="52"/>
      <c r="G541" s="52"/>
      <c r="H541" s="52"/>
      <c r="I541" s="52"/>
      <c r="J541" s="52"/>
      <c r="K541" s="52"/>
      <c r="L541" s="52"/>
      <c r="M541" s="52"/>
      <c r="N541" s="52"/>
      <c r="O541" s="52"/>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row>
    <row r="542" spans="3:42">
      <c r="C542" s="1"/>
      <c r="D542" s="1"/>
      <c r="E542" s="52"/>
      <c r="F542" s="52"/>
      <c r="G542" s="52"/>
      <c r="H542" s="52"/>
      <c r="I542" s="52"/>
      <c r="J542" s="52"/>
      <c r="K542" s="52"/>
      <c r="L542" s="52"/>
      <c r="M542" s="52"/>
      <c r="N542" s="52"/>
      <c r="O542" s="52"/>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3:42">
      <c r="C543" s="1"/>
      <c r="D543" s="1"/>
      <c r="E543" s="52"/>
      <c r="F543" s="52"/>
      <c r="G543" s="52"/>
      <c r="H543" s="52"/>
      <c r="I543" s="52"/>
      <c r="J543" s="52"/>
      <c r="K543" s="52"/>
      <c r="L543" s="52"/>
      <c r="M543" s="52"/>
      <c r="N543" s="52"/>
      <c r="O543" s="52"/>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3:42">
      <c r="C544" s="1"/>
      <c r="D544" s="1"/>
      <c r="E544" s="52"/>
      <c r="F544" s="52"/>
      <c r="G544" s="52"/>
      <c r="H544" s="52"/>
      <c r="I544" s="52"/>
      <c r="J544" s="52"/>
      <c r="K544" s="52"/>
      <c r="L544" s="52"/>
      <c r="M544" s="52"/>
      <c r="N544" s="52"/>
      <c r="O544" s="52"/>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3:42">
      <c r="C545" s="1"/>
      <c r="D545" s="1"/>
      <c r="E545" s="52"/>
      <c r="F545" s="52"/>
      <c r="G545" s="52"/>
      <c r="H545" s="52"/>
      <c r="I545" s="52"/>
      <c r="J545" s="52"/>
      <c r="K545" s="52"/>
      <c r="L545" s="52"/>
      <c r="M545" s="52"/>
      <c r="N545" s="52"/>
      <c r="O545" s="52"/>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3:42">
      <c r="C546" s="1"/>
      <c r="D546" s="1"/>
      <c r="E546" s="52"/>
      <c r="F546" s="52"/>
      <c r="G546" s="52"/>
      <c r="H546" s="52"/>
      <c r="I546" s="52"/>
      <c r="J546" s="52"/>
      <c r="K546" s="52"/>
      <c r="L546" s="52"/>
      <c r="M546" s="52"/>
      <c r="N546" s="52"/>
      <c r="O546" s="52"/>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3:42">
      <c r="C547" s="1"/>
      <c r="D547" s="1"/>
      <c r="E547" s="52"/>
      <c r="F547" s="52"/>
      <c r="G547" s="52"/>
      <c r="H547" s="52"/>
      <c r="I547" s="52"/>
      <c r="J547" s="52"/>
      <c r="K547" s="52"/>
      <c r="L547" s="52"/>
      <c r="M547" s="52"/>
      <c r="N547" s="52"/>
      <c r="O547" s="52"/>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3:42">
      <c r="C548" s="1"/>
      <c r="D548" s="1"/>
      <c r="E548" s="52"/>
      <c r="F548" s="52"/>
      <c r="G548" s="52"/>
      <c r="H548" s="52"/>
      <c r="I548" s="52"/>
      <c r="J548" s="52"/>
      <c r="K548" s="52"/>
      <c r="L548" s="52"/>
      <c r="M548" s="52"/>
      <c r="N548" s="52"/>
      <c r="O548" s="52"/>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3:42">
      <c r="C549" s="1"/>
      <c r="D549" s="1"/>
      <c r="E549" s="52"/>
      <c r="F549" s="52"/>
      <c r="G549" s="52"/>
      <c r="H549" s="52"/>
      <c r="I549" s="52"/>
      <c r="J549" s="52"/>
      <c r="K549" s="52"/>
      <c r="L549" s="52"/>
      <c r="M549" s="52"/>
      <c r="N549" s="52"/>
      <c r="O549" s="52"/>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3:42">
      <c r="C550" s="1"/>
      <c r="D550" s="1"/>
      <c r="E550" s="52"/>
      <c r="F550" s="52"/>
      <c r="G550" s="52"/>
      <c r="H550" s="52"/>
      <c r="I550" s="52"/>
      <c r="J550" s="52"/>
      <c r="K550" s="52"/>
      <c r="L550" s="52"/>
      <c r="M550" s="52"/>
      <c r="N550" s="52"/>
      <c r="O550" s="52"/>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3:42">
      <c r="C551" s="1"/>
      <c r="D551" s="1"/>
      <c r="E551" s="52"/>
      <c r="F551" s="52"/>
      <c r="G551" s="52"/>
      <c r="H551" s="52"/>
      <c r="I551" s="52"/>
      <c r="J551" s="52"/>
      <c r="K551" s="52"/>
      <c r="L551" s="52"/>
      <c r="M551" s="52"/>
      <c r="N551" s="52"/>
      <c r="O551" s="52"/>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3:42">
      <c r="C552" s="1"/>
      <c r="D552" s="1"/>
      <c r="E552" s="52"/>
      <c r="F552" s="52"/>
      <c r="G552" s="52"/>
      <c r="H552" s="52"/>
      <c r="I552" s="52"/>
      <c r="J552" s="52"/>
      <c r="K552" s="52"/>
      <c r="L552" s="52"/>
      <c r="M552" s="52"/>
      <c r="N552" s="52"/>
      <c r="O552" s="52"/>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3:42">
      <c r="C553" s="1"/>
      <c r="D553" s="1"/>
      <c r="E553" s="52"/>
      <c r="F553" s="52"/>
      <c r="G553" s="52"/>
      <c r="H553" s="52"/>
      <c r="I553" s="52"/>
      <c r="J553" s="52"/>
      <c r="K553" s="52"/>
      <c r="L553" s="52"/>
      <c r="M553" s="52"/>
      <c r="N553" s="52"/>
      <c r="O553" s="52"/>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3:42">
      <c r="C554" s="1"/>
      <c r="D554" s="1"/>
      <c r="E554" s="52"/>
      <c r="F554" s="52"/>
      <c r="G554" s="52"/>
      <c r="H554" s="52"/>
      <c r="I554" s="52"/>
      <c r="J554" s="52"/>
      <c r="K554" s="52"/>
      <c r="L554" s="52"/>
      <c r="M554" s="52"/>
      <c r="N554" s="52"/>
      <c r="O554" s="52"/>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3:42">
      <c r="C555" s="1"/>
      <c r="D555" s="1"/>
      <c r="E555" s="52"/>
      <c r="F555" s="52"/>
      <c r="G555" s="52"/>
      <c r="H555" s="52"/>
      <c r="I555" s="52"/>
      <c r="J555" s="52"/>
      <c r="K555" s="52"/>
      <c r="L555" s="52"/>
      <c r="M555" s="52"/>
      <c r="N555" s="52"/>
      <c r="O555" s="52"/>
      <c r="P555" s="1"/>
    </row>
    <row r="556" spans="3:42">
      <c r="C556" s="1"/>
      <c r="D556" s="1"/>
      <c r="E556" s="52"/>
      <c r="F556" s="52"/>
      <c r="G556" s="52"/>
      <c r="H556" s="52"/>
      <c r="I556" s="52"/>
      <c r="J556" s="52"/>
      <c r="K556" s="52"/>
      <c r="L556" s="52"/>
      <c r="M556" s="52"/>
      <c r="N556" s="52"/>
      <c r="O556" s="52"/>
    </row>
    <row r="557" spans="3:42">
      <c r="C557" s="1"/>
      <c r="D557" s="1"/>
      <c r="E557" s="52"/>
      <c r="F557" s="52"/>
      <c r="G557" s="52"/>
      <c r="H557" s="52"/>
      <c r="I557" s="52"/>
      <c r="J557" s="52"/>
      <c r="K557" s="52"/>
      <c r="L557" s="52"/>
      <c r="M557" s="52"/>
      <c r="N557" s="52"/>
      <c r="O557" s="52"/>
    </row>
    <row r="558" spans="3:42">
      <c r="C558" s="1"/>
      <c r="D558" s="1"/>
      <c r="E558" s="52"/>
      <c r="F558" s="52"/>
      <c r="G558" s="52"/>
      <c r="H558" s="52"/>
      <c r="I558" s="52"/>
      <c r="J558" s="52"/>
      <c r="K558" s="52"/>
      <c r="L558" s="52"/>
      <c r="M558" s="52"/>
      <c r="N558" s="52"/>
      <c r="O558" s="52"/>
    </row>
    <row r="559" spans="3:42">
      <c r="C559" s="1"/>
      <c r="D559" s="1"/>
      <c r="E559" s="52"/>
      <c r="F559" s="52"/>
      <c r="G559" s="52"/>
      <c r="H559" s="52"/>
      <c r="I559" s="52"/>
      <c r="J559" s="52"/>
      <c r="K559" s="52"/>
      <c r="L559" s="52"/>
      <c r="M559" s="52"/>
      <c r="N559" s="52"/>
      <c r="O559" s="52"/>
    </row>
    <row r="560" spans="3:42">
      <c r="C560" s="1"/>
      <c r="D560" s="1"/>
      <c r="E560" s="52"/>
      <c r="F560" s="52"/>
      <c r="G560" s="52"/>
      <c r="H560" s="52"/>
      <c r="I560" s="52"/>
      <c r="J560" s="52"/>
      <c r="K560" s="52"/>
      <c r="L560" s="52"/>
      <c r="M560" s="52"/>
      <c r="N560" s="52"/>
      <c r="O560" s="52"/>
    </row>
    <row r="561" spans="3:15">
      <c r="C561" s="1"/>
      <c r="D561" s="1"/>
      <c r="E561" s="52"/>
      <c r="F561" s="52"/>
      <c r="G561" s="52"/>
      <c r="H561" s="52"/>
      <c r="I561" s="52"/>
      <c r="J561" s="52"/>
      <c r="K561" s="52"/>
      <c r="L561" s="52"/>
      <c r="M561" s="52"/>
      <c r="N561" s="52"/>
      <c r="O561" s="52"/>
    </row>
    <row r="562" spans="3:15">
      <c r="C562" s="1"/>
      <c r="D562" s="1"/>
      <c r="E562" s="52"/>
      <c r="F562" s="52"/>
      <c r="G562" s="52"/>
      <c r="H562" s="52"/>
      <c r="I562" s="52"/>
      <c r="J562" s="52"/>
      <c r="K562" s="52"/>
      <c r="L562" s="52"/>
      <c r="M562" s="52"/>
      <c r="N562" s="52"/>
      <c r="O562" s="52"/>
    </row>
    <row r="563" spans="3:15">
      <c r="C563" s="1"/>
      <c r="D563" s="1"/>
      <c r="E563" s="52"/>
      <c r="F563" s="52"/>
      <c r="G563" s="52"/>
      <c r="H563" s="52"/>
      <c r="I563" s="52"/>
      <c r="J563" s="52"/>
      <c r="K563" s="52"/>
      <c r="L563" s="52"/>
      <c r="M563" s="52"/>
      <c r="N563" s="52"/>
      <c r="O563" s="52"/>
    </row>
    <row r="564" spans="3:15">
      <c r="C564" s="1"/>
      <c r="D564" s="1"/>
      <c r="E564" s="52"/>
      <c r="F564" s="52"/>
      <c r="G564" s="52"/>
      <c r="H564" s="52"/>
      <c r="I564" s="52"/>
      <c r="J564" s="52"/>
      <c r="K564" s="52"/>
      <c r="L564" s="52"/>
      <c r="M564" s="52"/>
      <c r="N564" s="52"/>
      <c r="O564" s="52"/>
    </row>
    <row r="565" spans="3:15">
      <c r="C565" s="1"/>
      <c r="D565" s="1"/>
      <c r="E565" s="52"/>
      <c r="F565" s="52"/>
      <c r="G565" s="52"/>
      <c r="H565" s="52"/>
      <c r="I565" s="52"/>
      <c r="J565" s="52"/>
      <c r="K565" s="52"/>
      <c r="L565" s="52"/>
      <c r="M565" s="52"/>
      <c r="N565" s="52"/>
      <c r="O565" s="52"/>
    </row>
    <row r="566" spans="3:15">
      <c r="C566" s="1"/>
      <c r="D566" s="1"/>
      <c r="E566" s="52"/>
      <c r="F566" s="52"/>
      <c r="G566" s="52"/>
      <c r="H566" s="52"/>
      <c r="I566" s="52"/>
      <c r="J566" s="52"/>
      <c r="K566" s="52"/>
      <c r="L566" s="52"/>
      <c r="M566" s="52"/>
      <c r="N566" s="52"/>
      <c r="O566" s="52"/>
    </row>
    <row r="567" spans="3:15">
      <c r="C567" s="1"/>
      <c r="D567" s="1"/>
      <c r="E567" s="52"/>
      <c r="F567" s="52"/>
      <c r="G567" s="52"/>
      <c r="H567" s="52"/>
      <c r="I567" s="52"/>
      <c r="J567" s="52"/>
      <c r="K567" s="52"/>
      <c r="L567" s="52"/>
      <c r="M567" s="52"/>
      <c r="N567" s="52"/>
      <c r="O567" s="52"/>
    </row>
    <row r="568" spans="3:15">
      <c r="C568" s="1"/>
      <c r="D568" s="1"/>
      <c r="E568" s="52"/>
      <c r="F568" s="52"/>
      <c r="G568" s="52"/>
      <c r="H568" s="52"/>
      <c r="I568" s="52"/>
      <c r="J568" s="52"/>
      <c r="K568" s="52"/>
      <c r="L568" s="52"/>
      <c r="M568" s="52"/>
      <c r="N568" s="46"/>
      <c r="O568" s="47"/>
    </row>
    <row r="569" spans="3:15">
      <c r="C569" s="1"/>
      <c r="D569" s="1"/>
      <c r="E569" s="52"/>
      <c r="F569" s="52"/>
      <c r="G569" s="52"/>
      <c r="H569" s="52"/>
      <c r="I569" s="52"/>
      <c r="J569" s="52"/>
      <c r="K569" s="52"/>
      <c r="L569" s="52"/>
      <c r="M569" s="52"/>
      <c r="N569" s="46"/>
      <c r="O569" s="47"/>
    </row>
    <row r="570" spans="3:15">
      <c r="C570" s="1"/>
      <c r="D570" s="1"/>
      <c r="E570" s="52"/>
      <c r="F570" s="52"/>
      <c r="G570" s="52"/>
      <c r="H570" s="52"/>
      <c r="I570" s="52"/>
      <c r="J570" s="52"/>
      <c r="K570" s="52"/>
      <c r="L570" s="52"/>
      <c r="M570" s="52"/>
    </row>
    <row r="571" spans="3:15">
      <c r="C571" s="1"/>
      <c r="D571" s="1"/>
      <c r="E571" s="52"/>
      <c r="F571" s="52"/>
      <c r="G571" s="52"/>
      <c r="H571" s="52"/>
      <c r="I571" s="52"/>
      <c r="J571" s="52"/>
      <c r="K571" s="52"/>
      <c r="L571" s="52"/>
      <c r="M571" s="46"/>
    </row>
    <row r="572" spans="3:15">
      <c r="C572" s="1"/>
      <c r="D572" s="1"/>
      <c r="E572" s="52"/>
      <c r="F572" s="52"/>
      <c r="G572" s="52"/>
      <c r="H572" s="52"/>
      <c r="I572" s="52"/>
      <c r="J572" s="52"/>
      <c r="K572" s="52"/>
      <c r="L572" s="52"/>
      <c r="M572" s="46"/>
    </row>
    <row r="573" spans="3:15">
      <c r="C573" s="1"/>
      <c r="D573" s="1"/>
      <c r="E573" s="52"/>
      <c r="F573" s="52"/>
      <c r="G573" s="52"/>
      <c r="H573" s="52"/>
      <c r="I573" s="52"/>
      <c r="J573" s="52"/>
      <c r="K573" s="52"/>
      <c r="L573" s="52"/>
    </row>
    <row r="574" spans="3:15">
      <c r="C574" s="1"/>
      <c r="D574" s="1"/>
      <c r="E574" s="52"/>
      <c r="F574" s="52"/>
      <c r="G574" s="52"/>
      <c r="H574" s="52"/>
      <c r="I574" s="52"/>
      <c r="J574" s="52"/>
      <c r="K574" s="52"/>
      <c r="L574" s="52"/>
    </row>
    <row r="575" spans="3:15">
      <c r="C575" s="1"/>
      <c r="D575" s="1"/>
      <c r="E575" s="52"/>
      <c r="F575" s="52"/>
      <c r="G575" s="52"/>
      <c r="H575" s="52"/>
      <c r="I575" s="52"/>
      <c r="J575" s="52"/>
      <c r="K575" s="46"/>
      <c r="L575" s="46"/>
    </row>
    <row r="576" spans="3:15">
      <c r="C576" s="1"/>
      <c r="D576" s="1"/>
      <c r="E576" s="52"/>
      <c r="F576" s="52"/>
      <c r="G576" s="52"/>
      <c r="H576" s="52"/>
      <c r="I576" s="52"/>
      <c r="J576" s="52"/>
      <c r="K576" s="46"/>
      <c r="L576" s="46"/>
    </row>
    <row r="577" spans="3:10">
      <c r="C577" s="1"/>
      <c r="D577" s="1"/>
      <c r="E577" s="52"/>
      <c r="F577" s="52"/>
      <c r="G577" s="52"/>
      <c r="H577" s="52"/>
      <c r="I577" s="52"/>
      <c r="J577" s="52"/>
    </row>
    <row r="578" spans="3:10">
      <c r="C578" s="1"/>
      <c r="D578" s="1"/>
      <c r="E578" s="45"/>
      <c r="F578" s="46"/>
      <c r="G578" s="46"/>
      <c r="H578" s="46"/>
      <c r="I578" s="46"/>
      <c r="J578" s="46"/>
    </row>
    <row r="579" spans="3:10">
      <c r="C579" s="1"/>
      <c r="D579" s="1"/>
      <c r="E579" s="45"/>
      <c r="F579" s="46"/>
      <c r="G579" s="46"/>
      <c r="H579" s="46"/>
      <c r="I579" s="46"/>
      <c r="J579" s="46"/>
    </row>
    <row r="580" spans="3:10">
      <c r="C580" s="1"/>
    </row>
    <row r="581" spans="3:10">
      <c r="C581" s="1"/>
    </row>
    <row r="582" spans="3:10">
      <c r="C582" s="1"/>
    </row>
    <row r="583" spans="3:10">
      <c r="C583" s="1"/>
    </row>
  </sheetData>
  <mergeCells count="1">
    <mergeCell ref="E2:J2"/>
  </mergeCells>
  <pageMargins left="0.7" right="0.7" top="0.75" bottom="0.75" header="0.3" footer="0.3"/>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66BF3-6386-4855-862C-C92EDC34643D}">
  <dimension ref="A1:AO377"/>
  <sheetViews>
    <sheetView topLeftCell="A25" zoomScale="80" zoomScaleNormal="80" workbookViewId="0">
      <selection activeCell="K173" sqref="K173"/>
    </sheetView>
  </sheetViews>
  <sheetFormatPr defaultRowHeight="14.4"/>
  <cols>
    <col min="1" max="1" width="29.88671875" customWidth="1"/>
    <col min="2" max="4" width="14.33203125" bestFit="1" customWidth="1"/>
    <col min="5" max="5" width="10.44140625" customWidth="1"/>
    <col min="6" max="6" width="12.6640625" customWidth="1"/>
    <col min="7" max="7" width="10.109375" customWidth="1"/>
    <col min="8" max="8" width="14.33203125" bestFit="1" customWidth="1"/>
    <col min="9" max="9" width="10.33203125" customWidth="1"/>
    <col min="10" max="10" width="14.33203125" bestFit="1" customWidth="1"/>
    <col min="11" max="11" width="10.6640625" customWidth="1"/>
    <col min="12" max="12" width="12.44140625" bestFit="1" customWidth="1"/>
    <col min="13" max="13" width="12.6640625" bestFit="1" customWidth="1"/>
    <col min="15" max="15" width="12.6640625" bestFit="1" customWidth="1"/>
    <col min="16" max="16" width="12.6640625" customWidth="1"/>
    <col min="17" max="17" width="18.33203125" customWidth="1"/>
    <col min="18" max="18" width="12.6640625" bestFit="1" customWidth="1"/>
    <col min="19" max="19" width="35.33203125" customWidth="1"/>
    <col min="20" max="20" width="29.44140625" customWidth="1"/>
    <col min="21" max="24" width="10.44140625" bestFit="1" customWidth="1"/>
  </cols>
  <sheetData>
    <row r="1" spans="1:41" ht="21">
      <c r="A1" s="782" t="s">
        <v>746</v>
      </c>
      <c r="B1" s="777"/>
      <c r="C1" s="777"/>
      <c r="D1" s="777"/>
      <c r="E1" s="777"/>
      <c r="F1" s="777"/>
      <c r="G1" s="777"/>
      <c r="H1" s="777"/>
      <c r="I1" s="777"/>
      <c r="J1" s="777"/>
      <c r="K1" s="778"/>
      <c r="L1" s="1"/>
      <c r="M1" s="788" t="s">
        <v>748</v>
      </c>
      <c r="N1" s="789"/>
      <c r="O1" s="777"/>
      <c r="P1" s="777"/>
      <c r="Q1" s="794"/>
      <c r="R1" s="1"/>
      <c r="S1" s="795" t="s">
        <v>751</v>
      </c>
      <c r="T1" s="793"/>
      <c r="U1" s="793"/>
      <c r="V1" s="794"/>
      <c r="W1" s="1"/>
      <c r="X1" s="1"/>
      <c r="Y1" s="1"/>
      <c r="Z1" s="1"/>
      <c r="AA1" s="1"/>
      <c r="AB1" s="1"/>
      <c r="AC1" s="1"/>
      <c r="AD1" s="1"/>
      <c r="AE1" s="1"/>
      <c r="AF1" s="1"/>
      <c r="AG1" s="1"/>
      <c r="AH1" s="1"/>
      <c r="AI1" s="1"/>
      <c r="AJ1" s="1"/>
      <c r="AK1" s="1"/>
      <c r="AL1" s="1"/>
      <c r="AM1" s="1"/>
      <c r="AN1" s="1"/>
      <c r="AO1" s="1"/>
    </row>
    <row r="2" spans="1:41" ht="18" thickBot="1">
      <c r="A2" s="779"/>
      <c r="B2" s="780"/>
      <c r="C2" s="780"/>
      <c r="D2" s="780"/>
      <c r="E2" s="780"/>
      <c r="F2" s="780"/>
      <c r="G2" s="780"/>
      <c r="H2" s="780"/>
      <c r="I2" s="780"/>
      <c r="J2" s="780"/>
      <c r="K2" s="781"/>
      <c r="L2" s="1"/>
      <c r="M2" s="785"/>
      <c r="N2" s="786"/>
      <c r="O2" s="786"/>
      <c r="P2" s="786"/>
      <c r="Q2" s="787"/>
      <c r="R2" s="1"/>
      <c r="S2" s="785"/>
      <c r="T2" s="786"/>
      <c r="U2" s="786"/>
      <c r="V2" s="787"/>
      <c r="W2" s="1"/>
      <c r="X2" s="1"/>
      <c r="Y2" s="1"/>
      <c r="Z2" s="1"/>
      <c r="AA2" s="1"/>
      <c r="AB2" s="1"/>
      <c r="AC2" s="1"/>
      <c r="AD2" s="1"/>
      <c r="AE2" s="1"/>
      <c r="AF2" s="1"/>
      <c r="AG2" s="1"/>
      <c r="AH2" s="1"/>
      <c r="AI2" s="1"/>
      <c r="AJ2" s="1"/>
      <c r="AK2" s="1"/>
      <c r="AL2" s="1"/>
      <c r="AM2" s="1"/>
      <c r="AN2" s="1"/>
      <c r="AO2" s="1"/>
    </row>
    <row r="3" spans="1:41" ht="15" thickBo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row>
    <row r="4" spans="1:41" ht="15" thickBot="1">
      <c r="A4" s="1"/>
      <c r="B4" s="1"/>
      <c r="C4" s="1"/>
      <c r="D4" s="434"/>
      <c r="E4" s="434"/>
      <c r="F4" s="1"/>
      <c r="G4" s="1"/>
      <c r="H4" s="1"/>
      <c r="I4" s="1"/>
      <c r="J4" s="1"/>
      <c r="K4" s="1"/>
      <c r="L4" s="1"/>
      <c r="M4" s="1"/>
      <c r="N4" s="1"/>
      <c r="O4" s="1"/>
      <c r="P4" s="1"/>
      <c r="Q4" s="1"/>
      <c r="R4" s="1"/>
      <c r="S4" s="340" t="s">
        <v>419</v>
      </c>
      <c r="T4" s="341">
        <v>2017</v>
      </c>
      <c r="U4" s="341">
        <v>2018</v>
      </c>
      <c r="V4" s="459">
        <v>2019</v>
      </c>
      <c r="W4" s="1"/>
      <c r="X4" s="1"/>
      <c r="Y4" s="1"/>
      <c r="Z4" s="1"/>
      <c r="AA4" s="1"/>
      <c r="AB4" s="434"/>
      <c r="AC4" s="1"/>
      <c r="AD4" s="1"/>
      <c r="AE4" s="1"/>
      <c r="AF4" s="1"/>
      <c r="AG4" s="1"/>
      <c r="AH4" s="1"/>
      <c r="AI4" s="1"/>
      <c r="AJ4" s="1"/>
      <c r="AK4" s="1"/>
      <c r="AL4" s="1"/>
      <c r="AM4" s="1"/>
      <c r="AN4" s="1"/>
      <c r="AO4" s="1"/>
    </row>
    <row r="5" spans="1:41" ht="15" thickBot="1">
      <c r="A5" s="811" t="s">
        <v>491</v>
      </c>
      <c r="B5" s="771" t="s">
        <v>471</v>
      </c>
      <c r="C5" s="772"/>
      <c r="D5" s="783"/>
      <c r="E5" s="783"/>
      <c r="F5" s="784"/>
      <c r="G5" s="772" t="s">
        <v>747</v>
      </c>
      <c r="H5" s="772"/>
      <c r="I5" s="772"/>
      <c r="J5" s="772"/>
      <c r="K5" s="784"/>
      <c r="L5" s="1"/>
      <c r="M5" s="1"/>
      <c r="N5" s="1"/>
      <c r="O5" s="1"/>
      <c r="P5" s="1"/>
      <c r="Q5" s="1"/>
      <c r="R5" s="371"/>
      <c r="S5" s="790" t="s">
        <v>545</v>
      </c>
      <c r="T5" s="370"/>
      <c r="U5" s="610">
        <f>E11/E10</f>
        <v>3.5560516664008932E-2</v>
      </c>
      <c r="V5" s="435">
        <f>F11/F10</f>
        <v>2.8362819432743613E-2</v>
      </c>
      <c r="W5" s="52"/>
      <c r="X5" s="52"/>
      <c r="Y5" s="52"/>
      <c r="Z5" s="52"/>
      <c r="AA5" s="1"/>
      <c r="AB5" s="434"/>
      <c r="AC5" s="1"/>
      <c r="AD5" s="1"/>
      <c r="AE5" s="1"/>
      <c r="AF5" s="1"/>
      <c r="AG5" s="1"/>
      <c r="AH5" s="1"/>
      <c r="AI5" s="1"/>
      <c r="AJ5" s="1"/>
      <c r="AK5" s="1"/>
      <c r="AL5" s="1"/>
      <c r="AM5" s="1"/>
      <c r="AN5" s="1"/>
      <c r="AO5" s="1"/>
    </row>
    <row r="6" spans="1:41">
      <c r="A6" s="775"/>
      <c r="B6" s="1">
        <v>2015</v>
      </c>
      <c r="C6" s="1">
        <v>2016</v>
      </c>
      <c r="D6" s="1">
        <v>2017</v>
      </c>
      <c r="E6" s="1">
        <v>2018</v>
      </c>
      <c r="F6" s="369">
        <v>2019</v>
      </c>
      <c r="G6" s="1">
        <v>2020</v>
      </c>
      <c r="H6" s="1">
        <v>2021</v>
      </c>
      <c r="I6" s="1">
        <v>2022</v>
      </c>
      <c r="J6" s="1">
        <v>2023</v>
      </c>
      <c r="K6" s="369">
        <v>2024</v>
      </c>
      <c r="L6" s="1"/>
      <c r="M6" s="1"/>
      <c r="N6" s="1"/>
      <c r="O6" s="1"/>
      <c r="P6" s="1"/>
      <c r="Q6" s="1"/>
      <c r="R6" s="415"/>
      <c r="S6" s="792" t="s">
        <v>749</v>
      </c>
      <c r="T6" s="610">
        <f>AVERAGE(U5:V5)</f>
        <v>3.1961668048376274E-2</v>
      </c>
      <c r="U6" s="610"/>
      <c r="V6" s="278"/>
      <c r="W6" s="52"/>
      <c r="X6" s="52"/>
      <c r="Y6" s="52"/>
      <c r="Z6" s="52"/>
      <c r="AA6" s="1"/>
      <c r="AB6" s="434"/>
      <c r="AC6" s="1"/>
      <c r="AD6" s="1"/>
      <c r="AE6" s="1"/>
      <c r="AF6" s="1"/>
      <c r="AG6" s="1"/>
      <c r="AH6" s="1"/>
      <c r="AI6" s="1"/>
      <c r="AJ6" s="1"/>
      <c r="AK6" s="1"/>
      <c r="AL6" s="1"/>
      <c r="AM6" s="1"/>
      <c r="AN6" s="1"/>
      <c r="AO6" s="1"/>
    </row>
    <row r="7" spans="1:41">
      <c r="A7" s="595"/>
      <c r="B7" s="1"/>
      <c r="C7" s="1"/>
      <c r="D7" s="434"/>
      <c r="E7" s="434"/>
      <c r="F7" s="369"/>
      <c r="G7" s="1"/>
      <c r="H7" s="1"/>
      <c r="I7" s="1"/>
      <c r="J7" s="1"/>
      <c r="K7" s="369"/>
      <c r="L7" s="1"/>
      <c r="M7" s="1"/>
      <c r="N7" s="1"/>
      <c r="O7" s="1"/>
      <c r="P7" s="1"/>
      <c r="Q7" s="1"/>
      <c r="R7" s="1"/>
      <c r="S7" s="791"/>
      <c r="T7" s="610"/>
      <c r="U7" s="610"/>
      <c r="V7" s="278"/>
      <c r="W7" s="52"/>
      <c r="X7" s="370"/>
      <c r="Y7" s="370"/>
      <c r="Z7" s="52"/>
      <c r="AA7" s="1"/>
      <c r="AB7" s="434"/>
      <c r="AC7" s="1"/>
      <c r="AD7" s="1"/>
      <c r="AE7" s="1"/>
      <c r="AF7" s="1"/>
      <c r="AG7" s="1"/>
      <c r="AH7" s="1"/>
      <c r="AI7" s="1"/>
      <c r="AJ7" s="1"/>
      <c r="AK7" s="1"/>
      <c r="AL7" s="1"/>
      <c r="AM7" s="1"/>
      <c r="AN7" s="1"/>
      <c r="AO7" s="1"/>
    </row>
    <row r="8" spans="1:41">
      <c r="A8" s="595" t="s">
        <v>492</v>
      </c>
      <c r="B8" s="1">
        <f>'Reorganised Statements'!D53</f>
        <v>3947</v>
      </c>
      <c r="C8" s="1">
        <f>'Reorganised Statements'!E53</f>
        <v>3734</v>
      </c>
      <c r="D8" s="1">
        <f>'Reorganised Statements'!F53</f>
        <v>4633</v>
      </c>
      <c r="E8" s="1">
        <f>'Reorganised Statements'!G53</f>
        <v>5268</v>
      </c>
      <c r="F8" s="369">
        <f>'Reorganised Statements'!H53</f>
        <v>6046</v>
      </c>
      <c r="G8" s="1"/>
      <c r="H8" s="1"/>
      <c r="I8" s="1"/>
      <c r="J8" s="1"/>
      <c r="K8" s="369"/>
      <c r="L8" s="1"/>
      <c r="M8" s="1"/>
      <c r="N8" s="1"/>
      <c r="O8" s="1"/>
      <c r="P8" s="1"/>
      <c r="Q8" s="1"/>
      <c r="R8" s="371"/>
      <c r="S8" s="792" t="s">
        <v>547</v>
      </c>
      <c r="T8" s="370">
        <f>-D15/D10</f>
        <v>0.50644007155635062</v>
      </c>
      <c r="U8" s="370">
        <f t="shared" ref="U8:V8" si="0">-E15/E10</f>
        <v>0.53356721416042097</v>
      </c>
      <c r="V8" s="435">
        <f t="shared" si="0"/>
        <v>0.56220162875596746</v>
      </c>
      <c r="W8" s="52"/>
      <c r="X8" s="610"/>
      <c r="Y8" s="52"/>
      <c r="Z8" s="52"/>
      <c r="AA8" s="1"/>
      <c r="AB8" s="434"/>
      <c r="AC8" s="1"/>
      <c r="AD8" s="1"/>
      <c r="AE8" s="1"/>
      <c r="AF8" s="1"/>
      <c r="AG8" s="1"/>
      <c r="AH8" s="1"/>
      <c r="AI8" s="1"/>
      <c r="AJ8" s="1"/>
      <c r="AK8" s="1"/>
      <c r="AL8" s="1"/>
      <c r="AM8" s="1"/>
      <c r="AN8" s="1"/>
      <c r="AO8" s="1"/>
    </row>
    <row r="9" spans="1:41">
      <c r="A9" s="595" t="s">
        <v>169</v>
      </c>
      <c r="B9" s="1">
        <f>'Reorganised Statements'!D54</f>
        <v>785</v>
      </c>
      <c r="C9" s="1">
        <f>'Reorganised Statements'!E54</f>
        <v>847</v>
      </c>
      <c r="D9" s="1">
        <f>'Reorganised Statements'!F54</f>
        <v>957</v>
      </c>
      <c r="E9" s="1">
        <f>'Reorganised Statements'!G54</f>
        <v>1003</v>
      </c>
      <c r="F9" s="369">
        <f>'Reorganised Statements'!H54</f>
        <v>1076</v>
      </c>
      <c r="G9" s="1"/>
      <c r="H9" s="1"/>
      <c r="I9" s="1"/>
      <c r="J9" s="1"/>
      <c r="K9" s="369"/>
      <c r="L9" s="1"/>
      <c r="M9" s="1"/>
      <c r="N9" s="1"/>
      <c r="O9" s="1"/>
      <c r="P9" s="1"/>
      <c r="Q9" s="1"/>
      <c r="R9" s="415"/>
      <c r="S9" s="792" t="s">
        <v>750</v>
      </c>
      <c r="T9" s="370">
        <f>AVERAGE(T8:V8)</f>
        <v>0.53406963815757968</v>
      </c>
      <c r="U9" s="370"/>
      <c r="V9" s="278"/>
      <c r="W9" s="52"/>
      <c r="X9" s="52"/>
      <c r="Y9" s="52"/>
      <c r="Z9" s="52"/>
      <c r="AA9" s="1"/>
      <c r="AB9" s="434"/>
      <c r="AC9" s="1"/>
      <c r="AD9" s="1"/>
      <c r="AE9" s="1"/>
      <c r="AF9" s="1"/>
      <c r="AG9" s="1"/>
      <c r="AH9" s="1"/>
      <c r="AI9" s="1"/>
      <c r="AJ9" s="1"/>
      <c r="AK9" s="1"/>
      <c r="AL9" s="1"/>
      <c r="AM9" s="1"/>
      <c r="AN9" s="1"/>
      <c r="AO9" s="1"/>
    </row>
    <row r="10" spans="1:41">
      <c r="A10" s="812" t="s">
        <v>546</v>
      </c>
      <c r="B10" s="506">
        <f>B8+B9</f>
        <v>4732</v>
      </c>
      <c r="C10" s="506">
        <f t="shared" ref="C10:F10" si="1">C8+C9</f>
        <v>4581</v>
      </c>
      <c r="D10" s="506">
        <f t="shared" si="1"/>
        <v>5590</v>
      </c>
      <c r="E10" s="506">
        <f t="shared" si="1"/>
        <v>6271</v>
      </c>
      <c r="F10" s="507">
        <f t="shared" si="1"/>
        <v>7122</v>
      </c>
      <c r="G10" s="506">
        <f>G25/G26</f>
        <v>7229.9878811512444</v>
      </c>
      <c r="H10" s="506">
        <f t="shared" ref="H10:J10" si="2">H25/H26</f>
        <v>7339.613136983131</v>
      </c>
      <c r="I10" s="506">
        <f t="shared" si="2"/>
        <v>7450.9005943171169</v>
      </c>
      <c r="J10" s="506">
        <f t="shared" si="2"/>
        <v>7563.8754564132787</v>
      </c>
      <c r="K10" s="507">
        <f>K25/K26</f>
        <v>7675.7218275645055</v>
      </c>
      <c r="L10" s="1"/>
      <c r="M10" s="1"/>
      <c r="N10" s="1"/>
      <c r="O10" s="1"/>
      <c r="P10" s="1"/>
      <c r="Q10" s="1"/>
      <c r="R10" s="415"/>
      <c r="S10" s="792"/>
      <c r="T10" s="370"/>
      <c r="U10" s="370"/>
      <c r="V10" s="278"/>
      <c r="W10" s="52"/>
      <c r="X10" s="370"/>
      <c r="Y10" s="370"/>
      <c r="Z10" s="370"/>
      <c r="AA10" s="371"/>
      <c r="AB10" s="371"/>
      <c r="AC10" s="1"/>
      <c r="AD10" s="1"/>
      <c r="AE10" s="1"/>
      <c r="AF10" s="1"/>
      <c r="AG10" s="1"/>
      <c r="AH10" s="1"/>
      <c r="AI10" s="1"/>
      <c r="AJ10" s="1"/>
      <c r="AK10" s="1"/>
      <c r="AL10" s="1"/>
      <c r="AM10" s="1"/>
      <c r="AN10" s="1"/>
      <c r="AO10" s="1"/>
    </row>
    <row r="11" spans="1:41">
      <c r="A11" s="96" t="s">
        <v>173</v>
      </c>
      <c r="B11" s="456">
        <f>'Reorganised Statements'!D56</f>
        <v>189</v>
      </c>
      <c r="C11" s="456">
        <f>'Reorganised Statements'!E56</f>
        <v>279</v>
      </c>
      <c r="D11" s="456">
        <f>'Reorganised Statements'!F56</f>
        <v>206</v>
      </c>
      <c r="E11" s="456">
        <f>'Reorganised Statements'!G56</f>
        <v>223</v>
      </c>
      <c r="F11" s="457">
        <f>'Reorganised Statements'!H56</f>
        <v>202</v>
      </c>
      <c r="G11" s="456">
        <f>G10*T6</f>
        <v>231.0824726511394</v>
      </c>
      <c r="H11" s="456">
        <f>T6*H10</f>
        <v>234.58627868775648</v>
      </c>
      <c r="I11" s="456">
        <f>T6*I10</f>
        <v>238.14321145701319</v>
      </c>
      <c r="J11" s="456">
        <f>T6*J10</f>
        <v>241.7540764971418</v>
      </c>
      <c r="K11" s="457">
        <f>T6*K10</f>
        <v>245.32887308429278</v>
      </c>
      <c r="L11" s="1"/>
      <c r="M11" s="1"/>
      <c r="N11" s="1"/>
      <c r="O11" s="1"/>
      <c r="P11" s="1"/>
      <c r="Q11" s="1"/>
      <c r="R11" s="371"/>
      <c r="S11" s="792" t="s">
        <v>548</v>
      </c>
      <c r="T11" s="370">
        <f>-D16/D10</f>
        <v>0.15205724508050089</v>
      </c>
      <c r="U11" s="370">
        <f t="shared" ref="U11:V11" si="3">-E16/E10</f>
        <v>0.15723170148301707</v>
      </c>
      <c r="V11" s="435">
        <f t="shared" si="3"/>
        <v>0.16175231676495366</v>
      </c>
      <c r="W11" s="52"/>
      <c r="X11" s="610"/>
      <c r="Y11" s="52"/>
      <c r="Z11" s="52"/>
      <c r="AA11" s="1"/>
      <c r="AB11" s="434"/>
      <c r="AC11" s="1"/>
      <c r="AD11" s="1"/>
      <c r="AE11" s="1"/>
      <c r="AF11" s="1"/>
      <c r="AG11" s="1"/>
      <c r="AH11" s="1"/>
      <c r="AI11" s="1"/>
      <c r="AJ11" s="1"/>
      <c r="AK11" s="1"/>
      <c r="AL11" s="1"/>
      <c r="AM11" s="1"/>
      <c r="AN11" s="1"/>
      <c r="AO11" s="1"/>
    </row>
    <row r="12" spans="1:41">
      <c r="A12" s="71" t="s">
        <v>457</v>
      </c>
      <c r="B12" s="447">
        <f>B8+B9+B11</f>
        <v>4921</v>
      </c>
      <c r="C12" s="447">
        <f t="shared" ref="C12:F12" si="4">C8+C9+C11</f>
        <v>4860</v>
      </c>
      <c r="D12" s="447">
        <f t="shared" si="4"/>
        <v>5796</v>
      </c>
      <c r="E12" s="447">
        <f t="shared" si="4"/>
        <v>6494</v>
      </c>
      <c r="F12" s="448">
        <f t="shared" si="4"/>
        <v>7324</v>
      </c>
      <c r="G12" s="447">
        <f>G10+G11</f>
        <v>7461.0703538023836</v>
      </c>
      <c r="H12" s="447">
        <f t="shared" ref="H12:K12" si="5">H10+H11</f>
        <v>7574.1994156708879</v>
      </c>
      <c r="I12" s="447">
        <f t="shared" si="5"/>
        <v>7689.0438057741303</v>
      </c>
      <c r="J12" s="447">
        <f t="shared" si="5"/>
        <v>7805.6295329104205</v>
      </c>
      <c r="K12" s="448">
        <f t="shared" si="5"/>
        <v>7921.0507006487978</v>
      </c>
      <c r="L12" s="1"/>
      <c r="M12" s="1"/>
      <c r="N12" s="1"/>
      <c r="O12" s="1"/>
      <c r="P12" s="1"/>
      <c r="Q12" s="1"/>
      <c r="R12" s="415"/>
      <c r="S12" s="792" t="s">
        <v>750</v>
      </c>
      <c r="T12" s="370">
        <f>AVERAGE(T11:V11)</f>
        <v>0.15701375444282387</v>
      </c>
      <c r="U12" s="370"/>
      <c r="V12" s="278"/>
      <c r="W12" s="52"/>
      <c r="X12" s="52"/>
      <c r="Y12" s="52"/>
      <c r="Z12" s="52"/>
      <c r="AA12" s="1"/>
      <c r="AB12" s="434"/>
      <c r="AC12" s="1"/>
      <c r="AD12" s="1"/>
      <c r="AE12" s="1"/>
      <c r="AF12" s="1"/>
      <c r="AG12" s="1"/>
      <c r="AH12" s="1"/>
      <c r="AI12" s="1"/>
      <c r="AJ12" s="1"/>
      <c r="AK12" s="1"/>
      <c r="AL12" s="1"/>
      <c r="AM12" s="1"/>
      <c r="AN12" s="1"/>
      <c r="AO12" s="1"/>
    </row>
    <row r="13" spans="1:41">
      <c r="A13" s="595"/>
      <c r="B13" s="1"/>
      <c r="C13" s="1"/>
      <c r="D13" s="434"/>
      <c r="E13" s="434"/>
      <c r="F13" s="369"/>
      <c r="G13" s="1"/>
      <c r="H13" s="1"/>
      <c r="I13" s="1"/>
      <c r="J13" s="1"/>
      <c r="K13" s="369"/>
      <c r="L13" s="1"/>
      <c r="M13" s="1"/>
      <c r="N13" s="1"/>
      <c r="O13" s="1"/>
      <c r="P13" s="1"/>
      <c r="Q13" s="1"/>
      <c r="R13" s="415"/>
      <c r="S13" s="792"/>
      <c r="T13" s="370"/>
      <c r="U13" s="370"/>
      <c r="V13" s="278"/>
      <c r="W13" s="52"/>
      <c r="X13" s="370"/>
      <c r="Y13" s="370"/>
      <c r="Z13" s="370"/>
      <c r="AA13" s="1"/>
      <c r="AB13" s="434"/>
      <c r="AC13" s="1"/>
      <c r="AD13" s="1"/>
      <c r="AE13" s="1"/>
      <c r="AF13" s="1"/>
      <c r="AG13" s="1"/>
      <c r="AH13" s="1"/>
      <c r="AI13" s="1"/>
      <c r="AJ13" s="1"/>
      <c r="AK13" s="1"/>
      <c r="AL13" s="1"/>
      <c r="AM13" s="1"/>
      <c r="AN13" s="1"/>
      <c r="AO13" s="1"/>
    </row>
    <row r="14" spans="1:41">
      <c r="A14" s="96" t="s">
        <v>493</v>
      </c>
      <c r="B14" s="101"/>
      <c r="C14" s="101"/>
      <c r="D14" s="377"/>
      <c r="E14" s="377"/>
      <c r="F14" s="99"/>
      <c r="G14" s="101"/>
      <c r="H14" s="101"/>
      <c r="I14" s="101"/>
      <c r="J14" s="101"/>
      <c r="K14" s="99"/>
      <c r="L14" s="1"/>
      <c r="M14" s="1"/>
      <c r="N14" s="1"/>
      <c r="O14" s="1"/>
      <c r="P14" s="1"/>
      <c r="Q14" s="1"/>
      <c r="R14" s="371"/>
      <c r="S14" s="792" t="s">
        <v>549</v>
      </c>
      <c r="T14" s="370">
        <f>-D18/D10</f>
        <v>0.11359570661896243</v>
      </c>
      <c r="U14" s="370">
        <f t="shared" ref="U14:V14" si="6">-E18/E10</f>
        <v>0.10604369319087865</v>
      </c>
      <c r="V14" s="435">
        <f t="shared" si="6"/>
        <v>9.828699803426004E-2</v>
      </c>
      <c r="W14" s="52"/>
      <c r="X14" s="610"/>
      <c r="Y14" s="52"/>
      <c r="Z14" s="52"/>
      <c r="AA14" s="1"/>
      <c r="AB14" s="434"/>
      <c r="AC14" s="1"/>
      <c r="AD14" s="1"/>
      <c r="AE14" s="1"/>
      <c r="AF14" s="1"/>
      <c r="AG14" s="1"/>
      <c r="AH14" s="1"/>
      <c r="AI14" s="1"/>
      <c r="AJ14" s="1"/>
      <c r="AK14" s="1"/>
      <c r="AL14" s="1"/>
      <c r="AM14" s="1"/>
      <c r="AN14" s="1"/>
      <c r="AO14" s="1"/>
    </row>
    <row r="15" spans="1:41" ht="15" thickBot="1">
      <c r="A15" s="595" t="s">
        <v>177</v>
      </c>
      <c r="B15" s="1">
        <f xml:space="preserve"> 'Reorganised Statements'!D58</f>
        <v>-2286</v>
      </c>
      <c r="C15" s="1">
        <f xml:space="preserve"> 'Reorganised Statements'!E58</f>
        <v>-2101</v>
      </c>
      <c r="D15" s="1">
        <f xml:space="preserve"> 'Reorganised Statements'!F58</f>
        <v>-2831</v>
      </c>
      <c r="E15" s="1">
        <f xml:space="preserve"> 'Reorganised Statements'!G58</f>
        <v>-3346</v>
      </c>
      <c r="F15" s="369">
        <f xml:space="preserve"> 'Reorganised Statements'!H58</f>
        <v>-4004</v>
      </c>
      <c r="G15" s="446">
        <f>-G10*T9</f>
        <v>-3861.3170115701314</v>
      </c>
      <c r="H15" s="446">
        <f>-H10*T9</f>
        <v>-3919.8645322851989</v>
      </c>
      <c r="I15" s="446">
        <f>-I10*T9</f>
        <v>-3979.2997843550379</v>
      </c>
      <c r="J15" s="446">
        <f>-T9*J10</f>
        <v>-4039.6362280756375</v>
      </c>
      <c r="K15" s="458">
        <f>-T9*K10</f>
        <v>-4099.3699790456121</v>
      </c>
      <c r="L15" s="1"/>
      <c r="M15" s="1"/>
      <c r="N15" s="1"/>
      <c r="O15" s="1"/>
      <c r="P15" s="1"/>
      <c r="Q15" s="1"/>
      <c r="R15" s="415"/>
      <c r="S15" s="796" t="s">
        <v>750</v>
      </c>
      <c r="T15" s="494">
        <f>AVERAGE(T14:V14)</f>
        <v>0.10597546594803371</v>
      </c>
      <c r="U15" s="494"/>
      <c r="V15" s="281"/>
      <c r="W15" s="52"/>
      <c r="X15" s="52"/>
      <c r="Y15" s="52"/>
      <c r="Z15" s="52"/>
      <c r="AA15" s="1"/>
      <c r="AB15" s="434"/>
      <c r="AC15" s="1"/>
      <c r="AD15" s="1"/>
      <c r="AE15" s="1"/>
      <c r="AF15" s="1"/>
      <c r="AG15" s="1"/>
      <c r="AH15" s="1"/>
      <c r="AI15" s="1"/>
      <c r="AJ15" s="1"/>
      <c r="AK15" s="1"/>
      <c r="AL15" s="1"/>
      <c r="AM15" s="1"/>
      <c r="AN15" s="1"/>
      <c r="AO15" s="1"/>
    </row>
    <row r="16" spans="1:41">
      <c r="A16" s="595" t="s">
        <v>179</v>
      </c>
      <c r="B16" s="1">
        <f xml:space="preserve"> 'Reorganised Statements'!D59</f>
        <v>-706</v>
      </c>
      <c r="C16" s="1">
        <f xml:space="preserve"> 'Reorganised Statements'!E59</f>
        <v>-758</v>
      </c>
      <c r="D16" s="1">
        <f xml:space="preserve"> 'Reorganised Statements'!F59</f>
        <v>-850</v>
      </c>
      <c r="E16" s="1">
        <f xml:space="preserve"> 'Reorganised Statements'!G59</f>
        <v>-986</v>
      </c>
      <c r="F16" s="369">
        <f xml:space="preserve"> 'Reorganised Statements'!H59</f>
        <v>-1152</v>
      </c>
      <c r="G16" s="446">
        <f>-T12*G10</f>
        <v>-1135.2075417956739</v>
      </c>
      <c r="H16" s="446">
        <f>-T12*H10</f>
        <v>-1152.4202147955934</v>
      </c>
      <c r="I16" s="446">
        <f>-T12*I10</f>
        <v>-1169.8938762939981</v>
      </c>
      <c r="J16" s="446">
        <f>-T12*J10</f>
        <v>-1187.6324835493767</v>
      </c>
      <c r="K16" s="458">
        <f>-T12*K10</f>
        <v>-1205.1939022046365</v>
      </c>
      <c r="L16" s="1"/>
      <c r="M16" s="1"/>
      <c r="N16" s="1"/>
      <c r="O16" s="1"/>
      <c r="P16" s="1"/>
      <c r="Q16" s="1"/>
      <c r="R16" s="1"/>
      <c r="S16" s="1"/>
      <c r="T16" s="52"/>
      <c r="U16" s="52"/>
      <c r="V16" s="52"/>
      <c r="W16" s="52"/>
      <c r="X16" s="370"/>
      <c r="Y16" s="370"/>
      <c r="Z16" s="370"/>
      <c r="AA16" s="1"/>
      <c r="AB16" s="434"/>
      <c r="AC16" s="1"/>
      <c r="AD16" s="1"/>
      <c r="AE16" s="1"/>
      <c r="AF16" s="1"/>
      <c r="AG16" s="1"/>
      <c r="AH16" s="1"/>
      <c r="AI16" s="1"/>
      <c r="AJ16" s="1"/>
      <c r="AK16" s="1"/>
      <c r="AL16" s="1"/>
      <c r="AM16" s="1"/>
      <c r="AN16" s="1"/>
      <c r="AO16" s="1"/>
    </row>
    <row r="17" spans="1:41">
      <c r="A17" s="595" t="s">
        <v>183</v>
      </c>
      <c r="B17" s="1">
        <f xml:space="preserve"> 'Reorganised Statements'!D60</f>
        <v>-252</v>
      </c>
      <c r="C17" s="1">
        <f xml:space="preserve"> 'Reorganised Statements'!E60</f>
        <v>-243</v>
      </c>
      <c r="D17" s="1">
        <f xml:space="preserve"> 'Reorganised Statements'!F60</f>
        <v>-281</v>
      </c>
      <c r="E17" s="1">
        <f xml:space="preserve"> 'Reorganised Statements'!G60</f>
        <v>-266</v>
      </c>
      <c r="F17" s="369">
        <f xml:space="preserve"> 'Reorganised Statements'!H60</f>
        <v>-234</v>
      </c>
      <c r="G17" s="446">
        <f>(G19-G15-G16-G18)</f>
        <v>-394.3485356689381</v>
      </c>
      <c r="H17" s="446">
        <f t="shared" ref="H17:K17" si="7">(H19-H15-H16-H18)</f>
        <v>-346.13352111880317</v>
      </c>
      <c r="I17" s="446">
        <f t="shared" si="7"/>
        <v>-294.11338730152363</v>
      </c>
      <c r="J17" s="446">
        <f t="shared" si="7"/>
        <v>-238.05606978490357</v>
      </c>
      <c r="K17" s="458">
        <f t="shared" si="7"/>
        <v>-177.04862284693229</v>
      </c>
      <c r="L17" s="1"/>
      <c r="M17" s="1"/>
      <c r="N17" s="1"/>
      <c r="O17" s="1"/>
      <c r="P17" s="1"/>
      <c r="Q17" s="1"/>
      <c r="R17" s="1"/>
      <c r="S17" s="1"/>
      <c r="T17" s="52"/>
      <c r="U17" s="52"/>
      <c r="V17" s="52"/>
      <c r="W17" s="52"/>
      <c r="X17" s="610"/>
      <c r="Y17" s="52"/>
      <c r="Z17" s="52"/>
      <c r="AA17" s="1"/>
      <c r="AB17" s="434"/>
      <c r="AC17" s="1"/>
      <c r="AD17" s="1"/>
      <c r="AE17" s="1"/>
      <c r="AF17" s="1"/>
      <c r="AG17" s="1"/>
      <c r="AH17" s="1"/>
      <c r="AI17" s="1"/>
      <c r="AJ17" s="1"/>
      <c r="AK17" s="1"/>
      <c r="AL17" s="1"/>
      <c r="AM17" s="1"/>
      <c r="AN17" s="1"/>
      <c r="AO17" s="1"/>
    </row>
    <row r="18" spans="1:41">
      <c r="A18" s="96" t="s">
        <v>310</v>
      </c>
      <c r="B18" s="101">
        <f xml:space="preserve"> 'Reorganised Statements'!D61</f>
        <v>-629</v>
      </c>
      <c r="C18" s="101">
        <f xml:space="preserve"> 'Reorganised Statements'!E61</f>
        <v>-596</v>
      </c>
      <c r="D18" s="101">
        <f xml:space="preserve"> 'Reorganised Statements'!F61</f>
        <v>-635</v>
      </c>
      <c r="E18" s="101">
        <f xml:space="preserve"> 'Reorganised Statements'!G61</f>
        <v>-665</v>
      </c>
      <c r="F18" s="99">
        <f xml:space="preserve"> 'Reorganised Statements'!H61</f>
        <v>-700</v>
      </c>
      <c r="G18" s="456">
        <f>-T15*G10</f>
        <v>-766.20133450364017</v>
      </c>
      <c r="H18" s="456">
        <f>-T15*H10</f>
        <v>-777.81892207009673</v>
      </c>
      <c r="I18" s="456">
        <f>-T15*I10</f>
        <v>-789.61266221523772</v>
      </c>
      <c r="J18" s="456">
        <f>-T15*J10</f>
        <v>-801.5852258662934</v>
      </c>
      <c r="K18" s="457">
        <f>-T15*K10</f>
        <v>-813.43819716364135</v>
      </c>
      <c r="L18" s="1"/>
      <c r="M18" s="1"/>
      <c r="N18" s="1"/>
      <c r="O18" s="1"/>
      <c r="P18" s="1"/>
      <c r="Q18" s="1"/>
      <c r="R18" s="1"/>
      <c r="S18" s="1"/>
      <c r="T18" s="1"/>
      <c r="U18" s="1"/>
      <c r="V18" s="1"/>
      <c r="W18" s="1"/>
      <c r="X18" s="1"/>
      <c r="Y18" s="1"/>
      <c r="Z18" s="1"/>
      <c r="AA18" s="1"/>
      <c r="AB18" s="434"/>
      <c r="AC18" s="1"/>
      <c r="AD18" s="1"/>
      <c r="AE18" s="1"/>
      <c r="AF18" s="1"/>
      <c r="AG18" s="1"/>
      <c r="AH18" s="1"/>
      <c r="AI18" s="1"/>
      <c r="AJ18" s="1"/>
      <c r="AK18" s="1"/>
      <c r="AL18" s="1"/>
      <c r="AM18" s="1"/>
      <c r="AN18" s="1"/>
      <c r="AO18" s="1"/>
    </row>
    <row r="19" spans="1:41">
      <c r="A19" s="71" t="s">
        <v>494</v>
      </c>
      <c r="B19" s="434">
        <f>B15+B16+B17+B18</f>
        <v>-3873</v>
      </c>
      <c r="C19" s="434">
        <f t="shared" ref="C19:F19" si="8">C15+C16+C17+C18</f>
        <v>-3698</v>
      </c>
      <c r="D19" s="434">
        <f t="shared" si="8"/>
        <v>-4597</v>
      </c>
      <c r="E19" s="434">
        <f t="shared" si="8"/>
        <v>-5263</v>
      </c>
      <c r="F19" s="445">
        <f t="shared" si="8"/>
        <v>-6090</v>
      </c>
      <c r="G19" s="447">
        <f>-(G12-G25)</f>
        <v>-6157.0744235383836</v>
      </c>
      <c r="H19" s="447">
        <f t="shared" ref="H19:K19" si="9">-(H12-H25)</f>
        <v>-6196.2371902696923</v>
      </c>
      <c r="I19" s="447">
        <f t="shared" si="9"/>
        <v>-6232.9197101657974</v>
      </c>
      <c r="J19" s="447">
        <f t="shared" si="9"/>
        <v>-6266.9100072762112</v>
      </c>
      <c r="K19" s="448">
        <f t="shared" si="9"/>
        <v>-6295.0507012608223</v>
      </c>
      <c r="L19" s="1"/>
      <c r="M19" s="1"/>
      <c r="N19" s="1"/>
      <c r="O19" s="1"/>
      <c r="P19" s="1"/>
      <c r="Q19" s="1"/>
      <c r="R19" s="1"/>
      <c r="S19" s="1"/>
      <c r="T19" s="1"/>
      <c r="U19" s="1"/>
      <c r="V19" s="1"/>
      <c r="W19" s="1"/>
      <c r="X19" s="1"/>
      <c r="Y19" s="1"/>
      <c r="Z19" s="1"/>
      <c r="AA19" s="1"/>
      <c r="AB19" s="434"/>
      <c r="AC19" s="1"/>
      <c r="AD19" s="1"/>
      <c r="AE19" s="1"/>
      <c r="AF19" s="1"/>
      <c r="AG19" s="1"/>
      <c r="AH19" s="1"/>
      <c r="AI19" s="1"/>
      <c r="AJ19" s="1"/>
      <c r="AK19" s="1"/>
      <c r="AL19" s="1"/>
      <c r="AM19" s="1"/>
      <c r="AN19" s="1"/>
      <c r="AO19" s="1"/>
    </row>
    <row r="20" spans="1:41">
      <c r="A20" s="595"/>
      <c r="B20" s="1"/>
      <c r="C20" s="1"/>
      <c r="D20" s="434"/>
      <c r="E20" s="434"/>
      <c r="F20" s="369"/>
      <c r="G20" s="1"/>
      <c r="H20" s="1"/>
      <c r="I20" s="1"/>
      <c r="J20" s="1"/>
      <c r="K20" s="369"/>
      <c r="L20" s="1"/>
      <c r="M20" s="1"/>
      <c r="N20" s="1"/>
      <c r="O20" s="1"/>
      <c r="P20" s="1"/>
      <c r="Q20" s="1"/>
      <c r="R20" s="1"/>
      <c r="S20" s="1"/>
      <c r="T20" s="1"/>
      <c r="U20" s="1"/>
      <c r="V20" s="1"/>
      <c r="W20" s="1"/>
      <c r="X20" s="1"/>
      <c r="Y20" s="1"/>
      <c r="Z20" s="1"/>
      <c r="AA20" s="1"/>
      <c r="AB20" s="434"/>
      <c r="AC20" s="1"/>
      <c r="AD20" s="1"/>
      <c r="AE20" s="1"/>
      <c r="AF20" s="1"/>
      <c r="AG20" s="1"/>
      <c r="AH20" s="1"/>
      <c r="AI20" s="1"/>
      <c r="AJ20" s="1"/>
      <c r="AK20" s="1"/>
      <c r="AL20" s="1"/>
      <c r="AM20" s="1"/>
      <c r="AN20" s="1"/>
      <c r="AO20" s="1"/>
    </row>
    <row r="21" spans="1:41">
      <c r="A21" s="595" t="s">
        <v>766</v>
      </c>
      <c r="B21" s="371">
        <f>-(B19/B12)</f>
        <v>0.78703515545620806</v>
      </c>
      <c r="C21" s="371">
        <f t="shared" ref="C21:F21" si="10">-(C19/C12)</f>
        <v>0.76090534979423863</v>
      </c>
      <c r="D21" s="371">
        <f t="shared" si="10"/>
        <v>0.79313319530710835</v>
      </c>
      <c r="E21" s="371">
        <f t="shared" si="10"/>
        <v>0.81044040652910376</v>
      </c>
      <c r="F21" s="437">
        <f t="shared" si="10"/>
        <v>0.83151283451665758</v>
      </c>
      <c r="G21" s="371">
        <f>-(G19/G12)</f>
        <v>0.82522669423704809</v>
      </c>
      <c r="H21" s="371">
        <f t="shared" ref="H21:J21" si="11">-(H19/H12)</f>
        <v>0.81807156772896483</v>
      </c>
      <c r="I21" s="371">
        <f t="shared" si="11"/>
        <v>0.8106235141338578</v>
      </c>
      <c r="J21" s="371">
        <f t="shared" si="11"/>
        <v>0.80287054117203538</v>
      </c>
      <c r="K21" s="437">
        <f>-(K19/K12)</f>
        <v>0.79472420252848619</v>
      </c>
      <c r="L21" s="1"/>
      <c r="M21" s="1"/>
      <c r="N21" s="1"/>
      <c r="O21" s="1"/>
      <c r="P21" s="1"/>
      <c r="Q21" s="1"/>
      <c r="R21" s="1"/>
      <c r="S21" s="1"/>
      <c r="T21" s="1"/>
      <c r="U21" s="1"/>
      <c r="V21" s="1"/>
      <c r="W21" s="1"/>
      <c r="X21" s="1"/>
      <c r="Y21" s="1"/>
      <c r="Z21" s="1"/>
      <c r="AA21" s="1"/>
      <c r="AB21" s="434"/>
      <c r="AC21" s="1"/>
      <c r="AD21" s="1"/>
      <c r="AE21" s="1"/>
      <c r="AF21" s="1"/>
      <c r="AG21" s="1"/>
      <c r="AH21" s="1"/>
      <c r="AI21" s="1"/>
      <c r="AJ21" s="1"/>
      <c r="AK21" s="1"/>
      <c r="AL21" s="1"/>
      <c r="AM21" s="1"/>
      <c r="AN21" s="1"/>
      <c r="AO21" s="1"/>
    </row>
    <row r="22" spans="1:41">
      <c r="A22" s="595"/>
      <c r="B22" s="1"/>
      <c r="C22" s="1"/>
      <c r="D22" s="434"/>
      <c r="E22" s="434"/>
      <c r="F22" s="369"/>
      <c r="G22" s="1"/>
      <c r="H22" s="1"/>
      <c r="I22" s="1"/>
      <c r="J22" s="1"/>
      <c r="K22" s="369"/>
      <c r="L22" s="1"/>
      <c r="M22" s="1"/>
      <c r="N22" s="1"/>
      <c r="O22" s="1"/>
      <c r="P22" s="1"/>
      <c r="Q22" s="1"/>
      <c r="R22" s="1"/>
      <c r="S22" s="1"/>
      <c r="T22" s="1"/>
      <c r="U22" s="1"/>
      <c r="V22" s="1"/>
      <c r="W22" s="1"/>
      <c r="X22" s="1"/>
      <c r="Y22" s="1"/>
      <c r="Z22" s="1"/>
      <c r="AA22" s="1"/>
      <c r="AB22" s="434"/>
      <c r="AC22" s="1"/>
      <c r="AD22" s="1"/>
      <c r="AE22" s="1"/>
      <c r="AF22" s="1"/>
      <c r="AG22" s="1"/>
      <c r="AH22" s="1"/>
      <c r="AI22" s="1"/>
      <c r="AJ22" s="1"/>
      <c r="AK22" s="1"/>
      <c r="AL22" s="1"/>
      <c r="AM22" s="1"/>
      <c r="AN22" s="1"/>
      <c r="AO22" s="1"/>
    </row>
    <row r="23" spans="1:41">
      <c r="A23" s="595"/>
      <c r="B23" s="1"/>
      <c r="C23" s="1"/>
      <c r="D23" s="434"/>
      <c r="E23" s="434"/>
      <c r="F23" s="369"/>
      <c r="G23" s="1"/>
      <c r="H23" s="1"/>
      <c r="I23" s="1"/>
      <c r="J23" s="1"/>
      <c r="K23" s="369"/>
      <c r="L23" s="1"/>
      <c r="M23" s="1"/>
      <c r="N23" s="1"/>
      <c r="O23" s="1"/>
      <c r="P23" s="1"/>
      <c r="Q23" s="1"/>
      <c r="R23" s="1"/>
      <c r="S23" s="1"/>
      <c r="T23" s="1"/>
      <c r="U23" s="1"/>
      <c r="V23" s="1"/>
      <c r="W23" s="1"/>
      <c r="X23" s="1"/>
      <c r="Y23" s="1"/>
      <c r="Z23" s="1"/>
      <c r="AA23" s="1"/>
      <c r="AB23" s="434"/>
      <c r="AC23" s="1"/>
      <c r="AD23" s="1"/>
      <c r="AE23" s="1"/>
      <c r="AF23" s="1"/>
      <c r="AG23" s="1"/>
      <c r="AH23" s="1"/>
      <c r="AI23" s="1"/>
      <c r="AJ23" s="1"/>
      <c r="AK23" s="1"/>
      <c r="AL23" s="1"/>
      <c r="AM23" s="1"/>
      <c r="AN23" s="1"/>
      <c r="AO23" s="1"/>
    </row>
    <row r="24" spans="1:41" ht="15" thickBot="1">
      <c r="A24" s="96"/>
      <c r="B24" s="101"/>
      <c r="C24" s="101"/>
      <c r="D24" s="377"/>
      <c r="E24" s="377"/>
      <c r="F24" s="99"/>
      <c r="G24" s="101"/>
      <c r="H24" s="101"/>
      <c r="I24" s="101"/>
      <c r="J24" s="101"/>
      <c r="K24" s="369"/>
      <c r="L24" s="1"/>
      <c r="M24" s="1"/>
      <c r="N24" s="1"/>
      <c r="O24" s="1"/>
      <c r="P24" s="1"/>
      <c r="Q24" s="1"/>
      <c r="R24" s="1"/>
      <c r="S24" s="1"/>
      <c r="T24" s="1"/>
      <c r="U24" s="1"/>
      <c r="V24" s="1"/>
      <c r="W24" s="1"/>
      <c r="X24" s="1"/>
      <c r="Y24" s="1"/>
      <c r="Z24" s="1"/>
      <c r="AA24" s="1"/>
      <c r="AB24" s="434"/>
      <c r="AC24" s="1"/>
      <c r="AD24" s="1"/>
      <c r="AE24" s="1"/>
      <c r="AF24" s="1"/>
      <c r="AG24" s="1"/>
      <c r="AH24" s="1"/>
      <c r="AI24" s="1"/>
      <c r="AJ24" s="1"/>
      <c r="AK24" s="1"/>
      <c r="AL24" s="1"/>
      <c r="AM24" s="1"/>
      <c r="AN24" s="1"/>
      <c r="AO24" s="1"/>
    </row>
    <row r="25" spans="1:41" ht="15" thickBot="1">
      <c r="A25" s="449" t="s">
        <v>550</v>
      </c>
      <c r="B25" s="450">
        <f>B12+B19</f>
        <v>1048</v>
      </c>
      <c r="C25" s="450">
        <f t="shared" ref="C25:F25" si="12">C12+C19</f>
        <v>1162</v>
      </c>
      <c r="D25" s="450">
        <f t="shared" si="12"/>
        <v>1199</v>
      </c>
      <c r="E25" s="450">
        <f t="shared" si="12"/>
        <v>1231</v>
      </c>
      <c r="F25" s="451">
        <f t="shared" si="12"/>
        <v>1234</v>
      </c>
      <c r="G25" s="452">
        <f>(1+0.056722796)*F25</f>
        <v>1303.995930264</v>
      </c>
      <c r="H25" s="452">
        <f t="shared" ref="H25:K25" si="13">(1+0.056722796)*G25</f>
        <v>1377.9622254011952</v>
      </c>
      <c r="I25" s="452">
        <f t="shared" si="13"/>
        <v>1456.1240956083332</v>
      </c>
      <c r="J25" s="452">
        <f t="shared" si="13"/>
        <v>1538.7195256342093</v>
      </c>
      <c r="K25" s="836">
        <f t="shared" si="13"/>
        <v>1625.9999993879753</v>
      </c>
      <c r="L25" s="1"/>
      <c r="M25" s="1"/>
      <c r="N25" s="1"/>
      <c r="O25" s="1"/>
      <c r="P25" s="1"/>
      <c r="Q25" s="1"/>
      <c r="R25" s="1"/>
      <c r="S25" s="1"/>
      <c r="T25" s="1"/>
      <c r="U25" s="1"/>
      <c r="V25" s="1"/>
      <c r="W25" s="1"/>
      <c r="X25" s="1"/>
      <c r="Y25" s="1"/>
      <c r="Z25" s="1"/>
      <c r="AA25" s="1"/>
      <c r="AB25" s="434"/>
      <c r="AC25" s="1"/>
      <c r="AD25" s="1"/>
      <c r="AE25" s="1"/>
      <c r="AF25" s="1"/>
      <c r="AG25" s="1"/>
      <c r="AH25" s="1"/>
      <c r="AI25" s="1"/>
      <c r="AJ25" s="1"/>
      <c r="AK25" s="1"/>
      <c r="AL25" s="1"/>
      <c r="AM25" s="1"/>
      <c r="AN25" s="1"/>
      <c r="AO25" s="1"/>
    </row>
    <row r="26" spans="1:41">
      <c r="A26" s="96" t="s">
        <v>551</v>
      </c>
      <c r="B26" s="453">
        <f>B25/B10</f>
        <v>0.22147083685545224</v>
      </c>
      <c r="C26" s="453">
        <f t="shared" ref="C26:F26" si="14">C25/C10</f>
        <v>0.25365640689805719</v>
      </c>
      <c r="D26" s="453">
        <f t="shared" si="14"/>
        <v>0.21449016100178891</v>
      </c>
      <c r="E26" s="453">
        <f t="shared" si="14"/>
        <v>0.19630043055334079</v>
      </c>
      <c r="F26" s="454">
        <f t="shared" si="14"/>
        <v>0.17326593653468128</v>
      </c>
      <c r="G26" s="453">
        <f>(1+0.04093947)*F26</f>
        <v>0.18035935214546478</v>
      </c>
      <c r="H26" s="453">
        <f t="shared" ref="H26:J26" si="15">(1+0.04093947)*G26</f>
        <v>0.18774316843184349</v>
      </c>
      <c r="I26" s="453">
        <f t="shared" si="15"/>
        <v>0.19542927424356391</v>
      </c>
      <c r="J26" s="453">
        <f t="shared" si="15"/>
        <v>0.20343004515358007</v>
      </c>
      <c r="K26" s="454">
        <f>AVERAGE(B26,C26,D26,E26,F26)</f>
        <v>0.21183675436866406</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row>
    <row r="27" spans="1:41" ht="15" thickBot="1">
      <c r="A27" s="1"/>
      <c r="B27" s="1"/>
      <c r="C27" s="1"/>
      <c r="D27" s="1"/>
      <c r="E27" s="1"/>
      <c r="F27" s="369"/>
      <c r="G27" s="1"/>
      <c r="H27" s="1"/>
      <c r="I27" s="1"/>
      <c r="J27" s="1"/>
      <c r="K27" s="369"/>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row>
    <row r="28" spans="1:41" ht="15" thickBot="1">
      <c r="A28" s="441" t="s">
        <v>552</v>
      </c>
      <c r="B28" s="1"/>
      <c r="C28" s="1"/>
      <c r="D28" s="1"/>
      <c r="E28" s="1"/>
      <c r="F28" s="369"/>
      <c r="G28" s="1"/>
      <c r="H28" s="1"/>
      <c r="I28" s="1"/>
      <c r="J28" s="1"/>
      <c r="K28" s="369"/>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row>
    <row r="29" spans="1:41">
      <c r="A29" s="455"/>
      <c r="B29" s="1"/>
      <c r="C29" s="1"/>
      <c r="D29" s="1"/>
      <c r="E29" s="1"/>
      <c r="F29" s="369"/>
      <c r="G29" s="1"/>
      <c r="H29" s="1"/>
      <c r="I29" s="1"/>
      <c r="J29" s="1"/>
      <c r="K29" s="369"/>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row>
    <row r="30" spans="1:41">
      <c r="A30" s="444" t="s">
        <v>553</v>
      </c>
      <c r="B30" s="101">
        <f xml:space="preserve"> 'Reorganised Statements'!D5+'Reorganised Statements'!D6</f>
        <v>6415</v>
      </c>
      <c r="C30" s="101">
        <f xml:space="preserve"> 'Reorganised Statements'!E5+'Reorganised Statements'!E6</f>
        <v>6833</v>
      </c>
      <c r="D30" s="101">
        <f xml:space="preserve"> 'Reorganised Statements'!F5+'Reorganised Statements'!F6</f>
        <v>6469</v>
      </c>
      <c r="E30" s="101">
        <f xml:space="preserve"> 'Reorganised Statements'!G5+'Reorganised Statements'!G6</f>
        <v>6922</v>
      </c>
      <c r="F30" s="99">
        <f xml:space="preserve"> 'Reorganised Statements'!H5+'Reorganised Statements'!H6</f>
        <v>7248</v>
      </c>
      <c r="G30" s="456">
        <f>G31+G32</f>
        <v>7509.2239672032174</v>
      </c>
      <c r="H30" s="456">
        <f t="shared" ref="H30:K30" si="16">H31+H32</f>
        <v>7765.5960602293999</v>
      </c>
      <c r="I30" s="456">
        <f t="shared" si="16"/>
        <v>8017.6005150802248</v>
      </c>
      <c r="J30" s="456">
        <f t="shared" si="16"/>
        <v>8265.6896991172107</v>
      </c>
      <c r="K30" s="457">
        <f t="shared" si="16"/>
        <v>8509.9453559661742</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row>
    <row r="31" spans="1:41">
      <c r="A31" s="369" t="s">
        <v>554</v>
      </c>
      <c r="B31" s="1">
        <f>'Reorganised Statements'!D5</f>
        <v>5067</v>
      </c>
      <c r="C31" s="1">
        <f>'Reorganised Statements'!E5</f>
        <v>5129</v>
      </c>
      <c r="D31" s="1">
        <f>'Reorganised Statements'!F5</f>
        <v>4606</v>
      </c>
      <c r="E31" s="1">
        <f>'Reorganised Statements'!G5</f>
        <v>4620</v>
      </c>
      <c r="F31" s="369">
        <f>'Reorganised Statements'!H5</f>
        <v>4869</v>
      </c>
      <c r="G31" s="446">
        <f>G41</f>
        <v>4964.9255830968814</v>
      </c>
      <c r="H31" s="446">
        <f t="shared" ref="H31:K31" si="17">H41</f>
        <v>5060.1014455884615</v>
      </c>
      <c r="I31" s="446">
        <f t="shared" si="17"/>
        <v>5154.7360712934978</v>
      </c>
      <c r="J31" s="446">
        <f t="shared" si="17"/>
        <v>5249.0191767306296</v>
      </c>
      <c r="K31" s="458">
        <f t="shared" si="17"/>
        <v>5342.8950490737898</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row r="32" spans="1:41">
      <c r="A32" s="369" t="s">
        <v>555</v>
      </c>
      <c r="B32" s="1">
        <f>'Reorganised Statements'!D6</f>
        <v>1348</v>
      </c>
      <c r="C32" s="1">
        <f>'Reorganised Statements'!E6</f>
        <v>1704</v>
      </c>
      <c r="D32" s="1">
        <f>'Reorganised Statements'!F6</f>
        <v>1863</v>
      </c>
      <c r="E32" s="1">
        <f>'Reorganised Statements'!G6</f>
        <v>2302</v>
      </c>
      <c r="F32" s="369">
        <f>'Reorganised Statements'!H6</f>
        <v>2379</v>
      </c>
      <c r="G32" s="446">
        <f>G52</f>
        <v>2544.298384106336</v>
      </c>
      <c r="H32" s="446">
        <f t="shared" ref="H32:K32" si="18">H52</f>
        <v>2705.4946146409388</v>
      </c>
      <c r="I32" s="446">
        <f t="shared" si="18"/>
        <v>2862.864443786727</v>
      </c>
      <c r="J32" s="446">
        <f t="shared" si="18"/>
        <v>3016.670522386582</v>
      </c>
      <c r="K32" s="458">
        <f t="shared" si="18"/>
        <v>3167.050306892384</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row>
    <row r="33" spans="1:41">
      <c r="A33" s="369" t="s">
        <v>556</v>
      </c>
      <c r="B33" s="371">
        <f>B31/B30</f>
        <v>0.78986749805144196</v>
      </c>
      <c r="C33" s="371">
        <f t="shared" ref="C33:F33" si="19">C31/C30</f>
        <v>0.75062198156007609</v>
      </c>
      <c r="D33" s="371">
        <f t="shared" si="19"/>
        <v>0.71201113000463745</v>
      </c>
      <c r="E33" s="371">
        <f t="shared" si="19"/>
        <v>0.66743715689107197</v>
      </c>
      <c r="F33" s="437">
        <f t="shared" si="19"/>
        <v>0.67177152317880795</v>
      </c>
      <c r="G33" s="371">
        <f>G31/G30</f>
        <v>0.66117692118138405</v>
      </c>
      <c r="H33" s="371">
        <f t="shared" ref="H33:J33" si="20">H31/H30</f>
        <v>0.65160502894339101</v>
      </c>
      <c r="I33" s="371">
        <f t="shared" si="20"/>
        <v>0.6429275269574739</v>
      </c>
      <c r="J33" s="371">
        <f t="shared" si="20"/>
        <v>0.63503704685299689</v>
      </c>
      <c r="K33" s="437">
        <f>K31/K30</f>
        <v>0.62784128752694979</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row>
    <row r="34" spans="1:41">
      <c r="A34" s="369" t="s">
        <v>557</v>
      </c>
      <c r="B34" s="371">
        <f>1-B33</f>
        <v>0.21013250194855804</v>
      </c>
      <c r="C34" s="371">
        <f t="shared" ref="C34:F34" si="21">1-C33</f>
        <v>0.24937801843992391</v>
      </c>
      <c r="D34" s="371">
        <f t="shared" si="21"/>
        <v>0.28798886999536255</v>
      </c>
      <c r="E34" s="371">
        <f t="shared" si="21"/>
        <v>0.33256284310892803</v>
      </c>
      <c r="F34" s="437">
        <f t="shared" si="21"/>
        <v>0.32822847682119205</v>
      </c>
      <c r="G34" s="371">
        <f>G32/G30</f>
        <v>0.33882307881861601</v>
      </c>
      <c r="H34" s="371">
        <f t="shared" ref="H34:J34" si="22">H32/H30</f>
        <v>0.34839497105660905</v>
      </c>
      <c r="I34" s="371">
        <f t="shared" si="22"/>
        <v>0.3570724730425261</v>
      </c>
      <c r="J34" s="371">
        <f t="shared" si="22"/>
        <v>0.36496295314700328</v>
      </c>
      <c r="K34" s="438">
        <f>1-K33</f>
        <v>0.37215871247305021</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row>
    <row r="35" spans="1:41" ht="15" thickBot="1">
      <c r="A35" s="369"/>
      <c r="B35" s="1"/>
      <c r="C35" s="1"/>
      <c r="D35" s="1"/>
      <c r="E35" s="1"/>
      <c r="F35" s="369"/>
      <c r="G35" s="1"/>
      <c r="H35" s="1"/>
      <c r="I35" s="1"/>
      <c r="J35" s="1"/>
      <c r="K35" s="369"/>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row>
    <row r="36" spans="1:41" ht="15" thickBot="1">
      <c r="A36" s="444" t="s">
        <v>558</v>
      </c>
      <c r="B36" s="101"/>
      <c r="C36" s="101"/>
      <c r="D36" s="101"/>
      <c r="E36" s="101"/>
      <c r="F36" s="99"/>
      <c r="G36" s="101"/>
      <c r="H36" s="101"/>
      <c r="I36" s="101"/>
      <c r="J36" s="101"/>
      <c r="K36" s="99"/>
      <c r="L36" s="1"/>
      <c r="M36" s="1"/>
      <c r="N36" s="1"/>
      <c r="O36" s="1"/>
      <c r="P36" s="1"/>
      <c r="Q36" s="1"/>
      <c r="R36" s="1"/>
      <c r="S36" s="340" t="s">
        <v>419</v>
      </c>
      <c r="T36" s="341"/>
      <c r="U36" s="341"/>
      <c r="V36" s="341"/>
      <c r="W36" s="341"/>
      <c r="X36" s="459"/>
      <c r="Y36" s="1"/>
      <c r="Z36" s="1"/>
      <c r="AA36" s="1"/>
      <c r="AB36" s="1"/>
      <c r="AC36" s="1"/>
      <c r="AD36" s="1"/>
      <c r="AE36" s="1"/>
      <c r="AF36" s="1"/>
      <c r="AG36" s="1"/>
      <c r="AH36" s="1"/>
      <c r="AI36" s="1"/>
      <c r="AJ36" s="1"/>
      <c r="AK36" s="1"/>
      <c r="AL36" s="1"/>
      <c r="AM36" s="1"/>
      <c r="AN36" s="1"/>
      <c r="AO36" s="1"/>
    </row>
    <row r="37" spans="1:41">
      <c r="A37" s="369" t="s">
        <v>765</v>
      </c>
      <c r="B37" s="1"/>
      <c r="C37" s="1"/>
      <c r="D37" s="1"/>
      <c r="E37" s="1"/>
      <c r="F37" s="369"/>
      <c r="G37" s="1">
        <f>F41</f>
        <v>4869</v>
      </c>
      <c r="H37" s="446">
        <f>G37+G38+G39</f>
        <v>4964.9255830968814</v>
      </c>
      <c r="I37" s="446">
        <f>H37+H38+H39</f>
        <v>5060.1014455884615</v>
      </c>
      <c r="J37" s="446">
        <f>I41</f>
        <v>5154.7360712934978</v>
      </c>
      <c r="K37" s="458">
        <f>J41</f>
        <v>5249.0191767306296</v>
      </c>
      <c r="L37" s="1"/>
      <c r="M37" s="1"/>
      <c r="N37" s="1"/>
      <c r="O37" s="1"/>
      <c r="P37" s="1"/>
      <c r="Q37" s="1"/>
      <c r="R37" s="1"/>
      <c r="S37" s="442" t="s">
        <v>752</v>
      </c>
      <c r="T37" s="443">
        <v>4476</v>
      </c>
      <c r="U37" s="52" t="s">
        <v>559</v>
      </c>
      <c r="V37" s="52"/>
      <c r="W37" s="52"/>
      <c r="X37" s="278">
        <f>SUM(G10:K10)</f>
        <v>37260.098896429277</v>
      </c>
      <c r="Y37" s="1"/>
      <c r="Z37" s="1"/>
      <c r="AA37" s="1"/>
      <c r="AB37" s="1"/>
      <c r="AC37" s="1"/>
      <c r="AD37" s="1"/>
      <c r="AE37" s="1"/>
      <c r="AF37" s="1"/>
      <c r="AG37" s="1"/>
      <c r="AH37" s="1"/>
      <c r="AI37" s="1"/>
      <c r="AJ37" s="1"/>
      <c r="AK37" s="1"/>
      <c r="AL37" s="1"/>
      <c r="AM37" s="1"/>
      <c r="AN37" s="1"/>
      <c r="AO37" s="1"/>
    </row>
    <row r="38" spans="1:41">
      <c r="A38" s="369" t="s">
        <v>560</v>
      </c>
      <c r="B38" s="1"/>
      <c r="C38" s="1"/>
      <c r="D38" s="1"/>
      <c r="E38" s="52"/>
      <c r="F38" s="369"/>
      <c r="G38" s="446">
        <f>X42*G10</f>
        <v>581.56987710074998</v>
      </c>
      <c r="H38" s="446">
        <f>X42*H10</f>
        <v>590.38797577661342</v>
      </c>
      <c r="I38" s="446">
        <f>X42*I10</f>
        <v>599.33977956224794</v>
      </c>
      <c r="J38" s="446">
        <f>X42*J10</f>
        <v>608.42731577182133</v>
      </c>
      <c r="K38" s="458">
        <f>X42*K10</f>
        <v>617.42407778495851</v>
      </c>
      <c r="L38" s="1"/>
      <c r="M38" s="1"/>
      <c r="N38" s="1"/>
      <c r="O38" s="1"/>
      <c r="P38" s="1"/>
      <c r="Q38" s="1"/>
      <c r="R38" s="1"/>
      <c r="S38" s="257" t="s">
        <v>561</v>
      </c>
      <c r="T38" s="369">
        <f>T37/5</f>
        <v>895.2</v>
      </c>
      <c r="U38" s="52" t="s">
        <v>562</v>
      </c>
      <c r="V38" s="52"/>
      <c r="W38" s="52"/>
      <c r="X38" s="278">
        <f>T37/X37</f>
        <v>0.12012850562854908</v>
      </c>
      <c r="Y38" s="1"/>
      <c r="Z38" s="1"/>
      <c r="AA38" s="1"/>
      <c r="AB38" s="1"/>
      <c r="AC38" s="1"/>
      <c r="AD38" s="1"/>
      <c r="AE38" s="1"/>
      <c r="AF38" s="1"/>
      <c r="AG38" s="1"/>
      <c r="AH38" s="1"/>
      <c r="AI38" s="1"/>
      <c r="AJ38" s="1"/>
      <c r="AK38" s="1"/>
      <c r="AL38" s="1"/>
      <c r="AM38" s="1"/>
      <c r="AN38" s="1"/>
      <c r="AO38" s="1"/>
    </row>
    <row r="39" spans="1:41">
      <c r="A39" s="369" t="s">
        <v>563</v>
      </c>
      <c r="B39" s="1"/>
      <c r="C39" s="1"/>
      <c r="D39" s="1"/>
      <c r="E39" s="52"/>
      <c r="F39" s="369"/>
      <c r="G39" s="446">
        <f>-AVERAGE(E45,F45)*G37</f>
        <v>-485.64429400386848</v>
      </c>
      <c r="H39" s="446">
        <f>-AVERAGE(E45,F45)*H37</f>
        <v>-495.21211328503387</v>
      </c>
      <c r="I39" s="446">
        <f>-AVERAGE(E45,F45)*I37</f>
        <v>-504.70515385721149</v>
      </c>
      <c r="J39" s="446">
        <f>-AVERAGE(E45,F45)*J37</f>
        <v>-514.14421033469</v>
      </c>
      <c r="K39" s="458">
        <f>-AVERAGE(E45,F45)*K37</f>
        <v>-523.54820544179779</v>
      </c>
      <c r="L39" s="1"/>
      <c r="M39" s="1"/>
      <c r="N39" s="1"/>
      <c r="O39" s="1"/>
      <c r="P39" s="1"/>
      <c r="Q39" s="1"/>
      <c r="R39" s="1"/>
      <c r="S39" s="257"/>
      <c r="T39" s="369"/>
      <c r="U39" s="52"/>
      <c r="V39" s="52"/>
      <c r="W39" s="52"/>
      <c r="X39" s="278"/>
      <c r="Y39" s="1"/>
      <c r="Z39" s="1"/>
      <c r="AA39" s="1"/>
      <c r="AB39" s="1"/>
      <c r="AC39" s="1"/>
      <c r="AD39" s="1"/>
      <c r="AE39" s="1"/>
      <c r="AF39" s="1"/>
      <c r="AG39" s="1"/>
      <c r="AH39" s="1"/>
      <c r="AI39" s="1"/>
      <c r="AJ39" s="1"/>
      <c r="AK39" s="1"/>
      <c r="AL39" s="1"/>
      <c r="AM39" s="1"/>
      <c r="AN39" s="1"/>
      <c r="AO39" s="1"/>
    </row>
    <row r="40" spans="1:41">
      <c r="A40" s="99"/>
      <c r="B40" s="101"/>
      <c r="C40" s="101"/>
      <c r="D40" s="101"/>
      <c r="E40" s="101"/>
      <c r="F40" s="99"/>
      <c r="G40" s="101"/>
      <c r="H40" s="101"/>
      <c r="I40" s="101"/>
      <c r="J40" s="101"/>
      <c r="K40" s="457"/>
      <c r="L40" s="1"/>
      <c r="M40" s="1"/>
      <c r="N40" s="1"/>
      <c r="O40" s="1"/>
      <c r="P40" s="1"/>
      <c r="Q40" s="1"/>
      <c r="R40" s="1"/>
      <c r="S40" s="257"/>
      <c r="T40" s="369"/>
      <c r="U40" s="52"/>
      <c r="V40" s="52"/>
      <c r="W40" s="52"/>
      <c r="X40" s="278"/>
      <c r="Y40" s="1"/>
      <c r="Z40" s="1"/>
      <c r="AA40" s="1"/>
      <c r="AB40" s="1"/>
      <c r="AC40" s="1"/>
      <c r="AD40" s="1"/>
      <c r="AE40" s="1"/>
      <c r="AF40" s="1"/>
      <c r="AG40" s="1"/>
      <c r="AH40" s="1"/>
      <c r="AI40" s="1"/>
      <c r="AJ40" s="1"/>
      <c r="AK40" s="1"/>
      <c r="AL40" s="1"/>
      <c r="AM40" s="1"/>
      <c r="AN40" s="1"/>
      <c r="AO40" s="1"/>
    </row>
    <row r="41" spans="1:41">
      <c r="A41" s="369" t="s">
        <v>564</v>
      </c>
      <c r="B41" s="1">
        <f>B31</f>
        <v>5067</v>
      </c>
      <c r="C41" s="1">
        <f t="shared" ref="C41:F41" si="23">C31</f>
        <v>5129</v>
      </c>
      <c r="D41" s="1">
        <f t="shared" si="23"/>
        <v>4606</v>
      </c>
      <c r="E41" s="52">
        <f t="shared" si="23"/>
        <v>4620</v>
      </c>
      <c r="F41" s="369">
        <f t="shared" si="23"/>
        <v>4869</v>
      </c>
      <c r="G41" s="446">
        <f>G37+G38+G39</f>
        <v>4964.9255830968814</v>
      </c>
      <c r="H41" s="446">
        <f>H37+H38+H39</f>
        <v>5060.1014455884615</v>
      </c>
      <c r="I41" s="446">
        <f>I37+I38+I39</f>
        <v>5154.7360712934978</v>
      </c>
      <c r="J41" s="446">
        <f>J37+J38+J39</f>
        <v>5249.0191767306296</v>
      </c>
      <c r="K41" s="458">
        <f>K37+K38+K39</f>
        <v>5342.8950490737898</v>
      </c>
      <c r="L41" s="1"/>
      <c r="M41" s="1"/>
      <c r="N41" s="1"/>
      <c r="O41" s="1"/>
      <c r="P41" s="1"/>
      <c r="Q41" s="1"/>
      <c r="R41" s="1"/>
      <c r="S41" s="257" t="s">
        <v>753</v>
      </c>
      <c r="T41" s="369"/>
      <c r="U41" s="52"/>
      <c r="V41" s="52"/>
      <c r="W41" s="52"/>
      <c r="X41" s="278"/>
      <c r="Y41" s="1"/>
      <c r="Z41" s="1"/>
      <c r="AA41" s="1"/>
      <c r="AB41" s="1"/>
      <c r="AC41" s="1"/>
      <c r="AD41" s="1"/>
      <c r="AE41" s="1"/>
      <c r="AF41" s="1"/>
      <c r="AG41" s="1"/>
      <c r="AH41" s="1"/>
      <c r="AI41" s="1"/>
      <c r="AJ41" s="1"/>
      <c r="AK41" s="1"/>
      <c r="AL41" s="1"/>
      <c r="AM41" s="1"/>
      <c r="AN41" s="1"/>
      <c r="AO41" s="1"/>
    </row>
    <row r="42" spans="1:41">
      <c r="A42" s="369" t="s">
        <v>565</v>
      </c>
      <c r="B42" s="1">
        <f>-('Reorganised Statements'!D74+'Reorganised Statements'!D75)</f>
        <v>-700</v>
      </c>
      <c r="C42" s="1">
        <f>-('Reorganised Statements'!E74+'Reorganised Statements'!E75)</f>
        <v>-593</v>
      </c>
      <c r="D42" s="1">
        <f>-('Reorganised Statements'!F74+'Reorganised Statements'!F75)</f>
        <v>-372</v>
      </c>
      <c r="E42" s="52">
        <f>-('Reorganised Statements'!G74+'Reorganised Statements'!G75)</f>
        <v>-532</v>
      </c>
      <c r="F42" s="369">
        <f>-('Reorganised Statements'!H74+'Reorganised Statements'!H75)</f>
        <v>-388</v>
      </c>
      <c r="G42" s="446">
        <f>G39</f>
        <v>-485.64429400386848</v>
      </c>
      <c r="H42" s="446">
        <f>H39</f>
        <v>-495.21211328503387</v>
      </c>
      <c r="I42" s="446">
        <f>I39</f>
        <v>-504.70515385721149</v>
      </c>
      <c r="J42" s="446">
        <f>J39</f>
        <v>-514.14421033469</v>
      </c>
      <c r="K42" s="458">
        <f>K39</f>
        <v>-523.54820544179779</v>
      </c>
      <c r="L42" s="1"/>
      <c r="M42" s="1"/>
      <c r="N42" s="1"/>
      <c r="O42" s="1"/>
      <c r="P42" s="1"/>
      <c r="Q42" s="1"/>
      <c r="R42" s="1"/>
      <c r="S42" s="257" t="s">
        <v>566</v>
      </c>
      <c r="T42" s="438">
        <f>AVERAGE(E33:F33)</f>
        <v>0.66960434003493996</v>
      </c>
      <c r="U42" s="52" t="s">
        <v>567</v>
      </c>
      <c r="V42" s="52"/>
      <c r="W42" s="52"/>
      <c r="X42" s="278">
        <f>T42*X38</f>
        <v>8.0438568730788182E-2</v>
      </c>
      <c r="Y42" s="1"/>
      <c r="Z42" s="1"/>
      <c r="AA42" s="1"/>
      <c r="AB42" s="1"/>
      <c r="AC42" s="1"/>
      <c r="AD42" s="1"/>
      <c r="AE42" s="1"/>
      <c r="AF42" s="1"/>
      <c r="AG42" s="1"/>
      <c r="AH42" s="1"/>
      <c r="AI42" s="1"/>
      <c r="AJ42" s="1"/>
      <c r="AK42" s="1"/>
      <c r="AL42" s="1"/>
      <c r="AM42" s="1"/>
      <c r="AN42" s="1"/>
      <c r="AO42" s="1"/>
    </row>
    <row r="43" spans="1:41" ht="15" thickBot="1">
      <c r="A43" s="369"/>
      <c r="B43" s="1"/>
      <c r="C43" s="1"/>
      <c r="D43" s="1"/>
      <c r="E43" s="52"/>
      <c r="F43" s="369"/>
      <c r="G43" s="1"/>
      <c r="H43" s="1"/>
      <c r="I43" s="1"/>
      <c r="J43" s="1"/>
      <c r="K43" s="369"/>
      <c r="L43" s="1"/>
      <c r="M43" s="1"/>
      <c r="N43" s="1"/>
      <c r="O43" s="1"/>
      <c r="P43" s="1"/>
      <c r="Q43" s="1"/>
      <c r="R43" s="1"/>
      <c r="S43" s="269" t="s">
        <v>568</v>
      </c>
      <c r="T43" s="797">
        <f>1-T42</f>
        <v>0.33039565996506004</v>
      </c>
      <c r="U43" s="379" t="s">
        <v>568</v>
      </c>
      <c r="V43" s="379"/>
      <c r="W43" s="379"/>
      <c r="X43" s="281">
        <f>T43*X38</f>
        <v>3.9689936897760902E-2</v>
      </c>
      <c r="Y43" s="1"/>
      <c r="Z43" s="1"/>
      <c r="AA43" s="1"/>
      <c r="AB43" s="1"/>
      <c r="AC43" s="1"/>
      <c r="AD43" s="1"/>
      <c r="AE43" s="1"/>
      <c r="AF43" s="1"/>
      <c r="AG43" s="1"/>
      <c r="AH43" s="1"/>
      <c r="AI43" s="1"/>
      <c r="AJ43" s="1"/>
      <c r="AK43" s="1"/>
      <c r="AL43" s="1"/>
      <c r="AM43" s="1"/>
      <c r="AN43" s="1"/>
      <c r="AO43" s="1"/>
    </row>
    <row r="44" spans="1:41">
      <c r="A44" s="369" t="s">
        <v>569</v>
      </c>
      <c r="B44" s="1"/>
      <c r="C44" s="1">
        <f>B41-C41+C42</f>
        <v>-655</v>
      </c>
      <c r="D44" s="1">
        <f t="shared" ref="D44:F44" si="24">C41-D41+D42</f>
        <v>151</v>
      </c>
      <c r="E44" s="52">
        <f t="shared" si="24"/>
        <v>-546</v>
      </c>
      <c r="F44" s="369">
        <f t="shared" si="24"/>
        <v>-637</v>
      </c>
      <c r="G44" s="446">
        <f>-T38*T42</f>
        <v>-599.42980519927823</v>
      </c>
      <c r="H44" s="446">
        <f>-T38*T42</f>
        <v>-599.42980519927823</v>
      </c>
      <c r="I44" s="446">
        <f>-T38*T42</f>
        <v>-599.42980519927823</v>
      </c>
      <c r="J44" s="446">
        <f>-T38*T42</f>
        <v>-599.42980519927823</v>
      </c>
      <c r="K44" s="458">
        <f>-T38*T42</f>
        <v>-599.42980519927823</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row>
    <row r="45" spans="1:41">
      <c r="A45" s="369" t="s">
        <v>570</v>
      </c>
      <c r="B45" s="1"/>
      <c r="C45" s="371">
        <f>-C42/B41</f>
        <v>0.11703177422537991</v>
      </c>
      <c r="D45" s="371">
        <f>-D42/C41</f>
        <v>7.2528758042503416E-2</v>
      </c>
      <c r="E45" s="370">
        <f>-E42/D41</f>
        <v>0.11550151975683891</v>
      </c>
      <c r="F45" s="437">
        <f>-F42/E41</f>
        <v>8.3982683982683978E-2</v>
      </c>
      <c r="G45" s="371">
        <f t="shared" ref="G45:K45" si="25">-G42/F41</f>
        <v>9.9742101869761443E-2</v>
      </c>
      <c r="H45" s="371">
        <f t="shared" si="25"/>
        <v>9.9742101869761443E-2</v>
      </c>
      <c r="I45" s="371">
        <f t="shared" si="25"/>
        <v>9.9742101869761443E-2</v>
      </c>
      <c r="J45" s="371">
        <f t="shared" si="25"/>
        <v>9.9742101869761457E-2</v>
      </c>
      <c r="K45" s="437">
        <f t="shared" si="25"/>
        <v>9.9742101869761443E-2</v>
      </c>
      <c r="L45" s="1"/>
      <c r="M45" s="415"/>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row>
    <row r="46" spans="1:41">
      <c r="A46" s="369"/>
      <c r="B46" s="1"/>
      <c r="C46" s="1"/>
      <c r="D46" s="1"/>
      <c r="E46" s="52"/>
      <c r="F46" s="369"/>
      <c r="G46" s="1"/>
      <c r="H46" s="1"/>
      <c r="I46" s="1"/>
      <c r="J46" s="1"/>
      <c r="K46" s="369"/>
      <c r="L46" s="1"/>
      <c r="M46" s="415"/>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row>
    <row r="47" spans="1:41">
      <c r="A47" s="444" t="s">
        <v>571</v>
      </c>
      <c r="B47" s="101"/>
      <c r="C47" s="101"/>
      <c r="D47" s="101"/>
      <c r="E47" s="101"/>
      <c r="F47" s="99"/>
      <c r="G47" s="101"/>
      <c r="H47" s="101"/>
      <c r="I47" s="101"/>
      <c r="J47" s="101"/>
      <c r="K47" s="99"/>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row>
    <row r="48" spans="1:41">
      <c r="A48" s="369" t="s">
        <v>765</v>
      </c>
      <c r="B48" s="1"/>
      <c r="C48" s="1"/>
      <c r="D48" s="1"/>
      <c r="E48" s="52"/>
      <c r="F48" s="369"/>
      <c r="G48" s="1">
        <f>F52</f>
        <v>2379</v>
      </c>
      <c r="H48" s="446">
        <f>G52</f>
        <v>2544.298384106336</v>
      </c>
      <c r="I48" s="446">
        <f>H52</f>
        <v>2705.4946146409388</v>
      </c>
      <c r="J48" s="446">
        <f>I52</f>
        <v>2862.864443786727</v>
      </c>
      <c r="K48" s="458">
        <f>J52</f>
        <v>3016.670522386582</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row>
    <row r="49" spans="1:41">
      <c r="A49" s="369" t="s">
        <v>560</v>
      </c>
      <c r="B49" s="1"/>
      <c r="C49" s="1"/>
      <c r="D49" s="1"/>
      <c r="E49" s="52"/>
      <c r="F49" s="369"/>
      <c r="G49" s="446">
        <f>X43*G10</f>
        <v>286.95776277446896</v>
      </c>
      <c r="H49" s="446">
        <f>X43*H10</f>
        <v>291.3087822608374</v>
      </c>
      <c r="I49" s="446">
        <f>X43*I10</f>
        <v>295.72577441993559</v>
      </c>
      <c r="J49" s="446">
        <f>X43*J10</f>
        <v>300.20973956756546</v>
      </c>
      <c r="K49" s="458">
        <f>X43*K10</f>
        <v>304.64891498080124</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row>
    <row r="50" spans="1:41">
      <c r="A50" s="369" t="s">
        <v>572</v>
      </c>
      <c r="B50" s="1"/>
      <c r="C50" s="1"/>
      <c r="D50" s="1"/>
      <c r="E50" s="52"/>
      <c r="F50" s="369"/>
      <c r="G50" s="446">
        <f>-AVERAGE(E56,F56)*G48</f>
        <v>-121.65937866813286</v>
      </c>
      <c r="H50" s="446">
        <f>-AVERAGE(E56,F56)*H48</f>
        <v>-130.11255172623424</v>
      </c>
      <c r="I50" s="446">
        <f>-AVERAGE(E56,F56)*I48</f>
        <v>-138.35594527414719</v>
      </c>
      <c r="J50" s="446">
        <f>-AVERAGE(E56,F56)*J48</f>
        <v>-146.40366096771038</v>
      </c>
      <c r="K50" s="458">
        <f>-AVERAGE(E56,F56)*K48</f>
        <v>-154.26913047499932</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row>
    <row r="51" spans="1:41">
      <c r="A51" s="99"/>
      <c r="B51" s="101"/>
      <c r="C51" s="101"/>
      <c r="D51" s="101"/>
      <c r="E51" s="101"/>
      <c r="F51" s="99"/>
      <c r="G51" s="101"/>
      <c r="H51" s="101"/>
      <c r="I51" s="101"/>
      <c r="J51" s="101"/>
      <c r="K51" s="99"/>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row>
    <row r="52" spans="1:41">
      <c r="A52" s="369" t="s">
        <v>573</v>
      </c>
      <c r="B52" s="1">
        <f>B32</f>
        <v>1348</v>
      </c>
      <c r="C52" s="1">
        <f t="shared" ref="C52:F52" si="26">C32</f>
        <v>1704</v>
      </c>
      <c r="D52" s="1">
        <f t="shared" si="26"/>
        <v>1863</v>
      </c>
      <c r="E52" s="52">
        <f t="shared" si="26"/>
        <v>2302</v>
      </c>
      <c r="F52" s="369">
        <f t="shared" si="26"/>
        <v>2379</v>
      </c>
      <c r="G52" s="446">
        <f>G48+G49+G50</f>
        <v>2544.298384106336</v>
      </c>
      <c r="H52" s="446">
        <f>H48+H49+H50</f>
        <v>2705.4946146409388</v>
      </c>
      <c r="I52" s="446">
        <f>I48+I49+I50</f>
        <v>2862.864443786727</v>
      </c>
      <c r="J52" s="446">
        <f>J48+J49+J50</f>
        <v>3016.670522386582</v>
      </c>
      <c r="K52" s="458">
        <f>K48+K49+K50</f>
        <v>3167.050306892384</v>
      </c>
      <c r="L52" s="1"/>
      <c r="M52" s="1" t="s">
        <v>689</v>
      </c>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row>
    <row r="53" spans="1:41">
      <c r="A53" s="369" t="s">
        <v>525</v>
      </c>
      <c r="B53" s="1">
        <f>-'Reorganised Statements'!D73</f>
        <v>-54</v>
      </c>
      <c r="C53" s="1">
        <f>-'Reorganised Statements'!E73</f>
        <v>-55</v>
      </c>
      <c r="D53" s="1">
        <f>-'Reorganised Statements'!F73</f>
        <v>-72</v>
      </c>
      <c r="E53" s="52">
        <f>-'Reorganised Statements'!G73</f>
        <v>-91</v>
      </c>
      <c r="F53" s="369">
        <f>-'Reorganised Statements'!H73</f>
        <v>-123</v>
      </c>
      <c r="G53" s="446">
        <f>G50</f>
        <v>-121.65937866813286</v>
      </c>
      <c r="H53" s="446">
        <f>H50</f>
        <v>-130.11255172623424</v>
      </c>
      <c r="I53" s="446">
        <f>I50</f>
        <v>-138.35594527414719</v>
      </c>
      <c r="J53" s="446">
        <f>J50</f>
        <v>-146.40366096771038</v>
      </c>
      <c r="K53" s="458">
        <f>K50</f>
        <v>-154.26913047499932</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row>
    <row r="54" spans="1:41">
      <c r="A54" s="369"/>
      <c r="B54" s="1"/>
      <c r="C54" s="1"/>
      <c r="D54" s="1"/>
      <c r="E54" s="52"/>
      <c r="F54" s="369"/>
      <c r="G54" s="1"/>
      <c r="H54" s="1"/>
      <c r="I54" s="1"/>
      <c r="J54" s="1"/>
      <c r="K54" s="369"/>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row>
    <row r="55" spans="1:41">
      <c r="A55" s="369" t="s">
        <v>574</v>
      </c>
      <c r="B55" s="1"/>
      <c r="C55" s="1">
        <f>B52-C52+C53</f>
        <v>-411</v>
      </c>
      <c r="D55" s="1">
        <f t="shared" ref="D55:F55" si="27">C52-D52+D53</f>
        <v>-231</v>
      </c>
      <c r="E55" s="52">
        <f t="shared" si="27"/>
        <v>-530</v>
      </c>
      <c r="F55" s="369">
        <f t="shared" si="27"/>
        <v>-200</v>
      </c>
      <c r="G55" s="446">
        <f>-G49</f>
        <v>-286.95776277446896</v>
      </c>
      <c r="H55" s="446">
        <f t="shared" ref="H55:K55" si="28">-H49</f>
        <v>-291.3087822608374</v>
      </c>
      <c r="I55" s="446">
        <f t="shared" si="28"/>
        <v>-295.72577441993559</v>
      </c>
      <c r="J55" s="446">
        <f t="shared" si="28"/>
        <v>-300.20973956756546</v>
      </c>
      <c r="K55" s="458">
        <f t="shared" si="28"/>
        <v>-304.64891498080124</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row>
    <row r="56" spans="1:41">
      <c r="A56" s="99" t="s">
        <v>570</v>
      </c>
      <c r="B56" s="101"/>
      <c r="C56" s="453">
        <f>-C53/B52</f>
        <v>4.0801186943620178E-2</v>
      </c>
      <c r="D56" s="453">
        <f t="shared" ref="D56:K56" si="29">-D53/C52</f>
        <v>4.2253521126760563E-2</v>
      </c>
      <c r="E56" s="453">
        <f t="shared" si="29"/>
        <v>4.8845947396672036E-2</v>
      </c>
      <c r="F56" s="454">
        <f t="shared" si="29"/>
        <v>5.3431798436142486E-2</v>
      </c>
      <c r="G56" s="453">
        <f t="shared" si="29"/>
        <v>5.1138872916407258E-2</v>
      </c>
      <c r="H56" s="453">
        <f t="shared" si="29"/>
        <v>5.1138872916407251E-2</v>
      </c>
      <c r="I56" s="453">
        <f t="shared" si="29"/>
        <v>5.1138872916407258E-2</v>
      </c>
      <c r="J56" s="453">
        <f t="shared" si="29"/>
        <v>5.1138872916407258E-2</v>
      </c>
      <c r="K56" s="454">
        <f t="shared" si="29"/>
        <v>5.1138872916407258E-2</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row>
    <row r="57" spans="1:41">
      <c r="A57" s="369"/>
      <c r="B57" s="1"/>
      <c r="C57" s="1"/>
      <c r="D57" s="1"/>
      <c r="E57" s="52"/>
      <c r="F57" s="378"/>
      <c r="G57" s="1"/>
      <c r="H57" s="1"/>
      <c r="I57" s="1"/>
      <c r="J57" s="1"/>
      <c r="K57" s="369"/>
      <c r="L57" s="1"/>
      <c r="M57" s="1"/>
      <c r="N57" s="1"/>
      <c r="O57" s="1"/>
      <c r="P57" s="1"/>
      <c r="Q57" s="1"/>
      <c r="R57" s="1"/>
      <c r="S57" s="446"/>
      <c r="T57" s="1"/>
      <c r="U57" s="1"/>
      <c r="V57" s="1"/>
      <c r="W57" s="1"/>
      <c r="X57" s="1"/>
      <c r="Y57" s="1"/>
      <c r="Z57" s="1"/>
      <c r="AA57" s="1"/>
      <c r="AB57" s="1"/>
      <c r="AC57" s="1"/>
      <c r="AD57" s="1"/>
      <c r="AE57" s="1"/>
      <c r="AF57" s="1"/>
      <c r="AG57" s="1"/>
      <c r="AH57" s="1"/>
      <c r="AI57" s="1"/>
      <c r="AJ57" s="1"/>
      <c r="AK57" s="1"/>
      <c r="AL57" s="1"/>
      <c r="AM57" s="1"/>
      <c r="AN57" s="1"/>
      <c r="AO57" s="1"/>
    </row>
    <row r="58" spans="1:41">
      <c r="A58" s="369" t="s">
        <v>575</v>
      </c>
      <c r="B58" s="1">
        <f>'Reorganised Statements'!D76</f>
        <v>-79</v>
      </c>
      <c r="C58" s="1">
        <f>'Reorganised Statements'!E76</f>
        <v>-71</v>
      </c>
      <c r="D58" s="1">
        <f>'Reorganised Statements'!F76</f>
        <v>-45</v>
      </c>
      <c r="E58" s="52">
        <f>'Reorganised Statements'!G76</f>
        <v>-20</v>
      </c>
      <c r="F58" s="369">
        <f>'Reorganised Statements'!H76</f>
        <v>-36</v>
      </c>
      <c r="G58" s="1">
        <f>AVERAGE(B58,C58,D58,E58,F58)</f>
        <v>-50.2</v>
      </c>
      <c r="H58" s="1">
        <f>G58</f>
        <v>-50.2</v>
      </c>
      <c r="I58" s="1">
        <f>H58</f>
        <v>-50.2</v>
      </c>
      <c r="J58" s="1">
        <f>I58</f>
        <v>-50.2</v>
      </c>
      <c r="K58" s="369">
        <f>J58</f>
        <v>-50.2</v>
      </c>
      <c r="L58" s="1"/>
      <c r="M58" s="1"/>
      <c r="N58" s="1"/>
      <c r="O58" s="1"/>
      <c r="P58" s="1"/>
      <c r="Q58" s="1"/>
      <c r="R58" s="1"/>
      <c r="S58" s="446"/>
      <c r="T58" s="1"/>
      <c r="U58" s="1"/>
      <c r="V58" s="1"/>
      <c r="W58" s="1"/>
      <c r="X58" s="1"/>
      <c r="Y58" s="1"/>
      <c r="Z58" s="1"/>
      <c r="AA58" s="1"/>
      <c r="AB58" s="1"/>
      <c r="AC58" s="1"/>
      <c r="AD58" s="1"/>
      <c r="AE58" s="1"/>
      <c r="AF58" s="1"/>
      <c r="AG58" s="1"/>
      <c r="AH58" s="1"/>
      <c r="AI58" s="1"/>
      <c r="AJ58" s="1"/>
      <c r="AK58" s="1"/>
      <c r="AL58" s="1"/>
      <c r="AM58" s="1"/>
      <c r="AN58" s="1"/>
      <c r="AO58" s="1"/>
    </row>
    <row r="59" spans="1:41">
      <c r="A59" s="369"/>
      <c r="B59" s="1"/>
      <c r="C59" s="1"/>
      <c r="D59" s="1"/>
      <c r="E59" s="1"/>
      <c r="F59" s="369"/>
      <c r="G59" s="1"/>
      <c r="H59" s="1"/>
      <c r="I59" s="1"/>
      <c r="J59" s="1"/>
      <c r="K59" s="369"/>
      <c r="L59" s="1"/>
      <c r="M59" s="1"/>
      <c r="N59" s="1"/>
      <c r="O59" s="1"/>
      <c r="P59" s="1"/>
      <c r="Q59" s="1"/>
      <c r="R59" s="1"/>
      <c r="S59" s="446"/>
      <c r="T59" s="1"/>
      <c r="U59" s="1"/>
      <c r="V59" s="1"/>
      <c r="W59" s="1"/>
      <c r="X59" s="1"/>
      <c r="Y59" s="1"/>
      <c r="Z59" s="1"/>
      <c r="AA59" s="1"/>
      <c r="AB59" s="1"/>
      <c r="AC59" s="1"/>
      <c r="AD59" s="1"/>
      <c r="AE59" s="1"/>
      <c r="AF59" s="1"/>
      <c r="AG59" s="1"/>
      <c r="AH59" s="1"/>
      <c r="AI59" s="1"/>
      <c r="AJ59" s="1"/>
      <c r="AK59" s="1"/>
      <c r="AL59" s="1"/>
      <c r="AM59" s="1"/>
      <c r="AN59" s="1"/>
      <c r="AO59" s="1"/>
    </row>
    <row r="60" spans="1:41" ht="15" thickBot="1">
      <c r="A60" s="369"/>
      <c r="B60" s="1"/>
      <c r="C60" s="1"/>
      <c r="D60" s="1"/>
      <c r="E60" s="1"/>
      <c r="F60" s="369"/>
      <c r="G60" s="1"/>
      <c r="H60" s="1"/>
      <c r="I60" s="1"/>
      <c r="J60" s="1"/>
      <c r="K60" s="369"/>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row>
    <row r="61" spans="1:41" ht="15" thickBot="1">
      <c r="A61" s="463" t="s">
        <v>576</v>
      </c>
      <c r="B61" s="1"/>
      <c r="C61" s="1"/>
      <c r="D61" s="1"/>
      <c r="E61" s="1"/>
      <c r="F61" s="369"/>
      <c r="G61" s="1"/>
      <c r="H61" s="1"/>
      <c r="I61" s="1"/>
      <c r="J61" s="1"/>
      <c r="K61" s="369"/>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row>
    <row r="62" spans="1:41">
      <c r="A62" s="369"/>
      <c r="B62" s="1"/>
      <c r="C62" s="1"/>
      <c r="D62" s="1"/>
      <c r="E62" s="1"/>
      <c r="F62" s="369"/>
      <c r="G62" s="1"/>
      <c r="H62" s="1"/>
      <c r="I62" s="1"/>
      <c r="J62" s="1"/>
      <c r="K62" s="369"/>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row>
    <row r="63" spans="1:41">
      <c r="A63" s="369" t="s">
        <v>578</v>
      </c>
      <c r="B63" s="1">
        <f>'Reorganised Statements'!D10</f>
        <v>184</v>
      </c>
      <c r="C63" s="1">
        <f>'Reorganised Statements'!E10</f>
        <v>159</v>
      </c>
      <c r="D63" s="1">
        <f>'Reorganised Statements'!F10</f>
        <v>147</v>
      </c>
      <c r="E63" s="1">
        <f>'Reorganised Statements'!G10</f>
        <v>187</v>
      </c>
      <c r="F63" s="482">
        <f>'Reorganised Statements'!H10</f>
        <v>184</v>
      </c>
      <c r="G63" s="481">
        <f>-G67*G15/365</f>
        <v>177.44313939283322</v>
      </c>
      <c r="H63" s="481">
        <f t="shared" ref="H63:K63" si="30">-H67*H15/365</f>
        <v>180.13363485026889</v>
      </c>
      <c r="I63" s="481">
        <f t="shared" si="30"/>
        <v>182.86492515517656</v>
      </c>
      <c r="J63" s="481">
        <f t="shared" si="30"/>
        <v>185.63762886261671</v>
      </c>
      <c r="K63" s="482">
        <f t="shared" si="30"/>
        <v>188.38263639969844</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row>
    <row r="64" spans="1:41">
      <c r="A64" s="369" t="s">
        <v>318</v>
      </c>
      <c r="B64" s="1">
        <f>'Reorganised Statements'!D11</f>
        <v>1485</v>
      </c>
      <c r="C64" s="1">
        <f>'Reorganised Statements'!E11</f>
        <v>1821</v>
      </c>
      <c r="D64" s="1">
        <f>'Reorganised Statements'!F11</f>
        <v>1671</v>
      </c>
      <c r="E64" s="1">
        <f>'Reorganised Statements'!G11</f>
        <v>1781</v>
      </c>
      <c r="F64" s="369">
        <f>'Reorganised Statements'!H11</f>
        <v>1852</v>
      </c>
      <c r="G64" s="481">
        <f xml:space="preserve"> G68*G10/365</f>
        <v>1880.0810946211886</v>
      </c>
      <c r="H64" s="481">
        <f t="shared" ref="H64:K64" si="31" xml:space="preserve"> H68*H10/365</f>
        <v>1908.5879710324009</v>
      </c>
      <c r="I64" s="481">
        <f t="shared" si="31"/>
        <v>1937.5270851832772</v>
      </c>
      <c r="J64" s="481">
        <f t="shared" si="31"/>
        <v>1966.9049909122989</v>
      </c>
      <c r="K64" s="482">
        <f t="shared" si="31"/>
        <v>1995.9894446292426</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row>
    <row r="65" spans="1:41">
      <c r="A65" s="369" t="s">
        <v>577</v>
      </c>
      <c r="B65" s="1">
        <f>'Reorganised Statements'!D12</f>
        <v>-1170</v>
      </c>
      <c r="C65" s="1">
        <f>'Reorganised Statements'!E12</f>
        <v>-1384</v>
      </c>
      <c r="D65" s="1">
        <f>'Reorganised Statements'!F12</f>
        <v>-1381</v>
      </c>
      <c r="E65" s="1">
        <f>'Reorganised Statements'!G12</f>
        <v>-1413</v>
      </c>
      <c r="F65" s="369">
        <f>'Reorganised Statements'!H12</f>
        <v>-1481</v>
      </c>
      <c r="G65" s="481">
        <f>G69*(G15+G16)/365</f>
        <v>-1435.1925646886652</v>
      </c>
      <c r="H65" s="481">
        <f t="shared" ref="H65:K65" si="32">H69*(H15+H16)/365</f>
        <v>-1456.9537840237883</v>
      </c>
      <c r="I65" s="481">
        <f t="shared" si="32"/>
        <v>-1479.044959546397</v>
      </c>
      <c r="J65" s="481">
        <f t="shared" si="32"/>
        <v>-1501.4710942429494</v>
      </c>
      <c r="K65" s="482">
        <f t="shared" si="32"/>
        <v>-1523.6732172481804</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row>
    <row r="66" spans="1:41">
      <c r="A66" s="99" t="s">
        <v>690</v>
      </c>
      <c r="B66" s="101">
        <f>'Reorganised Statements'!D15+'Reorganised Statements'!D21</f>
        <v>-47</v>
      </c>
      <c r="C66" s="101">
        <f>'Reorganised Statements'!E15+'Reorganised Statements'!E21</f>
        <v>-198</v>
      </c>
      <c r="D66" s="101">
        <f>'Reorganised Statements'!F15+'Reorganised Statements'!F21</f>
        <v>-110</v>
      </c>
      <c r="E66" s="101">
        <f>'Reorganised Statements'!G15+'Reorganised Statements'!G21</f>
        <v>-253</v>
      </c>
      <c r="F66" s="99">
        <f>'Reorganised Statements'!H15+'Reorganised Statements'!H21</f>
        <v>-334</v>
      </c>
      <c r="G66" s="469">
        <f>-G70*G10/365</f>
        <v>-339.06430108179109</v>
      </c>
      <c r="H66" s="469">
        <f t="shared" ref="H66:K66" si="33">-H70*H10/365</f>
        <v>-344.2053900242019</v>
      </c>
      <c r="I66" s="469">
        <f t="shared" si="33"/>
        <v>-349.42443112916561</v>
      </c>
      <c r="J66" s="469">
        <f t="shared" si="33"/>
        <v>-354.72260635243407</v>
      </c>
      <c r="K66" s="470">
        <f t="shared" si="33"/>
        <v>-359.96785880462585</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spans="1:41">
      <c r="A67" s="369" t="s">
        <v>692</v>
      </c>
      <c r="B67" s="481">
        <f>-B63/(B15/365)</f>
        <v>29.378827646544181</v>
      </c>
      <c r="C67" s="481">
        <f t="shared" ref="C67:F67" si="34">-C63/(C15/365)</f>
        <v>27.62256068538791</v>
      </c>
      <c r="D67" s="481">
        <f t="shared" si="34"/>
        <v>18.952666902154714</v>
      </c>
      <c r="E67" s="481">
        <f t="shared" si="34"/>
        <v>20.398983861326958</v>
      </c>
      <c r="F67" s="482">
        <f t="shared" si="34"/>
        <v>16.773226773226774</v>
      </c>
      <c r="G67" s="481">
        <f>F67</f>
        <v>16.773226773226774</v>
      </c>
      <c r="H67" s="481">
        <f>G67</f>
        <v>16.773226773226774</v>
      </c>
      <c r="I67" s="481">
        <f t="shared" ref="I67:K67" si="35">H67</f>
        <v>16.773226773226774</v>
      </c>
      <c r="J67" s="481">
        <f t="shared" si="35"/>
        <v>16.773226773226774</v>
      </c>
      <c r="K67" s="482">
        <f t="shared" si="35"/>
        <v>16.773226773226774</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c r="A68" s="369" t="s">
        <v>693</v>
      </c>
      <c r="B68" s="481">
        <f>B64/(B10/365)</f>
        <v>114.54459002535926</v>
      </c>
      <c r="C68" s="481">
        <f t="shared" ref="C68:F68" si="36">C64/(C10/365)</f>
        <v>145.09168303863785</v>
      </c>
      <c r="D68" s="481">
        <f t="shared" si="36"/>
        <v>109.10822898032201</v>
      </c>
      <c r="E68" s="481">
        <f t="shared" si="36"/>
        <v>103.66209535959176</v>
      </c>
      <c r="F68" s="482">
        <f t="shared" si="36"/>
        <v>94.91434990171301</v>
      </c>
      <c r="G68" s="481">
        <f t="shared" ref="G68:H70" si="37">F68</f>
        <v>94.91434990171301</v>
      </c>
      <c r="H68" s="481">
        <f t="shared" si="37"/>
        <v>94.91434990171301</v>
      </c>
      <c r="I68" s="481">
        <f t="shared" ref="I68:K68" si="38">H68</f>
        <v>94.91434990171301</v>
      </c>
      <c r="J68" s="481">
        <f t="shared" si="38"/>
        <v>94.91434990171301</v>
      </c>
      <c r="K68" s="482">
        <f t="shared" si="38"/>
        <v>94.91434990171301</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c r="A69" s="369" t="s">
        <v>695</v>
      </c>
      <c r="B69" s="481">
        <f>B65/((B15+B16)/365)</f>
        <v>142.73061497326202</v>
      </c>
      <c r="C69" s="481">
        <f t="shared" ref="C69:F69" si="39">C65/((C15+C16)/365)</f>
        <v>176.6911507520112</v>
      </c>
      <c r="D69" s="481">
        <f t="shared" si="39"/>
        <v>136.93697364846508</v>
      </c>
      <c r="E69" s="481">
        <f t="shared" si="39"/>
        <v>119.05470914127423</v>
      </c>
      <c r="F69" s="482">
        <f t="shared" si="39"/>
        <v>104.84193173002328</v>
      </c>
      <c r="G69" s="481">
        <f t="shared" si="37"/>
        <v>104.84193173002328</v>
      </c>
      <c r="H69" s="481">
        <f t="shared" si="37"/>
        <v>104.84193173002328</v>
      </c>
      <c r="I69" s="481">
        <f t="shared" ref="I69:K69" si="40">H69</f>
        <v>104.84193173002328</v>
      </c>
      <c r="J69" s="481">
        <f t="shared" si="40"/>
        <v>104.84193173002328</v>
      </c>
      <c r="K69" s="482">
        <f t="shared" si="40"/>
        <v>104.84193173002328</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c r="A70" s="369" t="s">
        <v>694</v>
      </c>
      <c r="B70" s="481">
        <f>-B66/(B10/365)</f>
        <v>3.6253169907016063</v>
      </c>
      <c r="C70" s="481">
        <f t="shared" ref="C70:F70" si="41">-C66/(C10/365)</f>
        <v>15.776031434184675</v>
      </c>
      <c r="D70" s="481">
        <f t="shared" si="41"/>
        <v>7.1824686940966007</v>
      </c>
      <c r="E70" s="481">
        <f t="shared" si="41"/>
        <v>14.725721575506297</v>
      </c>
      <c r="F70" s="482">
        <f t="shared" si="41"/>
        <v>17.117382757652347</v>
      </c>
      <c r="G70" s="481">
        <f t="shared" si="37"/>
        <v>17.117382757652347</v>
      </c>
      <c r="H70" s="481">
        <f t="shared" si="37"/>
        <v>17.117382757652347</v>
      </c>
      <c r="I70" s="481">
        <f t="shared" ref="I70:K70" si="42">H70</f>
        <v>17.117382757652347</v>
      </c>
      <c r="J70" s="481">
        <f t="shared" si="42"/>
        <v>17.117382757652347</v>
      </c>
      <c r="K70" s="482">
        <f t="shared" si="42"/>
        <v>17.117382757652347</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row r="71" spans="1:41">
      <c r="A71" s="99"/>
      <c r="B71" s="101"/>
      <c r="C71" s="101"/>
      <c r="D71" s="101"/>
      <c r="E71" s="101"/>
      <c r="F71" s="99"/>
      <c r="G71" s="101"/>
      <c r="H71" s="101"/>
      <c r="I71" s="101"/>
      <c r="J71" s="101"/>
      <c r="K71" s="99"/>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row>
    <row r="72" spans="1:41">
      <c r="A72" s="369" t="s">
        <v>691</v>
      </c>
      <c r="B72" s="1"/>
      <c r="C72" s="1">
        <f>SUM(B63:B66) - SUM(C63:C66)</f>
        <v>54</v>
      </c>
      <c r="D72" s="1">
        <f t="shared" ref="D72:K72" si="43">SUM(C63:C66) - SUM(D63:D66)</f>
        <v>71</v>
      </c>
      <c r="E72" s="1">
        <f t="shared" si="43"/>
        <v>25</v>
      </c>
      <c r="F72" s="369">
        <f t="shared" si="43"/>
        <v>81</v>
      </c>
      <c r="G72" s="481">
        <f>SUM(F63:F66) - SUM(G63:G66)</f>
        <v>-62.267368243565329</v>
      </c>
      <c r="H72" s="481">
        <f t="shared" si="43"/>
        <v>-4.2950635911142285</v>
      </c>
      <c r="I72" s="481">
        <f t="shared" si="43"/>
        <v>-4.3601878282117923</v>
      </c>
      <c r="J72" s="481">
        <f t="shared" si="43"/>
        <v>-4.4262995166408245</v>
      </c>
      <c r="K72" s="482">
        <f t="shared" si="43"/>
        <v>-4.3820857966025528</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row>
    <row r="73" spans="1:41">
      <c r="A73" s="369"/>
      <c r="B73" s="1"/>
      <c r="C73" s="1"/>
      <c r="D73" s="1"/>
      <c r="E73" s="1"/>
      <c r="F73" s="369"/>
      <c r="G73" s="1"/>
      <c r="H73" s="1"/>
      <c r="I73" s="1"/>
      <c r="J73" s="1"/>
      <c r="K73" s="369"/>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row>
    <row r="74" spans="1:41" ht="15" thickBot="1">
      <c r="A74" s="369"/>
      <c r="B74" s="1"/>
      <c r="C74" s="1"/>
      <c r="D74" s="1"/>
      <c r="E74" s="1"/>
      <c r="F74" s="369"/>
      <c r="G74" s="1"/>
      <c r="H74" s="1"/>
      <c r="I74" s="1"/>
      <c r="J74" s="1"/>
      <c r="K74" s="369"/>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row>
    <row r="75" spans="1:41">
      <c r="A75" s="464" t="s">
        <v>579</v>
      </c>
      <c r="B75" s="1"/>
      <c r="C75" s="1"/>
      <c r="D75" s="1"/>
      <c r="E75" s="1"/>
      <c r="F75" s="369"/>
      <c r="G75" s="1"/>
      <c r="H75" s="1"/>
      <c r="I75" s="1"/>
      <c r="J75" s="1"/>
      <c r="K75" s="369"/>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row>
    <row r="76" spans="1:41">
      <c r="A76" s="465" t="s">
        <v>808</v>
      </c>
      <c r="B76" s="1">
        <f>'Reorganised Statements'!D26</f>
        <v>452</v>
      </c>
      <c r="C76" s="1">
        <f>'Reorganised Statements'!E26</f>
        <v>398</v>
      </c>
      <c r="D76" s="1">
        <f>'Reorganised Statements'!F26</f>
        <v>327</v>
      </c>
      <c r="E76" s="1">
        <f>'Reorganised Statements'!G26</f>
        <v>302</v>
      </c>
      <c r="F76" s="369">
        <f>'Reorganised Statements'!H26</f>
        <v>221</v>
      </c>
      <c r="G76" s="481">
        <f>G78*G10</f>
        <v>245.89629364354272</v>
      </c>
      <c r="H76" s="481">
        <f t="shared" ref="H76:K76" si="44">H78*H10</f>
        <v>271.49676254596619</v>
      </c>
      <c r="I76" s="481">
        <f t="shared" si="44"/>
        <v>297.81703718009788</v>
      </c>
      <c r="J76" s="481">
        <f t="shared" si="44"/>
        <v>324.87306012274536</v>
      </c>
      <c r="K76" s="482">
        <f t="shared" si="44"/>
        <v>352.28010481421336</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row>
    <row r="77" spans="1:41">
      <c r="A77" s="465"/>
      <c r="B77" s="1"/>
      <c r="C77" s="1"/>
      <c r="D77" s="1"/>
      <c r="E77" s="1"/>
      <c r="F77" s="369"/>
      <c r="G77" s="1"/>
      <c r="H77" s="1"/>
      <c r="I77" s="1"/>
      <c r="J77" s="1"/>
      <c r="K77" s="369"/>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row>
    <row r="78" spans="1:41">
      <c r="A78" s="465" t="s">
        <v>580</v>
      </c>
      <c r="B78" s="371">
        <f>B76/B10</f>
        <v>9.5519864750633982E-2</v>
      </c>
      <c r="C78" s="371">
        <f t="shared" ref="C78:F78" si="45">C76/C10</f>
        <v>8.6880593756821653E-2</v>
      </c>
      <c r="D78" s="371">
        <f t="shared" si="45"/>
        <v>5.8497316636851523E-2</v>
      </c>
      <c r="E78" s="371">
        <f t="shared" si="45"/>
        <v>4.8158188486684739E-2</v>
      </c>
      <c r="F78" s="437">
        <f t="shared" si="45"/>
        <v>3.1030609379387813E-2</v>
      </c>
      <c r="G78" s="371">
        <f>F78+0.298%</f>
        <v>3.401060937938781E-2</v>
      </c>
      <c r="H78" s="415">
        <f>G78+0.298%</f>
        <v>3.6990609379387807E-2</v>
      </c>
      <c r="I78" s="415">
        <f>H78+0.298%</f>
        <v>3.9970609379387803E-2</v>
      </c>
      <c r="J78" s="415">
        <f>I78+0.298%</f>
        <v>4.29506093793878E-2</v>
      </c>
      <c r="K78" s="438">
        <f>AVERAGE(D78:F78)</f>
        <v>4.589537150097469E-2</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row>
    <row r="79" spans="1:41">
      <c r="A79" s="465"/>
      <c r="B79" s="1"/>
      <c r="C79" s="371"/>
      <c r="D79" s="371"/>
      <c r="E79" s="371"/>
      <c r="F79" s="437"/>
      <c r="G79" s="1"/>
      <c r="H79" s="1"/>
      <c r="I79" s="1"/>
      <c r="J79" s="1"/>
      <c r="K79" s="369"/>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row>
    <row r="80" spans="1:41">
      <c r="A80" s="465" t="s">
        <v>691</v>
      </c>
      <c r="B80" s="1"/>
      <c r="C80" s="1">
        <f>B76-C76</f>
        <v>54</v>
      </c>
      <c r="D80" s="1">
        <f t="shared" ref="D80:K80" si="46">C76-D76</f>
        <v>71</v>
      </c>
      <c r="E80" s="1">
        <f t="shared" si="46"/>
        <v>25</v>
      </c>
      <c r="F80" s="369">
        <f t="shared" si="46"/>
        <v>81</v>
      </c>
      <c r="G80" s="481">
        <f t="shared" si="46"/>
        <v>-24.89629364354272</v>
      </c>
      <c r="H80" s="481">
        <f t="shared" si="46"/>
        <v>-25.600468902423472</v>
      </c>
      <c r="I80" s="481">
        <f t="shared" si="46"/>
        <v>-26.320274634131692</v>
      </c>
      <c r="J80" s="481">
        <f t="shared" si="46"/>
        <v>-27.056022942647473</v>
      </c>
      <c r="K80" s="482">
        <f t="shared" si="46"/>
        <v>-27.407044691468002</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row>
    <row r="81" spans="1:41" ht="15" thickBot="1">
      <c r="A81" s="369"/>
      <c r="B81" s="1"/>
      <c r="C81" s="1"/>
      <c r="D81" s="1"/>
      <c r="E81" s="1"/>
      <c r="F81" s="369"/>
      <c r="G81" s="1"/>
      <c r="H81" s="1"/>
      <c r="I81" s="1"/>
      <c r="J81" s="1"/>
      <c r="K81" s="369"/>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row>
    <row r="82" spans="1:41" ht="15" thickBot="1">
      <c r="A82" s="441" t="s">
        <v>581</v>
      </c>
      <c r="B82" s="1"/>
      <c r="C82" s="1"/>
      <c r="D82" s="1"/>
      <c r="E82" s="1"/>
      <c r="F82" s="369"/>
      <c r="G82" s="1"/>
      <c r="H82" s="1"/>
      <c r="I82" s="1"/>
      <c r="J82" s="1"/>
      <c r="K82" s="369"/>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row>
    <row r="83" spans="1:41">
      <c r="A83" s="369"/>
      <c r="B83" s="1"/>
      <c r="C83" s="1"/>
      <c r="D83" s="1"/>
      <c r="E83" s="1"/>
      <c r="F83" s="369"/>
      <c r="G83" s="1"/>
      <c r="H83" s="1"/>
      <c r="I83" s="1"/>
      <c r="J83" s="1"/>
      <c r="K83" s="369"/>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row>
    <row r="84" spans="1:41">
      <c r="A84" s="466" t="s">
        <v>582</v>
      </c>
      <c r="B84" s="1">
        <f>'Reorganised Statements'!D28</f>
        <v>308</v>
      </c>
      <c r="C84" s="1">
        <f>'Reorganised Statements'!E28</f>
        <v>341</v>
      </c>
      <c r="D84" s="1">
        <f>'Reorganised Statements'!F28</f>
        <v>301</v>
      </c>
      <c r="E84" s="1">
        <f>'Reorganised Statements'!G28</f>
        <v>264</v>
      </c>
      <c r="F84" s="369">
        <f>'Reorganised Statements'!H28</f>
        <v>277</v>
      </c>
      <c r="G84" s="1">
        <f>F84</f>
        <v>277</v>
      </c>
      <c r="H84" s="1">
        <f t="shared" ref="H84:K86" si="47">G84</f>
        <v>277</v>
      </c>
      <c r="I84" s="1">
        <f t="shared" si="47"/>
        <v>277</v>
      </c>
      <c r="J84" s="1">
        <f t="shared" si="47"/>
        <v>277</v>
      </c>
      <c r="K84" s="369">
        <f t="shared" si="47"/>
        <v>277</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row>
    <row r="85" spans="1:41">
      <c r="A85" s="466" t="s">
        <v>583</v>
      </c>
      <c r="B85" s="1">
        <f>'Reorganised Statements'!D29</f>
        <v>-332</v>
      </c>
      <c r="C85" s="1">
        <f>'Reorganised Statements'!E29</f>
        <v>-365</v>
      </c>
      <c r="D85" s="1">
        <f>'Reorganised Statements'!F29</f>
        <v>-319</v>
      </c>
      <c r="E85" s="1">
        <f>'Reorganised Statements'!G29</f>
        <v>-314</v>
      </c>
      <c r="F85" s="369">
        <f>'Reorganised Statements'!H29</f>
        <v>-307</v>
      </c>
      <c r="G85" s="1">
        <f>F85</f>
        <v>-307</v>
      </c>
      <c r="H85" s="1">
        <f t="shared" si="47"/>
        <v>-307</v>
      </c>
      <c r="I85" s="1">
        <f t="shared" si="47"/>
        <v>-307</v>
      </c>
      <c r="J85" s="1">
        <f t="shared" si="47"/>
        <v>-307</v>
      </c>
      <c r="K85" s="369">
        <f t="shared" si="47"/>
        <v>-307</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row>
    <row r="86" spans="1:41">
      <c r="A86" s="466" t="s">
        <v>584</v>
      </c>
      <c r="B86" s="1">
        <f>'Reorganised Statements'!D30</f>
        <v>-576</v>
      </c>
      <c r="C86" s="1">
        <f>'Reorganised Statements'!E30</f>
        <v>-671</v>
      </c>
      <c r="D86" s="1">
        <f>'Reorganised Statements'!F30</f>
        <v>-625</v>
      </c>
      <c r="E86" s="1">
        <f>'Reorganised Statements'!G30</f>
        <v>-642</v>
      </c>
      <c r="F86" s="369">
        <f>'Reorganised Statements'!H30</f>
        <v>-676</v>
      </c>
      <c r="G86" s="1">
        <f>F86</f>
        <v>-676</v>
      </c>
      <c r="H86" s="1">
        <f t="shared" si="47"/>
        <v>-676</v>
      </c>
      <c r="I86" s="1">
        <f t="shared" si="47"/>
        <v>-676</v>
      </c>
      <c r="J86" s="1">
        <f t="shared" si="47"/>
        <v>-676</v>
      </c>
      <c r="K86" s="369">
        <f t="shared" si="47"/>
        <v>-676</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row>
    <row r="87" spans="1:41">
      <c r="A87" s="369"/>
      <c r="B87" s="1"/>
      <c r="C87" s="1"/>
      <c r="D87" s="1"/>
      <c r="E87" s="1"/>
      <c r="F87" s="369"/>
      <c r="G87" s="1"/>
      <c r="H87" s="1"/>
      <c r="I87" s="1"/>
      <c r="J87" s="1"/>
      <c r="K87" s="369"/>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row>
    <row r="88" spans="1:41" ht="15" thickBot="1">
      <c r="A88" s="428"/>
      <c r="B88" s="1"/>
      <c r="C88" s="1"/>
      <c r="D88" s="1"/>
      <c r="E88" s="1"/>
      <c r="F88" s="369"/>
      <c r="G88" s="1"/>
      <c r="H88" s="1"/>
      <c r="I88" s="1"/>
      <c r="J88" s="1"/>
      <c r="K88" s="369"/>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row>
    <row r="89" spans="1:41" ht="15" thickBot="1">
      <c r="A89" s="441" t="s">
        <v>585</v>
      </c>
      <c r="B89" s="1"/>
      <c r="C89" s="1"/>
      <c r="D89" s="1"/>
      <c r="E89" s="1"/>
      <c r="F89" s="369"/>
      <c r="G89" s="1"/>
      <c r="H89" s="1"/>
      <c r="I89" s="1"/>
      <c r="J89" s="1"/>
      <c r="K89" s="369"/>
      <c r="L89" s="1"/>
      <c r="M89" s="1"/>
      <c r="N89" s="1"/>
      <c r="O89" s="1"/>
      <c r="P89" s="1"/>
      <c r="Q89" s="1"/>
      <c r="R89" s="1"/>
      <c r="S89" s="340" t="s">
        <v>419</v>
      </c>
      <c r="T89" s="341"/>
      <c r="U89" s="341"/>
      <c r="V89" s="341"/>
      <c r="W89" s="341"/>
      <c r="X89" s="459"/>
      <c r="Y89" s="1"/>
      <c r="Z89" s="1"/>
      <c r="AA89" s="1"/>
      <c r="AB89" s="1"/>
      <c r="AC89" s="1"/>
      <c r="AD89" s="1"/>
      <c r="AE89" s="1"/>
      <c r="AF89" s="1"/>
      <c r="AG89" s="1"/>
      <c r="AH89" s="1"/>
      <c r="AI89" s="1"/>
      <c r="AJ89" s="1"/>
      <c r="AK89" s="1"/>
      <c r="AL89" s="1"/>
      <c r="AM89" s="1"/>
      <c r="AN89" s="1"/>
      <c r="AO89" s="1"/>
    </row>
    <row r="90" spans="1:41">
      <c r="A90" s="443" t="s">
        <v>587</v>
      </c>
      <c r="B90" s="1">
        <f>'Reorganised Statements'!D38</f>
        <v>-692</v>
      </c>
      <c r="C90" s="1">
        <f>'Reorganised Statements'!E38</f>
        <v>-359</v>
      </c>
      <c r="D90" s="1">
        <f>'Reorganised Statements'!F38</f>
        <v>-437</v>
      </c>
      <c r="E90" s="1">
        <f>'Reorganised Statements'!G38</f>
        <v>-694</v>
      </c>
      <c r="F90" s="369">
        <f>'Reorganised Statements'!H38</f>
        <v>-304</v>
      </c>
      <c r="G90" s="1">
        <v>-465</v>
      </c>
      <c r="H90" s="1">
        <v>-598</v>
      </c>
      <c r="I90" s="1">
        <v>-394</v>
      </c>
      <c r="J90" s="1">
        <v>-372</v>
      </c>
      <c r="K90" s="369">
        <v>-372</v>
      </c>
      <c r="L90" s="1"/>
      <c r="M90" s="1"/>
      <c r="N90" s="1"/>
      <c r="O90" s="1"/>
      <c r="P90" s="1"/>
      <c r="Q90" s="1"/>
      <c r="R90" s="1"/>
      <c r="S90" s="799"/>
      <c r="T90" s="52"/>
      <c r="U90" s="52"/>
      <c r="V90" s="52"/>
      <c r="W90" s="52"/>
      <c r="X90" s="278"/>
      <c r="Y90" s="1"/>
      <c r="Z90" s="1"/>
      <c r="AA90" s="1"/>
      <c r="AB90" s="1"/>
      <c r="AC90" s="1"/>
      <c r="AD90" s="1"/>
      <c r="AE90" s="1"/>
      <c r="AF90" s="1"/>
      <c r="AG90" s="1"/>
      <c r="AH90" s="1"/>
      <c r="AI90" s="1"/>
      <c r="AJ90" s="1"/>
      <c r="AK90" s="1"/>
      <c r="AL90" s="1"/>
      <c r="AM90" s="1"/>
      <c r="AN90" s="1"/>
      <c r="AO90" s="1"/>
    </row>
    <row r="91" spans="1:41">
      <c r="A91" s="369"/>
      <c r="B91" s="1"/>
      <c r="C91" s="1"/>
      <c r="D91" s="1"/>
      <c r="E91" s="1"/>
      <c r="F91" s="369"/>
      <c r="G91" s="1"/>
      <c r="H91" s="1"/>
      <c r="I91" s="1"/>
      <c r="J91" s="1"/>
      <c r="K91" s="369"/>
      <c r="L91" s="1"/>
      <c r="M91" s="1"/>
      <c r="N91" s="1"/>
      <c r="O91" s="1"/>
      <c r="P91" s="1"/>
      <c r="Q91" s="1"/>
      <c r="R91" s="1"/>
      <c r="S91" s="465" t="s">
        <v>754</v>
      </c>
      <c r="T91" s="798">
        <f>AVERAGE(B94:F94)</f>
        <v>0.73578288562725003</v>
      </c>
      <c r="U91" s="52"/>
      <c r="V91" s="52"/>
      <c r="W91" s="52"/>
      <c r="X91" s="278"/>
      <c r="Y91" s="1"/>
      <c r="Z91" s="1"/>
      <c r="AA91" s="1"/>
      <c r="AB91" s="1"/>
      <c r="AC91" s="1"/>
      <c r="AD91" s="1"/>
      <c r="AE91" s="1"/>
      <c r="AF91" s="1"/>
      <c r="AG91" s="1"/>
      <c r="AH91" s="1"/>
      <c r="AI91" s="1"/>
      <c r="AJ91" s="1"/>
      <c r="AK91" s="1"/>
      <c r="AL91" s="1"/>
      <c r="AM91" s="1"/>
      <c r="AN91" s="1"/>
      <c r="AO91" s="1"/>
    </row>
    <row r="92" spans="1:41">
      <c r="A92" s="99" t="s">
        <v>588</v>
      </c>
      <c r="B92" s="101">
        <f>'Reorganised Statements'!D37</f>
        <v>-3089</v>
      </c>
      <c r="C92" s="101">
        <f>'Reorganised Statements'!E37</f>
        <v>-3436</v>
      </c>
      <c r="D92" s="101">
        <f>'Reorganised Statements'!F37</f>
        <v>-3501</v>
      </c>
      <c r="E92" s="101">
        <f>'Reorganised Statements'!G37</f>
        <v>-2984</v>
      </c>
      <c r="F92" s="99">
        <f>'Reorganised Statements'!H37</f>
        <v>-3307</v>
      </c>
      <c r="G92" s="469">
        <f>G99-G90</f>
        <v>-3386.4393811435498</v>
      </c>
      <c r="H92" s="469">
        <f t="shared" ref="H92:K92" si="48">H99-H90</f>
        <v>-3380.5442191171983</v>
      </c>
      <c r="I92" s="469">
        <f t="shared" si="48"/>
        <v>-3715.8437589250243</v>
      </c>
      <c r="J92" s="469">
        <f t="shared" si="48"/>
        <v>-3873.4764337199913</v>
      </c>
      <c r="K92" s="470">
        <f t="shared" si="48"/>
        <v>-4016.8739353367855</v>
      </c>
      <c r="L92" s="1"/>
      <c r="M92" s="1"/>
      <c r="N92" s="1"/>
      <c r="O92" s="1"/>
      <c r="P92" s="1"/>
      <c r="Q92" s="1"/>
      <c r="R92" s="1"/>
      <c r="S92" s="465" t="s">
        <v>755</v>
      </c>
      <c r="T92" s="798">
        <f>1-T91</f>
        <v>0.26421711437274997</v>
      </c>
      <c r="U92" s="52"/>
      <c r="V92" s="52"/>
      <c r="W92" s="52"/>
      <c r="X92" s="278"/>
      <c r="Y92" s="1"/>
      <c r="Z92" s="1"/>
      <c r="AA92" s="1"/>
      <c r="AB92" s="1"/>
      <c r="AC92" s="1"/>
      <c r="AD92" s="1"/>
      <c r="AE92" s="1"/>
      <c r="AF92" s="1"/>
      <c r="AG92" s="1"/>
      <c r="AH92" s="1"/>
      <c r="AI92" s="1"/>
      <c r="AJ92" s="1"/>
      <c r="AK92" s="1"/>
      <c r="AL92" s="1"/>
      <c r="AM92" s="1"/>
      <c r="AN92" s="1"/>
      <c r="AO92" s="1"/>
    </row>
    <row r="93" spans="1:41">
      <c r="A93" s="369" t="s">
        <v>589</v>
      </c>
      <c r="B93" s="1"/>
      <c r="C93" s="1"/>
      <c r="D93" s="1"/>
      <c r="E93" s="1"/>
      <c r="F93" s="369"/>
      <c r="G93" s="1"/>
      <c r="H93" s="1"/>
      <c r="I93" s="1"/>
      <c r="J93" s="1"/>
      <c r="K93" s="369"/>
      <c r="L93" s="1"/>
      <c r="M93" s="1"/>
      <c r="N93" s="1"/>
      <c r="O93" s="1"/>
      <c r="P93" s="1"/>
      <c r="Q93" s="1"/>
      <c r="R93" s="1"/>
      <c r="S93" s="465"/>
      <c r="T93" s="52">
        <v>2020</v>
      </c>
      <c r="U93" s="52">
        <v>2021</v>
      </c>
      <c r="V93" s="52">
        <v>2022</v>
      </c>
      <c r="W93" s="52">
        <v>2023</v>
      </c>
      <c r="X93" s="278">
        <v>2024</v>
      </c>
      <c r="Y93" s="1"/>
      <c r="Z93" s="1"/>
      <c r="AA93" s="1"/>
      <c r="AB93" s="1"/>
      <c r="AC93" s="1"/>
      <c r="AD93" s="1"/>
      <c r="AE93" s="1"/>
      <c r="AF93" s="1"/>
      <c r="AG93" s="1"/>
      <c r="AH93" s="1"/>
      <c r="AI93" s="1"/>
      <c r="AJ93" s="1"/>
      <c r="AK93" s="1"/>
      <c r="AL93" s="1"/>
      <c r="AM93" s="1"/>
      <c r="AN93" s="1"/>
      <c r="AO93" s="1"/>
    </row>
    <row r="94" spans="1:41" ht="15" thickBot="1">
      <c r="A94" s="369" t="s">
        <v>590</v>
      </c>
      <c r="B94" s="461">
        <v>0.79</v>
      </c>
      <c r="C94" s="461">
        <v>0.67</v>
      </c>
      <c r="D94" s="461">
        <v>0.76</v>
      </c>
      <c r="E94" s="461">
        <v>0.74</v>
      </c>
      <c r="F94" s="462">
        <f>-2596/F99</f>
        <v>0.71891442813625039</v>
      </c>
      <c r="G94" s="1"/>
      <c r="H94" s="1"/>
      <c r="I94" s="1"/>
      <c r="J94" s="1"/>
      <c r="K94" s="369"/>
      <c r="L94" s="1"/>
      <c r="M94" s="1"/>
      <c r="N94" s="1"/>
      <c r="O94" s="1"/>
      <c r="P94" s="1"/>
      <c r="Q94" s="1"/>
      <c r="R94" s="1"/>
      <c r="S94" s="800" t="s">
        <v>591</v>
      </c>
      <c r="T94" s="843">
        <f>-T91*G106</f>
        <v>400.58917890691527</v>
      </c>
      <c r="U94" s="843">
        <f>-T91*H106</f>
        <v>435.6606062781064</v>
      </c>
      <c r="V94" s="843">
        <f>-T91*I106</f>
        <v>536.60611988642768</v>
      </c>
      <c r="W94" s="843">
        <f>-T91*J106</f>
        <v>389.69465778311968</v>
      </c>
      <c r="X94" s="844">
        <f>-T91*K106</f>
        <v>379.22066098468014</v>
      </c>
      <c r="Y94" s="1"/>
      <c r="Z94" s="1"/>
      <c r="AA94" s="1"/>
      <c r="AB94" s="1"/>
      <c r="AC94" s="1"/>
      <c r="AD94" s="1"/>
      <c r="AE94" s="1"/>
      <c r="AF94" s="1"/>
      <c r="AG94" s="1"/>
      <c r="AH94" s="1"/>
      <c r="AI94" s="1"/>
      <c r="AJ94" s="1"/>
      <c r="AK94" s="1"/>
      <c r="AL94" s="1"/>
      <c r="AM94" s="1"/>
      <c r="AN94" s="1"/>
      <c r="AO94" s="1"/>
    </row>
    <row r="95" spans="1:41">
      <c r="A95" s="369" t="s">
        <v>592</v>
      </c>
      <c r="B95" s="461">
        <v>0.21</v>
      </c>
      <c r="C95" s="461">
        <v>0.33</v>
      </c>
      <c r="D95" s="461">
        <v>0.24</v>
      </c>
      <c r="E95" s="461">
        <v>0.26</v>
      </c>
      <c r="F95" s="462">
        <f>1-F94</f>
        <v>0.28108557186374961</v>
      </c>
      <c r="G95" s="1"/>
      <c r="H95" s="1"/>
      <c r="I95" s="1"/>
      <c r="J95" s="1"/>
      <c r="K95" s="369"/>
      <c r="L95" s="1"/>
      <c r="M95" s="1"/>
      <c r="N95" s="1"/>
      <c r="O95" s="1"/>
      <c r="P95" s="1"/>
      <c r="Q95" s="1"/>
      <c r="R95" s="52"/>
      <c r="S95" s="52"/>
      <c r="T95" s="52"/>
      <c r="U95" s="52"/>
      <c r="V95" s="52"/>
      <c r="W95" s="52"/>
      <c r="X95" s="52"/>
      <c r="Y95" s="52"/>
      <c r="Z95" s="1"/>
      <c r="AA95" s="1"/>
      <c r="AB95" s="1"/>
      <c r="AC95" s="1"/>
      <c r="AD95" s="1"/>
      <c r="AE95" s="1"/>
      <c r="AF95" s="1"/>
      <c r="AG95" s="1"/>
      <c r="AH95" s="1"/>
      <c r="AI95" s="1"/>
      <c r="AJ95" s="1"/>
      <c r="AK95" s="1"/>
      <c r="AL95" s="1"/>
      <c r="AM95" s="1"/>
      <c r="AN95" s="1"/>
      <c r="AO95" s="1"/>
    </row>
    <row r="96" spans="1:41">
      <c r="A96" s="369" t="s">
        <v>593</v>
      </c>
      <c r="B96" s="472">
        <f>B94*B99</f>
        <v>-2986.9900000000002</v>
      </c>
      <c r="C96" s="472">
        <f t="shared" ref="C96:F96" si="49">C94*C99</f>
        <v>-2542.65</v>
      </c>
      <c r="D96" s="472">
        <f t="shared" si="49"/>
        <v>-2992.88</v>
      </c>
      <c r="E96" s="472">
        <f t="shared" si="49"/>
        <v>-2721.72</v>
      </c>
      <c r="F96" s="473">
        <f t="shared" si="49"/>
        <v>-2596</v>
      </c>
      <c r="G96" s="446">
        <f>T91*G99</f>
        <v>-2833.8231816762309</v>
      </c>
      <c r="H96" s="446">
        <f>T91*H99</f>
        <v>-2927.3447461376663</v>
      </c>
      <c r="I96" s="446">
        <f>T91*I99</f>
        <v>-3023.9527004189986</v>
      </c>
      <c r="J96" s="446">
        <f>T91*J99</f>
        <v>-3123.7489012649817</v>
      </c>
      <c r="K96" s="458">
        <f>T91*K99</f>
        <v>-3229.2583287963248</v>
      </c>
      <c r="L96" s="1"/>
      <c r="M96" s="1"/>
      <c r="N96" s="1"/>
      <c r="O96" s="1"/>
      <c r="P96" s="1"/>
      <c r="Q96" s="1"/>
      <c r="R96" s="1"/>
      <c r="S96" s="52"/>
      <c r="T96" s="52"/>
      <c r="U96" s="52"/>
      <c r="V96" s="52"/>
      <c r="W96" s="52"/>
      <c r="X96" s="52"/>
      <c r="Y96" s="1"/>
      <c r="Z96" s="1"/>
      <c r="AA96" s="1"/>
      <c r="AB96" s="1"/>
      <c r="AC96" s="1"/>
      <c r="AD96" s="1"/>
      <c r="AE96" s="1"/>
      <c r="AF96" s="1"/>
      <c r="AG96" s="1"/>
      <c r="AH96" s="1"/>
      <c r="AI96" s="1"/>
      <c r="AJ96" s="1"/>
      <c r="AK96" s="1"/>
      <c r="AL96" s="1"/>
      <c r="AM96" s="1"/>
      <c r="AN96" s="1"/>
      <c r="AO96" s="1"/>
    </row>
    <row r="97" spans="1:41">
      <c r="A97" s="99" t="s">
        <v>594</v>
      </c>
      <c r="B97" s="474">
        <f>B95*B99</f>
        <v>-794.01</v>
      </c>
      <c r="C97" s="474">
        <f t="shared" ref="C97:F97" si="50">C95*C99</f>
        <v>-1252.3500000000001</v>
      </c>
      <c r="D97" s="474">
        <f t="shared" si="50"/>
        <v>-945.12</v>
      </c>
      <c r="E97" s="474">
        <f t="shared" si="50"/>
        <v>-956.28000000000009</v>
      </c>
      <c r="F97" s="475">
        <f t="shared" si="50"/>
        <v>-1014.9999999999998</v>
      </c>
      <c r="G97" s="469">
        <f>G99-G96</f>
        <v>-1017.6161994673189</v>
      </c>
      <c r="H97" s="469">
        <f t="shared" ref="H97:K97" si="51">H99-H96</f>
        <v>-1051.1994729795319</v>
      </c>
      <c r="I97" s="469">
        <f t="shared" si="51"/>
        <v>-1085.8910585060257</v>
      </c>
      <c r="J97" s="469">
        <f t="shared" si="51"/>
        <v>-1121.7275324550096</v>
      </c>
      <c r="K97" s="470">
        <f t="shared" si="51"/>
        <v>-1159.6156065404607</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row>
    <row r="98" spans="1:41">
      <c r="A98" s="369"/>
      <c r="B98" s="1"/>
      <c r="C98" s="1"/>
      <c r="D98" s="1"/>
      <c r="E98" s="1"/>
      <c r="F98" s="369"/>
      <c r="G98" s="1"/>
      <c r="H98" s="1"/>
      <c r="I98" s="1"/>
      <c r="J98" s="1"/>
      <c r="K98" s="378"/>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row>
    <row r="99" spans="1:41">
      <c r="A99" s="445" t="s">
        <v>427</v>
      </c>
      <c r="B99" s="476">
        <f>B90+B92</f>
        <v>-3781</v>
      </c>
      <c r="C99" s="476">
        <f>C90+C92</f>
        <v>-3795</v>
      </c>
      <c r="D99" s="476">
        <f>D90+D92</f>
        <v>-3938</v>
      </c>
      <c r="E99" s="476">
        <f>E90+E92</f>
        <v>-3678</v>
      </c>
      <c r="F99" s="477">
        <f>F90+F92</f>
        <v>-3611</v>
      </c>
      <c r="G99" s="476">
        <f>G101/G102</f>
        <v>-3851.4393811435498</v>
      </c>
      <c r="H99" s="476">
        <f t="shared" ref="H99:K99" si="52">H101/H102</f>
        <v>-3978.5442191171983</v>
      </c>
      <c r="I99" s="476">
        <f t="shared" si="52"/>
        <v>-4109.8437589250243</v>
      </c>
      <c r="J99" s="476">
        <f t="shared" si="52"/>
        <v>-4245.4764337199913</v>
      </c>
      <c r="K99" s="477">
        <f t="shared" si="52"/>
        <v>-4388.8739353367855</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row>
    <row r="100" spans="1:41">
      <c r="A100" s="99"/>
      <c r="B100" s="101"/>
      <c r="C100" s="101"/>
      <c r="D100" s="101"/>
      <c r="E100" s="101"/>
      <c r="F100" s="99"/>
      <c r="G100" s="101"/>
      <c r="H100" s="101"/>
      <c r="I100" s="101"/>
      <c r="J100" s="101"/>
      <c r="K100" s="99"/>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row>
    <row r="101" spans="1:41">
      <c r="A101" s="478" t="s">
        <v>595</v>
      </c>
      <c r="B101" s="479">
        <f>'Reorganised Statements'!D42</f>
        <v>-3145</v>
      </c>
      <c r="C101" s="479">
        <f>'Reorganised Statements'!E42</f>
        <v>-3393</v>
      </c>
      <c r="D101" s="479">
        <f>'Reorganised Statements'!F42</f>
        <v>-3247</v>
      </c>
      <c r="E101" s="479">
        <f>'Reorganised Statements'!G42</f>
        <v>-3054</v>
      </c>
      <c r="F101" s="478">
        <f>'Reorganised Statements'!H42</f>
        <v>-3177</v>
      </c>
      <c r="G101" s="506">
        <f>-G25*G103</f>
        <v>-3281.8470533430491</v>
      </c>
      <c r="H101" s="506">
        <f t="shared" ref="H101:K101" si="53">-H25*H103</f>
        <v>-3390.1542592182741</v>
      </c>
      <c r="I101" s="506">
        <f t="shared" si="53"/>
        <v>-3502.0358092520873</v>
      </c>
      <c r="J101" s="506">
        <f t="shared" si="53"/>
        <v>-3617.6096636121511</v>
      </c>
      <c r="K101" s="507">
        <f t="shared" si="53"/>
        <v>-3739.7999985923429</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row>
    <row r="102" spans="1:41">
      <c r="A102" s="369" t="s">
        <v>596</v>
      </c>
      <c r="B102" s="371">
        <f>B101/B99</f>
        <v>0.8317905316053954</v>
      </c>
      <c r="C102" s="371">
        <f t="shared" ref="C102:F102" si="54">C101/C99</f>
        <v>0.89407114624505923</v>
      </c>
      <c r="D102" s="371">
        <f t="shared" si="54"/>
        <v>0.82453021838496698</v>
      </c>
      <c r="E102" s="371">
        <f t="shared" si="54"/>
        <v>0.83034257748776508</v>
      </c>
      <c r="F102" s="437">
        <f t="shared" si="54"/>
        <v>0.87981168651343122</v>
      </c>
      <c r="G102" s="415">
        <f>AVERAGE(B102:F102)</f>
        <v>0.85210923204732347</v>
      </c>
      <c r="H102" s="415">
        <f>G102</f>
        <v>0.85210923204732347</v>
      </c>
      <c r="I102" s="415">
        <f t="shared" ref="I102:K102" si="55">H102</f>
        <v>0.85210923204732347</v>
      </c>
      <c r="J102" s="415">
        <f t="shared" si="55"/>
        <v>0.85210923204732347</v>
      </c>
      <c r="K102" s="438">
        <f t="shared" si="55"/>
        <v>0.85210923204732347</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row>
    <row r="103" spans="1:41">
      <c r="A103" s="99" t="s">
        <v>597</v>
      </c>
      <c r="B103" s="456">
        <f>-B101/B25</f>
        <v>3.0009541984732824</v>
      </c>
      <c r="C103" s="456">
        <f t="shared" ref="C103:F103" si="56">-C101/C25</f>
        <v>2.9199655765920824</v>
      </c>
      <c r="D103" s="456">
        <f t="shared" si="56"/>
        <v>2.7080900750625521</v>
      </c>
      <c r="E103" s="456">
        <f t="shared" si="56"/>
        <v>2.4809098294069862</v>
      </c>
      <c r="F103" s="457">
        <f t="shared" si="56"/>
        <v>2.5745542949756888</v>
      </c>
      <c r="G103" s="456">
        <f>F103*(1-0.0224476)</f>
        <v>2.5167617299837923</v>
      </c>
      <c r="H103" s="456">
        <f t="shared" ref="H103:J103" si="57">G103*(1-0.0224476)</f>
        <v>2.4602664693738081</v>
      </c>
      <c r="I103" s="456">
        <f t="shared" si="57"/>
        <v>2.4050393917758925</v>
      </c>
      <c r="J103" s="456">
        <f t="shared" si="57"/>
        <v>2.3510520295250639</v>
      </c>
      <c r="K103" s="480">
        <v>2.2999999999999998</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row>
    <row r="104" spans="1:41">
      <c r="A104" s="369"/>
      <c r="B104" s="1"/>
      <c r="C104" s="1"/>
      <c r="D104" s="1"/>
      <c r="E104" s="1"/>
      <c r="F104" s="369"/>
      <c r="G104" s="1"/>
      <c r="H104" s="1"/>
      <c r="I104" s="1"/>
      <c r="J104" s="1"/>
      <c r="K104" s="369"/>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row>
    <row r="105" spans="1:41">
      <c r="A105" s="369" t="s">
        <v>598</v>
      </c>
      <c r="B105" s="1"/>
      <c r="C105" s="1"/>
      <c r="D105" s="1"/>
      <c r="E105" s="1"/>
      <c r="F105" s="369"/>
      <c r="G105" s="1">
        <f>-F90</f>
        <v>304</v>
      </c>
      <c r="H105" s="1">
        <f t="shared" ref="H105:K105" si="58">-G90</f>
        <v>465</v>
      </c>
      <c r="I105" s="1">
        <f t="shared" si="58"/>
        <v>598</v>
      </c>
      <c r="J105" s="1">
        <f t="shared" si="58"/>
        <v>394</v>
      </c>
      <c r="K105" s="369">
        <f t="shared" si="58"/>
        <v>372</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row>
    <row r="106" spans="1:41">
      <c r="A106" s="369" t="s">
        <v>599</v>
      </c>
      <c r="B106" s="1"/>
      <c r="C106" s="1"/>
      <c r="D106" s="1"/>
      <c r="E106" s="1"/>
      <c r="F106" s="369"/>
      <c r="G106" s="481">
        <f>G99-F99-G105</f>
        <v>-544.43938114354978</v>
      </c>
      <c r="H106" s="481">
        <f t="shared" ref="H106:K106" si="59">H99-G99-H105</f>
        <v>-592.1048379736485</v>
      </c>
      <c r="I106" s="481">
        <f t="shared" si="59"/>
        <v>-729.29953980782602</v>
      </c>
      <c r="J106" s="481">
        <f t="shared" si="59"/>
        <v>-529.63267479496699</v>
      </c>
      <c r="K106" s="482">
        <f t="shared" si="59"/>
        <v>-515.39750161679422</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row>
    <row r="107" spans="1:41" ht="15" thickBot="1">
      <c r="A107" s="369"/>
      <c r="B107" s="1"/>
      <c r="C107" s="1"/>
      <c r="D107" s="1"/>
      <c r="E107" s="1"/>
      <c r="F107" s="369"/>
      <c r="G107" s="1"/>
      <c r="H107" s="1"/>
      <c r="I107" s="1"/>
      <c r="J107" s="1"/>
      <c r="K107" s="369"/>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row>
    <row r="108" spans="1:41" ht="15" thickBot="1">
      <c r="A108" s="483" t="s">
        <v>600</v>
      </c>
      <c r="B108" s="1"/>
      <c r="C108" s="1"/>
      <c r="D108" s="1"/>
      <c r="E108" s="1"/>
      <c r="F108" s="369"/>
      <c r="G108" s="1"/>
      <c r="H108" s="1"/>
      <c r="I108" s="1"/>
      <c r="J108" s="1"/>
      <c r="K108" s="369"/>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row>
    <row r="109" spans="1:41" ht="15" thickBot="1">
      <c r="A109" s="369"/>
      <c r="B109" s="1"/>
      <c r="C109" s="1"/>
      <c r="D109" s="1"/>
      <c r="E109" s="1"/>
      <c r="F109" s="369"/>
      <c r="G109" s="1"/>
      <c r="H109" s="1"/>
      <c r="I109" s="1"/>
      <c r="J109" s="1"/>
      <c r="K109" s="369"/>
      <c r="L109" s="1"/>
      <c r="M109" s="1"/>
      <c r="N109" s="1"/>
      <c r="O109" s="1"/>
      <c r="P109" s="1"/>
      <c r="Q109" s="1"/>
      <c r="R109" s="1"/>
      <c r="S109" s="340" t="s">
        <v>586</v>
      </c>
      <c r="T109" s="341"/>
      <c r="U109" s="341"/>
      <c r="V109" s="341"/>
      <c r="W109" s="341"/>
      <c r="X109" s="341"/>
      <c r="Y109" s="459"/>
      <c r="Z109" s="1"/>
      <c r="AA109" s="1"/>
      <c r="AB109" s="1"/>
      <c r="AC109" s="1"/>
      <c r="AD109" s="1"/>
      <c r="AE109" s="1"/>
      <c r="AF109" s="1"/>
      <c r="AG109" s="1"/>
      <c r="AH109" s="1"/>
      <c r="AI109" s="1"/>
      <c r="AJ109" s="1"/>
      <c r="AK109" s="1"/>
      <c r="AL109" s="1"/>
      <c r="AM109" s="1"/>
      <c r="AN109" s="1"/>
      <c r="AO109" s="1"/>
    </row>
    <row r="110" spans="1:41">
      <c r="A110" s="484" t="s">
        <v>228</v>
      </c>
      <c r="B110" s="1">
        <f>-'Reorganised Statements'!D89</f>
        <v>-125</v>
      </c>
      <c r="C110" s="1">
        <f>-'Reorganised Statements'!E89</f>
        <v>-125</v>
      </c>
      <c r="D110" s="1">
        <f>-'Reorganised Statements'!F89</f>
        <v>-104</v>
      </c>
      <c r="E110" s="1">
        <f>-'Reorganised Statements'!G89</f>
        <v>-102</v>
      </c>
      <c r="F110" s="369">
        <f>-'Reorganised Statements'!H89</f>
        <v>-94</v>
      </c>
      <c r="G110" s="446">
        <f>-(S111+S112+S113+S114+S115+S116+S117+U122)*U119</f>
        <v>-74.929244775865939</v>
      </c>
      <c r="H110" s="446">
        <f>-(S111+S112+S113+S114+S115+S116+S117+U122+V122)*V119</f>
        <v>-84.408457460312206</v>
      </c>
      <c r="I110" s="446">
        <f>-(S112+S113+S114+S115+S116+S117+U122+V122+W122)*W119</f>
        <v>-80.705942935251173</v>
      </c>
      <c r="J110" s="446">
        <f>-(S113+S114+S115+S116+S117+U122+V122+W122+X122)*X119</f>
        <v>-70.745016989425835</v>
      </c>
      <c r="K110" s="458">
        <f>-(S114+S115+S116+S117+U122+V122+W122+X122+Y122)*Y119</f>
        <v>-66.825195195598937</v>
      </c>
      <c r="L110" s="1"/>
      <c r="M110" s="1"/>
      <c r="N110" s="1"/>
      <c r="O110" s="1"/>
      <c r="P110" s="1"/>
      <c r="Q110" s="1"/>
      <c r="R110" s="1"/>
      <c r="S110" s="799" t="s">
        <v>601</v>
      </c>
      <c r="T110" s="804" t="s">
        <v>602</v>
      </c>
      <c r="U110" s="52">
        <v>2020</v>
      </c>
      <c r="V110" s="52">
        <v>2021</v>
      </c>
      <c r="W110" s="52">
        <v>2022</v>
      </c>
      <c r="X110" s="52">
        <v>2023</v>
      </c>
      <c r="Y110" s="278">
        <v>2024</v>
      </c>
      <c r="Z110" s="1"/>
      <c r="AA110" s="1"/>
      <c r="AB110" s="1"/>
      <c r="AC110" s="1"/>
      <c r="AD110" s="1"/>
      <c r="AE110" s="1"/>
      <c r="AF110" s="1"/>
      <c r="AG110" s="1"/>
      <c r="AH110" s="1"/>
      <c r="AI110" s="1"/>
      <c r="AJ110" s="1"/>
      <c r="AK110" s="1"/>
      <c r="AL110" s="1"/>
      <c r="AM110" s="1"/>
      <c r="AN110" s="1"/>
      <c r="AO110" s="1"/>
    </row>
    <row r="111" spans="1:41">
      <c r="A111" s="485" t="s">
        <v>230</v>
      </c>
      <c r="B111" s="101">
        <f>-'Reorganised Statements'!D90</f>
        <v>-15</v>
      </c>
      <c r="C111" s="101">
        <f>-'Reorganised Statements'!E90</f>
        <v>-9</v>
      </c>
      <c r="D111" s="101">
        <f>-'Reorganised Statements'!F90</f>
        <v>-9</v>
      </c>
      <c r="E111" s="101">
        <f>-'Reorganised Statements'!G90</f>
        <v>-6</v>
      </c>
      <c r="F111" s="99">
        <f>-'Reorganised Statements'!H90</f>
        <v>-4</v>
      </c>
      <c r="G111" s="456">
        <f>-(-0.0051*G97)</f>
        <v>-5.1898426172833263</v>
      </c>
      <c r="H111" s="456">
        <f>-(-0.0051*H97)</f>
        <v>-5.3611173121956135</v>
      </c>
      <c r="I111" s="456">
        <f>-(-0.0051*I97)</f>
        <v>-5.5380443983807313</v>
      </c>
      <c r="J111" s="456">
        <f>-(-0.0051*J97)</f>
        <v>-5.7208104155205497</v>
      </c>
      <c r="K111" s="457">
        <f>-(-0.0051*K97)</f>
        <v>-5.9140395933563497</v>
      </c>
      <c r="L111" s="1"/>
      <c r="M111" s="1"/>
      <c r="N111" s="1"/>
      <c r="O111" s="1"/>
      <c r="P111" s="1"/>
      <c r="Q111" s="1"/>
      <c r="R111" s="1"/>
      <c r="S111" s="465">
        <v>351.5</v>
      </c>
      <c r="T111" s="595">
        <v>2021</v>
      </c>
      <c r="U111" s="370">
        <v>4.3749999999999997E-2</v>
      </c>
      <c r="V111" s="370">
        <v>4.3749999999999997E-2</v>
      </c>
      <c r="W111" s="801">
        <v>0</v>
      </c>
      <c r="X111" s="801">
        <v>0</v>
      </c>
      <c r="Y111" s="486">
        <v>0</v>
      </c>
      <c r="Z111" s="1"/>
      <c r="AA111" s="1"/>
      <c r="AB111" s="1"/>
      <c r="AC111" s="1"/>
      <c r="AD111" s="1"/>
      <c r="AE111" s="1"/>
      <c r="AF111" s="1"/>
      <c r="AG111" s="1"/>
      <c r="AH111" s="1"/>
      <c r="AI111" s="1"/>
      <c r="AJ111" s="1"/>
      <c r="AK111" s="1"/>
      <c r="AL111" s="1"/>
      <c r="AM111" s="1"/>
      <c r="AN111" s="1"/>
      <c r="AO111" s="1"/>
    </row>
    <row r="112" spans="1:41">
      <c r="A112" s="74" t="s">
        <v>603</v>
      </c>
      <c r="B112" s="102">
        <f>B110+B111</f>
        <v>-140</v>
      </c>
      <c r="C112" s="102">
        <f t="shared" ref="C112:F112" si="60">C110+C111</f>
        <v>-134</v>
      </c>
      <c r="D112" s="102">
        <f t="shared" si="60"/>
        <v>-113</v>
      </c>
      <c r="E112" s="102">
        <f t="shared" si="60"/>
        <v>-108</v>
      </c>
      <c r="F112" s="74">
        <f t="shared" si="60"/>
        <v>-98</v>
      </c>
      <c r="G112" s="487">
        <f>G110+G111</f>
        <v>-80.119087393149272</v>
      </c>
      <c r="H112" s="487">
        <f t="shared" ref="H112:K112" si="61">H110+H111</f>
        <v>-89.769574772507823</v>
      </c>
      <c r="I112" s="487">
        <f t="shared" si="61"/>
        <v>-86.243987333631907</v>
      </c>
      <c r="J112" s="487">
        <f t="shared" si="61"/>
        <v>-76.465827404946381</v>
      </c>
      <c r="K112" s="488">
        <f t="shared" si="61"/>
        <v>-72.739234788955287</v>
      </c>
      <c r="L112" s="1"/>
      <c r="M112" s="1"/>
      <c r="N112" s="1"/>
      <c r="O112" s="1"/>
      <c r="P112" s="1"/>
      <c r="Q112" s="1"/>
      <c r="R112" s="1"/>
      <c r="S112" s="465">
        <v>500</v>
      </c>
      <c r="T112" s="595">
        <v>2022</v>
      </c>
      <c r="U112" s="370">
        <v>3.6880000000000003E-2</v>
      </c>
      <c r="V112" s="370">
        <v>3.6880000000000003E-2</v>
      </c>
      <c r="W112" s="370">
        <v>3.6880000000000003E-2</v>
      </c>
      <c r="X112" s="801">
        <v>0</v>
      </c>
      <c r="Y112" s="486">
        <v>0</v>
      </c>
      <c r="Z112" s="1"/>
      <c r="AA112" s="1"/>
      <c r="AB112" s="1"/>
      <c r="AC112" s="1"/>
      <c r="AD112" s="1"/>
      <c r="AE112" s="1"/>
      <c r="AF112" s="1"/>
      <c r="AG112" s="1"/>
      <c r="AH112" s="1"/>
      <c r="AI112" s="1"/>
      <c r="AJ112" s="1"/>
      <c r="AK112" s="1"/>
      <c r="AL112" s="1"/>
      <c r="AM112" s="1"/>
      <c r="AN112" s="1"/>
      <c r="AO112" s="1"/>
    </row>
    <row r="113" spans="1:41">
      <c r="A113" s="369" t="s">
        <v>242</v>
      </c>
      <c r="B113" s="1">
        <f>-'Reorganised Statements'!D96</f>
        <v>-162</v>
      </c>
      <c r="C113" s="1">
        <f>-'Reorganised Statements'!E96</f>
        <v>-192</v>
      </c>
      <c r="D113" s="1">
        <f>-'Reorganised Statements'!F96</f>
        <v>-158</v>
      </c>
      <c r="E113" s="1">
        <f>-'Reorganised Statements'!G96</f>
        <v>-132</v>
      </c>
      <c r="F113" s="378">
        <f>-'Reorganised Statements'!H96</f>
        <v>-130</v>
      </c>
      <c r="G113" s="446">
        <f>G112/G114</f>
        <v>-101.93086741299238</v>
      </c>
      <c r="H113" s="446">
        <f t="shared" ref="H113:K113" si="62">H112/H114</f>
        <v>-114.20862270879553</v>
      </c>
      <c r="I113" s="446">
        <f t="shared" si="62"/>
        <v>-109.72322231947831</v>
      </c>
      <c r="J113" s="446">
        <f t="shared" si="62"/>
        <v>-97.283036645083016</v>
      </c>
      <c r="K113" s="458">
        <f t="shared" si="62"/>
        <v>-92.541909028653066</v>
      </c>
      <c r="L113" s="1"/>
      <c r="M113" s="1"/>
      <c r="N113" s="1"/>
      <c r="O113" s="1"/>
      <c r="P113" s="1"/>
      <c r="Q113" s="1"/>
      <c r="R113" s="1"/>
      <c r="S113" s="465">
        <v>300</v>
      </c>
      <c r="T113" s="595">
        <v>2023</v>
      </c>
      <c r="U113" s="370">
        <v>4.0570000000000002E-2</v>
      </c>
      <c r="V113" s="370">
        <v>4.0570000000000002E-2</v>
      </c>
      <c r="W113" s="370">
        <v>4.0570000000000002E-2</v>
      </c>
      <c r="X113" s="370">
        <v>4.0570000000000002E-2</v>
      </c>
      <c r="Y113" s="486">
        <v>0</v>
      </c>
      <c r="Z113" s="1"/>
      <c r="AA113" s="1"/>
      <c r="AB113" s="1"/>
      <c r="AC113" s="1"/>
      <c r="AD113" s="1"/>
      <c r="AE113" s="1"/>
      <c r="AF113" s="1"/>
      <c r="AG113" s="1"/>
      <c r="AH113" s="1"/>
      <c r="AI113" s="1"/>
      <c r="AJ113" s="1"/>
      <c r="AK113" s="1"/>
      <c r="AL113" s="1"/>
      <c r="AM113" s="1"/>
      <c r="AN113" s="1"/>
      <c r="AO113" s="1"/>
    </row>
    <row r="114" spans="1:41">
      <c r="A114" s="369" t="s">
        <v>604</v>
      </c>
      <c r="B114" s="371">
        <f>B112/B113</f>
        <v>0.86419753086419748</v>
      </c>
      <c r="C114" s="371">
        <f t="shared" ref="C114:F114" si="63">C112/C113</f>
        <v>0.69791666666666663</v>
      </c>
      <c r="D114" s="371">
        <f t="shared" si="63"/>
        <v>0.71518987341772156</v>
      </c>
      <c r="E114" s="371">
        <f t="shared" si="63"/>
        <v>0.81818181818181823</v>
      </c>
      <c r="F114" s="437">
        <f t="shared" si="63"/>
        <v>0.75384615384615383</v>
      </c>
      <c r="G114" s="415">
        <f>AVERAGE(E114,F114)</f>
        <v>0.78601398601398609</v>
      </c>
      <c r="H114" s="415">
        <f>G114</f>
        <v>0.78601398601398609</v>
      </c>
      <c r="I114" s="415">
        <f t="shared" ref="I114:K114" si="64">H114</f>
        <v>0.78601398601398609</v>
      </c>
      <c r="J114" s="415">
        <f t="shared" si="64"/>
        <v>0.78601398601398609</v>
      </c>
      <c r="K114" s="438">
        <f t="shared" si="64"/>
        <v>0.78601398601398609</v>
      </c>
      <c r="L114" s="1"/>
      <c r="M114" s="1"/>
      <c r="N114" s="1"/>
      <c r="O114" s="1"/>
      <c r="P114" s="1"/>
      <c r="Q114" s="1"/>
      <c r="R114" s="1"/>
      <c r="S114" s="465">
        <v>300</v>
      </c>
      <c r="T114" s="595">
        <v>2024</v>
      </c>
      <c r="U114" s="370">
        <v>1.2840000000000001E-2</v>
      </c>
      <c r="V114" s="370">
        <v>1.2840000000000001E-2</v>
      </c>
      <c r="W114" s="370">
        <v>1.2840000000000001E-2</v>
      </c>
      <c r="X114" s="370">
        <v>1.2840000000000001E-2</v>
      </c>
      <c r="Y114" s="435">
        <v>1.2840000000000001E-2</v>
      </c>
      <c r="Z114" s="1"/>
      <c r="AA114" s="1"/>
      <c r="AB114" s="1"/>
      <c r="AC114" s="1"/>
      <c r="AD114" s="1"/>
      <c r="AE114" s="1"/>
      <c r="AF114" s="1"/>
      <c r="AG114" s="1"/>
      <c r="AH114" s="1"/>
      <c r="AI114" s="1"/>
      <c r="AJ114" s="1"/>
      <c r="AK114" s="1"/>
      <c r="AL114" s="1"/>
      <c r="AM114" s="1"/>
      <c r="AN114" s="1"/>
      <c r="AO114" s="1"/>
    </row>
    <row r="115" spans="1:41">
      <c r="A115" s="369"/>
      <c r="B115" s="371"/>
      <c r="C115" s="371"/>
      <c r="D115" s="371"/>
      <c r="E115" s="371"/>
      <c r="F115" s="437"/>
      <c r="G115" s="415"/>
      <c r="H115" s="415"/>
      <c r="I115" s="415"/>
      <c r="J115" s="415"/>
      <c r="K115" s="438"/>
      <c r="L115" s="1"/>
      <c r="M115" s="1"/>
      <c r="N115" s="1"/>
      <c r="O115" s="1"/>
      <c r="P115" s="1"/>
      <c r="Q115" s="1"/>
      <c r="R115" s="1"/>
      <c r="S115" s="465">
        <v>300</v>
      </c>
      <c r="T115" s="595">
        <v>2025</v>
      </c>
      <c r="U115" s="370">
        <v>1.8360000000000001E-2</v>
      </c>
      <c r="V115" s="370">
        <v>1.8360000000000001E-2</v>
      </c>
      <c r="W115" s="370">
        <v>1.8360000000000001E-2</v>
      </c>
      <c r="X115" s="370">
        <v>1.8360000000000001E-2</v>
      </c>
      <c r="Y115" s="435">
        <v>1.8360000000000001E-2</v>
      </c>
      <c r="Z115" s="1"/>
      <c r="AA115" s="1"/>
      <c r="AB115" s="1"/>
      <c r="AC115" s="1"/>
      <c r="AD115" s="1"/>
      <c r="AE115" s="1"/>
      <c r="AF115" s="1"/>
      <c r="AG115" s="1"/>
      <c r="AH115" s="1"/>
      <c r="AI115" s="1"/>
      <c r="AJ115" s="1"/>
      <c r="AK115" s="1"/>
      <c r="AL115" s="1"/>
      <c r="AM115" s="1"/>
      <c r="AN115" s="1"/>
      <c r="AO115" s="1"/>
    </row>
    <row r="116" spans="1:41">
      <c r="A116" s="369"/>
      <c r="B116" s="1"/>
      <c r="C116" s="1"/>
      <c r="D116" s="1"/>
      <c r="E116" s="1"/>
      <c r="F116" s="369"/>
      <c r="G116" s="1"/>
      <c r="H116" s="1"/>
      <c r="I116" s="1"/>
      <c r="J116" s="1"/>
      <c r="K116" s="369"/>
      <c r="L116" s="1"/>
      <c r="M116" s="1"/>
      <c r="N116" s="1"/>
      <c r="O116" s="1"/>
      <c r="P116" s="1"/>
      <c r="Q116" s="1"/>
      <c r="R116" s="1"/>
      <c r="S116" s="465">
        <v>300</v>
      </c>
      <c r="T116" s="595">
        <v>2027</v>
      </c>
      <c r="U116" s="370">
        <v>1.7680000000000001E-2</v>
      </c>
      <c r="V116" s="370">
        <v>1.7680000000000001E-2</v>
      </c>
      <c r="W116" s="370">
        <v>1.7680000000000001E-2</v>
      </c>
      <c r="X116" s="370">
        <v>1.7680000000000001E-2</v>
      </c>
      <c r="Y116" s="435">
        <v>1.7680000000000001E-2</v>
      </c>
      <c r="Z116" s="1"/>
      <c r="AA116" s="1"/>
      <c r="AB116" s="1"/>
      <c r="AC116" s="1"/>
      <c r="AD116" s="1"/>
      <c r="AE116" s="1"/>
      <c r="AF116" s="1"/>
      <c r="AG116" s="1"/>
      <c r="AH116" s="1"/>
      <c r="AI116" s="1"/>
      <c r="AJ116" s="1"/>
      <c r="AK116" s="1"/>
      <c r="AL116" s="1"/>
      <c r="AM116" s="1"/>
      <c r="AN116" s="1"/>
      <c r="AO116" s="1"/>
    </row>
    <row r="117" spans="1:41">
      <c r="A117" s="369" t="s">
        <v>605</v>
      </c>
      <c r="B117" s="1">
        <f>'Reorganised Statements'!D99</f>
        <v>-137</v>
      </c>
      <c r="C117" s="1">
        <f>'Reorganised Statements'!E99</f>
        <v>-109</v>
      </c>
      <c r="D117" s="1">
        <f>'Reorganised Statements'!F99</f>
        <v>-134</v>
      </c>
      <c r="E117" s="1">
        <f>'Reorganised Statements'!G99</f>
        <v>-98</v>
      </c>
      <c r="F117" s="369">
        <f>'Reorganised Statements'!H99</f>
        <v>-106</v>
      </c>
      <c r="G117" s="446">
        <f>G99*AVERAGE(E118:F118)</f>
        <v>-107.83965773302464</v>
      </c>
      <c r="H117" s="446">
        <f>H99*G118</f>
        <v>-111.39857191207112</v>
      </c>
      <c r="I117" s="446">
        <f t="shared" ref="I117:K117" si="65">I99*H118</f>
        <v>-115.07493704005491</v>
      </c>
      <c r="J117" s="446">
        <f t="shared" si="65"/>
        <v>-118.87262922207778</v>
      </c>
      <c r="K117" s="458">
        <f t="shared" si="65"/>
        <v>-122.88773525486037</v>
      </c>
      <c r="L117" s="1"/>
      <c r="M117" s="1"/>
      <c r="N117" s="1"/>
      <c r="O117" s="1"/>
      <c r="P117" s="1"/>
      <c r="Q117" s="1"/>
      <c r="R117" s="1"/>
      <c r="S117" s="465">
        <v>400</v>
      </c>
      <c r="T117" s="595">
        <v>2029</v>
      </c>
      <c r="U117" s="370">
        <v>1.3899999999999999E-2</v>
      </c>
      <c r="V117" s="370">
        <v>1.3899999999999999E-2</v>
      </c>
      <c r="W117" s="370">
        <v>1.3899999999999999E-2</v>
      </c>
      <c r="X117" s="370">
        <v>1.3899999999999999E-2</v>
      </c>
      <c r="Y117" s="435">
        <v>1.3899999999999999E-2</v>
      </c>
      <c r="Z117" s="1"/>
      <c r="AA117" s="1"/>
      <c r="AB117" s="1"/>
      <c r="AC117" s="1"/>
      <c r="AD117" s="1"/>
      <c r="AE117" s="1"/>
      <c r="AF117" s="1"/>
      <c r="AG117" s="1"/>
      <c r="AH117" s="1"/>
      <c r="AI117" s="1"/>
      <c r="AJ117" s="1"/>
      <c r="AK117" s="1"/>
      <c r="AL117" s="1"/>
      <c r="AM117" s="1"/>
      <c r="AN117" s="1"/>
      <c r="AO117" s="1"/>
    </row>
    <row r="118" spans="1:41" ht="15" thickBot="1">
      <c r="A118" s="369" t="s">
        <v>767</v>
      </c>
      <c r="B118" s="1"/>
      <c r="C118" s="1"/>
      <c r="D118" s="1"/>
      <c r="E118" s="371">
        <f>E117/E99</f>
        <v>2.6644915715062535E-2</v>
      </c>
      <c r="F118" s="437">
        <f>F117/F99</f>
        <v>2.9354749376903903E-2</v>
      </c>
      <c r="G118" s="371">
        <f>G117/G99</f>
        <v>2.7999832545983219E-2</v>
      </c>
      <c r="H118" s="415">
        <f>G118</f>
        <v>2.7999832545983219E-2</v>
      </c>
      <c r="I118" s="415">
        <f t="shared" ref="I118:K118" si="66">H118</f>
        <v>2.7999832545983219E-2</v>
      </c>
      <c r="J118" s="415">
        <f t="shared" si="66"/>
        <v>2.7999832545983219E-2</v>
      </c>
      <c r="K118" s="438">
        <f t="shared" si="66"/>
        <v>2.7999832545983219E-2</v>
      </c>
      <c r="L118" s="1"/>
      <c r="M118" s="1"/>
      <c r="N118" s="1"/>
      <c r="O118" s="1"/>
      <c r="P118" s="1"/>
      <c r="Q118" s="1"/>
      <c r="R118" s="1"/>
      <c r="S118" s="465" t="s">
        <v>606</v>
      </c>
      <c r="T118" s="595"/>
      <c r="U118" s="370">
        <f>'[2]WACC '!C22</f>
        <v>2.1758250683779193E-2</v>
      </c>
      <c r="V118" s="370">
        <f>U118</f>
        <v>2.1758250683779193E-2</v>
      </c>
      <c r="W118" s="370">
        <f t="shared" ref="W118:Y118" si="67">V118</f>
        <v>2.1758250683779193E-2</v>
      </c>
      <c r="X118" s="370">
        <f t="shared" si="67"/>
        <v>2.1758250683779193E-2</v>
      </c>
      <c r="Y118" s="435">
        <f t="shared" si="67"/>
        <v>2.1758250683779193E-2</v>
      </c>
      <c r="Z118" s="1"/>
      <c r="AA118" s="1"/>
      <c r="AB118" s="1"/>
      <c r="AC118" s="1"/>
      <c r="AD118" s="1"/>
      <c r="AE118" s="1"/>
      <c r="AF118" s="1"/>
      <c r="AG118" s="1"/>
      <c r="AH118" s="1"/>
      <c r="AI118" s="1"/>
      <c r="AJ118" s="1"/>
      <c r="AK118" s="1"/>
      <c r="AL118" s="1"/>
      <c r="AM118" s="1"/>
      <c r="AN118" s="1"/>
      <c r="AO118" s="1"/>
    </row>
    <row r="119" spans="1:41" ht="15" thickBot="1">
      <c r="A119" s="489" t="s">
        <v>451</v>
      </c>
      <c r="B119" s="1"/>
      <c r="C119" s="1"/>
      <c r="D119" s="1"/>
      <c r="E119" s="1"/>
      <c r="F119" s="369"/>
      <c r="G119" s="1"/>
      <c r="H119" s="1"/>
      <c r="I119" s="1"/>
      <c r="J119" s="1"/>
      <c r="K119" s="369"/>
      <c r="L119" s="1"/>
      <c r="M119" s="1"/>
      <c r="N119" s="1"/>
      <c r="O119" s="1"/>
      <c r="P119" s="1"/>
      <c r="Q119" s="1"/>
      <c r="R119" s="1"/>
      <c r="S119" s="803" t="s">
        <v>607</v>
      </c>
      <c r="T119" s="805"/>
      <c r="U119" s="802">
        <f>(SUM((U111*S111),(U112*S112),(U113*S113),(U114*S114),(U115*S115),(U116*S116),(U117*S117),U118*U122))/(SUM(S111:S117) +U122)</f>
        <v>2.6271704731400839E-2</v>
      </c>
      <c r="V119" s="802">
        <f>(SUM((U111*S111),(U112*S112),(U113*S113),(U114*S114),(U115*S115),(U116*S116),(U117*S117),(U118*V122),(U122*U118)))/(SUM(S111:S117) +V122+U122)</f>
        <v>2.5673625724398619E-2</v>
      </c>
      <c r="W119" s="802">
        <f>(SUM((U112*S112),(U113*S113),(U114*S114),(U115*S115),(U116*S116),(U117*S117),(U118*W122),(V122*U118),(U122*U118)))/(SUM(S112:S117)+W122+U122+V122)</f>
        <v>2.3239070419649548E-2</v>
      </c>
      <c r="X119" s="802">
        <f>(SUM((U113*S113),(U114*S114),(U115*S115),(U116*S116),(U117*S117),(U118*X122),(W122*U118),(V122*U118),(U122*U118)))/(SUM(S113:S117)+X122+W122+V122+U122)</f>
        <v>2.103909388632904E-2</v>
      </c>
      <c r="Y119" s="490">
        <f>SUM((S114*U114),(S115*U115),(S116*U116),(S117*U117),(Y118*Y122),(X122*U118),(W122*U118),(V122*U118),(U122*U118))/(S114+S115+S116+S117+U122+V122+W122+X122+Y122)</f>
        <v>1.9415931754190315E-2</v>
      </c>
      <c r="Z119" s="1"/>
      <c r="AA119" s="1"/>
      <c r="AB119" s="1"/>
      <c r="AC119" s="1"/>
      <c r="AD119" s="1"/>
      <c r="AE119" s="1"/>
      <c r="AF119" s="1"/>
      <c r="AG119" s="1"/>
      <c r="AH119" s="1"/>
      <c r="AI119" s="1"/>
      <c r="AJ119" s="1"/>
      <c r="AK119" s="1"/>
      <c r="AL119" s="1"/>
      <c r="AM119" s="1"/>
      <c r="AN119" s="1"/>
      <c r="AO119" s="1"/>
    </row>
    <row r="120" spans="1:41">
      <c r="A120" s="369" t="s">
        <v>608</v>
      </c>
      <c r="B120" s="1"/>
      <c r="C120" s="1"/>
      <c r="D120" s="1"/>
      <c r="E120" s="1"/>
      <c r="F120" s="369"/>
      <c r="G120" s="481">
        <f>G176</f>
        <v>544.56139017900625</v>
      </c>
      <c r="H120" s="481">
        <f t="shared" ref="H120:K120" si="68">H176</f>
        <v>588.22893768113204</v>
      </c>
      <c r="I120" s="481">
        <f t="shared" si="68"/>
        <v>653.13977415749594</v>
      </c>
      <c r="J120" s="481">
        <f t="shared" si="68"/>
        <v>730.68861768672582</v>
      </c>
      <c r="K120" s="482">
        <f t="shared" si="68"/>
        <v>805.4407544425253</v>
      </c>
      <c r="L120" s="1"/>
      <c r="M120" s="1"/>
      <c r="N120" s="1"/>
      <c r="O120" s="1"/>
      <c r="P120" s="1"/>
      <c r="Q120" s="1"/>
      <c r="R120" s="1"/>
      <c r="S120" s="465"/>
      <c r="T120" s="595"/>
      <c r="U120" s="52"/>
      <c r="V120" s="52"/>
      <c r="W120" s="52"/>
      <c r="X120" s="52"/>
      <c r="Y120" s="278"/>
      <c r="Z120" s="1"/>
      <c r="AA120" s="1"/>
      <c r="AB120" s="1"/>
      <c r="AC120" s="1"/>
      <c r="AD120" s="1"/>
      <c r="AE120" s="1"/>
      <c r="AF120" s="1"/>
      <c r="AG120" s="1"/>
      <c r="AH120" s="1"/>
      <c r="AI120" s="1"/>
      <c r="AJ120" s="1"/>
      <c r="AK120" s="1"/>
      <c r="AL120" s="1"/>
      <c r="AM120" s="1"/>
      <c r="AN120" s="1"/>
      <c r="AO120" s="1"/>
    </row>
    <row r="121" spans="1:41">
      <c r="A121" s="99" t="s">
        <v>609</v>
      </c>
      <c r="B121" s="101"/>
      <c r="C121" s="101"/>
      <c r="D121" s="101"/>
      <c r="E121" s="101"/>
      <c r="F121" s="99"/>
      <c r="G121" s="471">
        <v>0.24</v>
      </c>
      <c r="H121" s="471">
        <f>G121</f>
        <v>0.24</v>
      </c>
      <c r="I121" s="471">
        <f t="shared" ref="I121:K121" si="69">H121</f>
        <v>0.24</v>
      </c>
      <c r="J121" s="471">
        <f t="shared" si="69"/>
        <v>0.24</v>
      </c>
      <c r="K121" s="491">
        <f t="shared" si="69"/>
        <v>0.24</v>
      </c>
      <c r="L121" s="1"/>
      <c r="M121" s="1"/>
      <c r="N121" s="1"/>
      <c r="O121" s="1"/>
      <c r="P121" s="1"/>
      <c r="Q121" s="1"/>
      <c r="R121" s="1"/>
      <c r="S121" s="465"/>
      <c r="T121" s="595" t="s">
        <v>756</v>
      </c>
      <c r="U121" s="52">
        <v>2020</v>
      </c>
      <c r="V121" s="52">
        <v>2021</v>
      </c>
      <c r="W121" s="52">
        <v>2022</v>
      </c>
      <c r="X121" s="52">
        <v>2023</v>
      </c>
      <c r="Y121" s="278">
        <v>2024</v>
      </c>
      <c r="Z121" s="1"/>
      <c r="AA121" s="1"/>
      <c r="AB121" s="1"/>
      <c r="AC121" s="1"/>
      <c r="AD121" s="1"/>
      <c r="AE121" s="1"/>
      <c r="AF121" s="1"/>
      <c r="AG121" s="1"/>
      <c r="AH121" s="1"/>
      <c r="AI121" s="1"/>
      <c r="AJ121" s="1"/>
      <c r="AK121" s="1"/>
      <c r="AL121" s="1"/>
      <c r="AM121" s="1"/>
      <c r="AN121" s="1"/>
      <c r="AO121" s="1"/>
    </row>
    <row r="122" spans="1:41" ht="15" thickBot="1">
      <c r="A122" s="369" t="s">
        <v>610</v>
      </c>
      <c r="B122" s="1"/>
      <c r="C122" s="1"/>
      <c r="D122" s="1"/>
      <c r="E122" s="1"/>
      <c r="F122" s="369"/>
      <c r="G122" s="446">
        <f>-G121*G120</f>
        <v>-130.69473364296149</v>
      </c>
      <c r="H122" s="446">
        <f t="shared" ref="H122:K122" si="70">-H121*H120</f>
        <v>-141.17494504347169</v>
      </c>
      <c r="I122" s="446">
        <f t="shared" si="70"/>
        <v>-156.75354579779901</v>
      </c>
      <c r="J122" s="446">
        <f t="shared" si="70"/>
        <v>-175.36526824481419</v>
      </c>
      <c r="K122" s="458">
        <f t="shared" si="70"/>
        <v>-193.30578106620607</v>
      </c>
      <c r="L122" s="1"/>
      <c r="M122" s="1"/>
      <c r="N122" s="1"/>
      <c r="O122" s="1"/>
      <c r="P122" s="1"/>
      <c r="Q122" s="1"/>
      <c r="R122" s="1"/>
      <c r="S122" s="800" t="s">
        <v>611</v>
      </c>
      <c r="T122" s="77"/>
      <c r="U122" s="806">
        <f>T94</f>
        <v>400.58917890691527</v>
      </c>
      <c r="V122" s="806">
        <f t="shared" ref="V122:Y122" si="71">U94</f>
        <v>435.6606062781064</v>
      </c>
      <c r="W122" s="806">
        <f t="shared" si="71"/>
        <v>536.60611988642768</v>
      </c>
      <c r="X122" s="806">
        <f t="shared" si="71"/>
        <v>389.69465778311968</v>
      </c>
      <c r="Y122" s="807">
        <f t="shared" si="71"/>
        <v>379.22066098468014</v>
      </c>
      <c r="Z122" s="1"/>
      <c r="AA122" s="1"/>
      <c r="AB122" s="1"/>
      <c r="AC122" s="1"/>
      <c r="AD122" s="1"/>
      <c r="AE122" s="1"/>
      <c r="AF122" s="1"/>
      <c r="AG122" s="1"/>
      <c r="AH122" s="1"/>
      <c r="AI122" s="1"/>
      <c r="AJ122" s="1"/>
      <c r="AK122" s="1"/>
      <c r="AL122" s="1"/>
      <c r="AM122" s="1"/>
      <c r="AN122" s="1"/>
      <c r="AO122" s="1"/>
    </row>
    <row r="123" spans="1:41">
      <c r="A123" s="369"/>
      <c r="B123" s="1"/>
      <c r="C123" s="1"/>
      <c r="D123" s="1"/>
      <c r="E123" s="1"/>
      <c r="F123" s="369"/>
      <c r="G123" s="1"/>
      <c r="H123" s="1"/>
      <c r="I123" s="1"/>
      <c r="J123" s="1"/>
      <c r="K123" s="369"/>
      <c r="L123" s="1"/>
      <c r="M123" s="1"/>
      <c r="N123" s="1"/>
      <c r="O123" s="1"/>
      <c r="P123" s="1"/>
      <c r="Q123" s="1"/>
      <c r="R123" s="1"/>
      <c r="S123" s="1"/>
      <c r="T123" s="1"/>
      <c r="U123" s="446"/>
      <c r="V123" s="446"/>
      <c r="W123" s="446"/>
      <c r="X123" s="446"/>
      <c r="Y123" s="446"/>
      <c r="Z123" s="1"/>
      <c r="AA123" s="1"/>
      <c r="AB123" s="1"/>
      <c r="AC123" s="1"/>
      <c r="AD123" s="1"/>
      <c r="AE123" s="1"/>
      <c r="AF123" s="1"/>
      <c r="AG123" s="1"/>
      <c r="AH123" s="1"/>
      <c r="AI123" s="1"/>
      <c r="AJ123" s="1"/>
      <c r="AK123" s="1"/>
      <c r="AL123" s="1"/>
      <c r="AM123" s="1"/>
      <c r="AN123" s="1"/>
      <c r="AO123" s="1"/>
    </row>
    <row r="124" spans="1:41" ht="15" thickBot="1">
      <c r="A124" s="369" t="s">
        <v>612</v>
      </c>
      <c r="B124" s="1"/>
      <c r="C124" s="1"/>
      <c r="D124" s="1"/>
      <c r="E124" s="1"/>
      <c r="F124" s="369"/>
      <c r="G124" s="481">
        <f>G172</f>
        <v>646.49225759199862</v>
      </c>
      <c r="H124" s="481">
        <f t="shared" ref="H124:K124" si="72">H172</f>
        <v>702.43756038992751</v>
      </c>
      <c r="I124" s="481">
        <f t="shared" si="72"/>
        <v>762.86299647697422</v>
      </c>
      <c r="J124" s="481">
        <f t="shared" si="72"/>
        <v>827.97165433180885</v>
      </c>
      <c r="K124" s="482">
        <f t="shared" si="72"/>
        <v>897.9826634711784</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row>
    <row r="125" spans="1:41">
      <c r="A125" s="99" t="s">
        <v>613</v>
      </c>
      <c r="B125" s="101"/>
      <c r="C125" s="101"/>
      <c r="D125" s="101"/>
      <c r="E125" s="101"/>
      <c r="F125" s="99"/>
      <c r="G125" s="492">
        <v>3.9E-2</v>
      </c>
      <c r="H125" s="492">
        <f>G125</f>
        <v>3.9E-2</v>
      </c>
      <c r="I125" s="492">
        <f t="shared" ref="I125:K125" si="73">H125</f>
        <v>3.9E-2</v>
      </c>
      <c r="J125" s="492">
        <f t="shared" si="73"/>
        <v>3.9E-2</v>
      </c>
      <c r="K125" s="493">
        <f t="shared" si="73"/>
        <v>3.9E-2</v>
      </c>
      <c r="L125" s="1"/>
      <c r="M125" s="1"/>
      <c r="N125" s="1"/>
      <c r="O125" s="1"/>
      <c r="P125" s="1"/>
      <c r="Q125" s="1"/>
      <c r="R125" s="1"/>
      <c r="S125" s="442" t="s">
        <v>614</v>
      </c>
      <c r="T125" s="282"/>
      <c r="U125" s="282"/>
      <c r="V125" s="282"/>
      <c r="W125" s="282"/>
      <c r="X125" s="282"/>
      <c r="Y125" s="280"/>
      <c r="Z125" s="1"/>
      <c r="AA125" s="1"/>
      <c r="AB125" s="1"/>
      <c r="AC125" s="1"/>
      <c r="AD125" s="1"/>
      <c r="AE125" s="1"/>
      <c r="AF125" s="1"/>
      <c r="AG125" s="1"/>
      <c r="AH125" s="1"/>
      <c r="AI125" s="1"/>
      <c r="AJ125" s="1"/>
      <c r="AK125" s="1"/>
      <c r="AL125" s="1"/>
      <c r="AM125" s="1"/>
      <c r="AN125" s="1"/>
      <c r="AO125" s="1"/>
    </row>
    <row r="126" spans="1:41">
      <c r="A126" s="369" t="s">
        <v>615</v>
      </c>
      <c r="B126" s="1"/>
      <c r="C126" s="1"/>
      <c r="D126" s="1"/>
      <c r="E126" s="1"/>
      <c r="F126" s="369"/>
      <c r="G126" s="446">
        <f>-G125*G124</f>
        <v>-25.213198046087946</v>
      </c>
      <c r="H126" s="446">
        <f t="shared" ref="H126:K126" si="74">-H125*H124</f>
        <v>-27.395064855207174</v>
      </c>
      <c r="I126" s="446">
        <f t="shared" si="74"/>
        <v>-29.751656862601994</v>
      </c>
      <c r="J126" s="446">
        <f t="shared" si="74"/>
        <v>-32.290894518940547</v>
      </c>
      <c r="K126" s="458">
        <f t="shared" si="74"/>
        <v>-35.021323875375955</v>
      </c>
      <c r="L126" s="1"/>
      <c r="M126" s="1"/>
      <c r="N126" s="1"/>
      <c r="O126" s="1"/>
      <c r="P126" s="1"/>
      <c r="Q126" s="1"/>
      <c r="R126" s="1"/>
      <c r="S126" s="257"/>
      <c r="T126" s="1"/>
      <c r="U126" s="1"/>
      <c r="V126" s="1"/>
      <c r="W126" s="1"/>
      <c r="X126" s="1"/>
      <c r="Y126" s="278"/>
      <c r="Z126" s="1"/>
      <c r="AA126" s="1"/>
      <c r="AB126" s="1"/>
      <c r="AC126" s="1"/>
      <c r="AD126" s="1"/>
      <c r="AE126" s="1"/>
      <c r="AF126" s="1"/>
      <c r="AG126" s="1"/>
      <c r="AH126" s="1"/>
      <c r="AI126" s="1"/>
      <c r="AJ126" s="1"/>
      <c r="AK126" s="1"/>
      <c r="AL126" s="1"/>
      <c r="AM126" s="1"/>
      <c r="AN126" s="1"/>
      <c r="AO126" s="1"/>
    </row>
    <row r="127" spans="1:41" ht="15" thickBot="1">
      <c r="A127" s="369"/>
      <c r="B127" s="1"/>
      <c r="C127" s="1"/>
      <c r="D127" s="1"/>
      <c r="E127" s="1"/>
      <c r="F127" s="369"/>
      <c r="G127" s="1"/>
      <c r="H127" s="1"/>
      <c r="I127" s="1"/>
      <c r="J127" s="1"/>
      <c r="K127" s="369"/>
      <c r="L127" s="1"/>
      <c r="M127" s="1"/>
      <c r="N127" s="1"/>
      <c r="O127" s="1"/>
      <c r="P127" s="1"/>
      <c r="Q127" s="1"/>
      <c r="R127" s="1"/>
      <c r="S127" s="269"/>
      <c r="T127" s="379"/>
      <c r="U127" s="379"/>
      <c r="V127" s="494">
        <f>C111/C97</f>
        <v>7.1864893999281339E-3</v>
      </c>
      <c r="W127" s="494">
        <f>D111/D97</f>
        <v>9.5226003047232093E-3</v>
      </c>
      <c r="X127" s="494">
        <f>E111/E97</f>
        <v>6.2743129627305808E-3</v>
      </c>
      <c r="Y127" s="495">
        <f>F111/F97</f>
        <v>3.9408866995073897E-3</v>
      </c>
      <c r="Z127" s="1"/>
      <c r="AA127" s="1"/>
      <c r="AB127" s="1"/>
      <c r="AC127" s="1"/>
      <c r="AD127" s="1"/>
      <c r="AE127" s="1"/>
      <c r="AF127" s="1"/>
      <c r="AG127" s="1"/>
      <c r="AH127" s="1"/>
      <c r="AI127" s="1"/>
      <c r="AJ127" s="1"/>
      <c r="AK127" s="1"/>
      <c r="AL127" s="1"/>
      <c r="AM127" s="1"/>
      <c r="AN127" s="1"/>
      <c r="AO127" s="1"/>
    </row>
    <row r="128" spans="1:41">
      <c r="A128" s="444" t="s">
        <v>616</v>
      </c>
      <c r="B128" s="377"/>
      <c r="C128" s="377"/>
      <c r="D128" s="377"/>
      <c r="E128" s="377"/>
      <c r="F128" s="444"/>
      <c r="G128" s="496">
        <f>G122+G126</f>
        <v>-155.90793168904943</v>
      </c>
      <c r="H128" s="496">
        <f t="shared" ref="H128:K128" si="75">H122+H126</f>
        <v>-168.57000989867888</v>
      </c>
      <c r="I128" s="496">
        <f t="shared" si="75"/>
        <v>-186.50520266040101</v>
      </c>
      <c r="J128" s="496">
        <f t="shared" si="75"/>
        <v>-207.65616276375474</v>
      </c>
      <c r="K128" s="497">
        <f t="shared" si="75"/>
        <v>-228.32710494158204</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row>
    <row r="129" spans="1:41">
      <c r="A129" s="369"/>
      <c r="B129" s="1"/>
      <c r="C129" s="1"/>
      <c r="D129" s="1"/>
      <c r="E129" s="1"/>
      <c r="F129" s="369"/>
      <c r="G129" s="1"/>
      <c r="H129" s="1"/>
      <c r="I129" s="1"/>
      <c r="J129" s="1"/>
      <c r="K129" s="369"/>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row>
    <row r="130" spans="1:41">
      <c r="A130" s="369" t="s">
        <v>617</v>
      </c>
      <c r="B130" s="1"/>
      <c r="C130" s="1"/>
      <c r="D130" s="1"/>
      <c r="E130" s="1"/>
      <c r="F130" s="369"/>
      <c r="G130" s="481">
        <f>G120</f>
        <v>544.56139017900625</v>
      </c>
      <c r="H130" s="481">
        <f t="shared" ref="H130:K130" si="76">H120</f>
        <v>588.22893768113204</v>
      </c>
      <c r="I130" s="481">
        <f t="shared" si="76"/>
        <v>653.13977415749594</v>
      </c>
      <c r="J130" s="481">
        <f t="shared" si="76"/>
        <v>730.68861768672582</v>
      </c>
      <c r="K130" s="482">
        <f t="shared" si="76"/>
        <v>805.4407544425253</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row>
    <row r="131" spans="1:41">
      <c r="A131" s="369" t="s">
        <v>618</v>
      </c>
      <c r="B131" s="1"/>
      <c r="C131" s="1"/>
      <c r="D131" s="1"/>
      <c r="E131" s="1"/>
      <c r="F131" s="369"/>
      <c r="G131" s="371">
        <f>-G128/G130</f>
        <v>0.28630001043188158</v>
      </c>
      <c r="H131" s="371">
        <f t="shared" ref="H131:K131" si="77">-H128/H130</f>
        <v>0.28657211350941314</v>
      </c>
      <c r="I131" s="371">
        <f t="shared" si="77"/>
        <v>0.28555174564430641</v>
      </c>
      <c r="J131" s="371">
        <f t="shared" si="77"/>
        <v>0.2841924148499394</v>
      </c>
      <c r="K131" s="437">
        <f t="shared" si="77"/>
        <v>0.28348094342409513</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row>
    <row r="132" spans="1:41">
      <c r="A132" s="369"/>
      <c r="B132" s="1"/>
      <c r="C132" s="1"/>
      <c r="D132" s="1"/>
      <c r="E132" s="1"/>
      <c r="F132" s="369"/>
      <c r="G132" s="1"/>
      <c r="H132" s="1"/>
      <c r="I132" s="1"/>
      <c r="J132" s="1"/>
      <c r="K132" s="369"/>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row>
    <row r="133" spans="1:41" ht="15" thickBot="1">
      <c r="A133" s="369"/>
      <c r="B133" s="1"/>
      <c r="C133" s="1"/>
      <c r="D133" s="1"/>
      <c r="E133" s="1"/>
      <c r="F133" s="369"/>
      <c r="G133" s="1"/>
      <c r="H133" s="1"/>
      <c r="I133" s="1"/>
      <c r="J133" s="1"/>
      <c r="K133" s="369"/>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row>
    <row r="134" spans="1:41" ht="15" thickBot="1">
      <c r="A134" s="441" t="s">
        <v>619</v>
      </c>
      <c r="B134" s="1"/>
      <c r="C134" s="1"/>
      <c r="D134" s="1"/>
      <c r="E134" s="1"/>
      <c r="F134" s="369"/>
      <c r="G134" s="1"/>
      <c r="H134" s="1"/>
      <c r="I134" s="1"/>
      <c r="J134" s="1"/>
      <c r="K134" s="369"/>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row>
    <row r="135" spans="1:41">
      <c r="A135" s="443"/>
      <c r="B135" s="1"/>
      <c r="C135" s="1"/>
      <c r="D135" s="1"/>
      <c r="E135" s="1"/>
      <c r="F135" s="369"/>
      <c r="G135" s="1"/>
      <c r="H135" s="1"/>
      <c r="I135" s="1"/>
      <c r="J135" s="1"/>
      <c r="K135" s="369"/>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row>
    <row r="136" spans="1:41">
      <c r="A136" s="369" t="s">
        <v>620</v>
      </c>
      <c r="B136" s="1">
        <f>'[2]Reorganised Statements'!D114</f>
        <v>75</v>
      </c>
      <c r="C136" s="1">
        <f>'[2]Reorganised Statements'!E114</f>
        <v>232</v>
      </c>
      <c r="D136" s="1">
        <f>'[2]Reorganised Statements'!F114</f>
        <v>293</v>
      </c>
      <c r="E136" s="1">
        <f>'[2]Reorganised Statements'!G114</f>
        <v>344</v>
      </c>
      <c r="F136" s="369">
        <f>'[2]Reorganised Statements'!H114</f>
        <v>389</v>
      </c>
      <c r="G136" s="481">
        <f>'[2]Output forecasts simo '!G27</f>
        <v>384.67815390052436</v>
      </c>
      <c r="H136" s="481">
        <f>'[2]Output forecasts simo '!H27</f>
        <v>415.36648672688739</v>
      </c>
      <c r="I136" s="481">
        <f>'[2]Output forecasts simo '!I27</f>
        <v>461.8616445794558</v>
      </c>
      <c r="J136" s="481">
        <f>'[2]Output forecasts simo '!J27</f>
        <v>517.68266766890713</v>
      </c>
      <c r="K136" s="482">
        <f>'[2]Output forecasts simo '!K27</f>
        <v>571.2106979399332</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row>
    <row r="137" spans="1:41">
      <c r="A137" s="369" t="s">
        <v>621</v>
      </c>
      <c r="B137" s="1">
        <f>B139*B138</f>
        <v>126</v>
      </c>
      <c r="C137" s="1">
        <f t="shared" ref="C137:F137" si="78">C139*C138</f>
        <v>153</v>
      </c>
      <c r="D137" s="1">
        <f t="shared" si="78"/>
        <v>180</v>
      </c>
      <c r="E137" s="1">
        <f t="shared" si="78"/>
        <v>218.00000000000003</v>
      </c>
      <c r="F137" s="369">
        <f t="shared" si="78"/>
        <v>240.99999999999997</v>
      </c>
      <c r="G137" s="446">
        <f>G138*G139</f>
        <v>248.73470848000002</v>
      </c>
      <c r="H137" s="446">
        <f t="shared" ref="H137:K137" si="79">H138*H139</f>
        <v>261.171443904</v>
      </c>
      <c r="I137" s="446">
        <f t="shared" si="79"/>
        <v>274.23001609920004</v>
      </c>
      <c r="J137" s="446">
        <f t="shared" si="79"/>
        <v>287.9415169041601</v>
      </c>
      <c r="K137" s="458">
        <f t="shared" si="79"/>
        <v>302.3385927493681</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row>
    <row r="138" spans="1:41">
      <c r="A138" s="369" t="s">
        <v>622</v>
      </c>
      <c r="B138" s="498">
        <f>'DCF Valuation Simone '!C11</f>
        <v>4.0566645202833228E-2</v>
      </c>
      <c r="C138" s="498">
        <f>'DCF Valuation Simone '!D11</f>
        <v>4.9209055201012208E-2</v>
      </c>
      <c r="D138" s="498">
        <f>'DCF Valuation Simone '!E11</f>
        <v>5.7893006118837895E-2</v>
      </c>
      <c r="E138" s="498">
        <f>'DCF Valuation Simone '!F11</f>
        <v>7.011486296614812E-2</v>
      </c>
      <c r="F138" s="499">
        <f>'DCF Valuation Simone '!G11</f>
        <v>7.7512302636888505E-2</v>
      </c>
      <c r="G138" s="816">
        <f>'DCF Valuation Simone '!H11</f>
        <v>0.08</v>
      </c>
      <c r="H138" s="816">
        <f>'DCF Valuation Simone '!I11</f>
        <v>8.4000000000000005E-2</v>
      </c>
      <c r="I138" s="816">
        <f>'DCF Valuation Simone '!J11</f>
        <v>8.8200000000000014E-2</v>
      </c>
      <c r="J138" s="816">
        <f>'DCF Valuation Simone '!K11</f>
        <v>9.2610000000000026E-2</v>
      </c>
      <c r="K138" s="436">
        <f>'DCF Valuation Simone '!L11</f>
        <v>9.7240500000000035E-2</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row>
    <row r="139" spans="1:41">
      <c r="A139" s="99" t="s">
        <v>623</v>
      </c>
      <c r="B139" s="500">
        <f>'DCF Valuation Simone '!C8</f>
        <v>3106</v>
      </c>
      <c r="C139" s="456">
        <f>'DCF Valuation Simone '!D8</f>
        <v>3109.1838560000001</v>
      </c>
      <c r="D139" s="456">
        <f>'DCF Valuation Simone '!E8</f>
        <v>3109.1838560000001</v>
      </c>
      <c r="E139" s="456">
        <f>'DCF Valuation Simone '!F8</f>
        <v>3109.1838560000001</v>
      </c>
      <c r="F139" s="457">
        <f>'DCF Valuation Simone '!G8</f>
        <v>3109.1838560000001</v>
      </c>
      <c r="G139" s="456">
        <f>F139</f>
        <v>3109.1838560000001</v>
      </c>
      <c r="H139" s="456">
        <f t="shared" ref="H139:K139" si="80">G139</f>
        <v>3109.1838560000001</v>
      </c>
      <c r="I139" s="456">
        <f t="shared" si="80"/>
        <v>3109.1838560000001</v>
      </c>
      <c r="J139" s="456">
        <f t="shared" si="80"/>
        <v>3109.1838560000001</v>
      </c>
      <c r="K139" s="457">
        <f t="shared" si="80"/>
        <v>3109.1838560000001</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row>
    <row r="140" spans="1:41">
      <c r="A140" s="369" t="s">
        <v>624</v>
      </c>
      <c r="B140" s="371">
        <f>B137/B136</f>
        <v>1.68</v>
      </c>
      <c r="C140" s="371">
        <f t="shared" ref="C140:K140" si="81">C137/C136</f>
        <v>0.65948275862068961</v>
      </c>
      <c r="D140" s="371">
        <f t="shared" si="81"/>
        <v>0.61433447098976113</v>
      </c>
      <c r="E140" s="371">
        <f t="shared" si="81"/>
        <v>0.63372093023255827</v>
      </c>
      <c r="F140" s="437">
        <f t="shared" si="81"/>
        <v>0.61953727506426726</v>
      </c>
      <c r="G140" s="371">
        <f>G137/G136</f>
        <v>0.64660471606693171</v>
      </c>
      <c r="H140" s="371">
        <f t="shared" si="81"/>
        <v>0.62877351026089401</v>
      </c>
      <c r="I140" s="371">
        <f t="shared" si="81"/>
        <v>0.5937492738737763</v>
      </c>
      <c r="J140" s="371">
        <f t="shared" si="81"/>
        <v>0.55621239590798521</v>
      </c>
      <c r="K140" s="437">
        <f t="shared" si="81"/>
        <v>0.52929434592130331</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row>
    <row r="141" spans="1:41">
      <c r="A141" s="369"/>
      <c r="B141" s="1"/>
      <c r="C141" s="1"/>
      <c r="D141" s="1"/>
      <c r="E141" s="1"/>
      <c r="F141" s="369"/>
      <c r="G141" s="1"/>
      <c r="H141" s="1"/>
      <c r="I141" s="1"/>
      <c r="J141" s="1"/>
      <c r="K141" s="369"/>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row>
    <row r="142" spans="1:41">
      <c r="A142" s="444" t="s">
        <v>625</v>
      </c>
      <c r="B142" s="1"/>
      <c r="C142" s="1"/>
      <c r="D142" s="1"/>
      <c r="E142" s="1"/>
      <c r="F142" s="369"/>
      <c r="G142" s="1"/>
      <c r="H142" s="1"/>
      <c r="I142" s="1"/>
      <c r="J142" s="1"/>
      <c r="K142" s="369"/>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row>
    <row r="143" spans="1:41">
      <c r="A143" s="369" t="s">
        <v>626</v>
      </c>
      <c r="B143" s="1"/>
      <c r="C143" s="1"/>
      <c r="D143" s="1"/>
      <c r="E143" s="1"/>
      <c r="F143" s="369"/>
      <c r="G143" s="1">
        <f>-'[2]Reorganised Statements'!H35</f>
        <v>3651</v>
      </c>
      <c r="H143" s="446">
        <f>G147</f>
        <v>3786.9434454205243</v>
      </c>
      <c r="I143" s="446">
        <f>H147</f>
        <v>3941.1384882434118</v>
      </c>
      <c r="J143" s="446">
        <f>I147</f>
        <v>4128.7701167236673</v>
      </c>
      <c r="K143" s="458">
        <f>J147</f>
        <v>4358.511267488414</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row>
    <row r="144" spans="1:41">
      <c r="A144" s="369" t="s">
        <v>627</v>
      </c>
      <c r="B144" s="1"/>
      <c r="C144" s="1"/>
      <c r="D144" s="1"/>
      <c r="E144" s="1"/>
      <c r="F144" s="369"/>
      <c r="G144" s="481">
        <f>G136</f>
        <v>384.67815390052436</v>
      </c>
      <c r="H144" s="481">
        <f>H136</f>
        <v>415.36648672688739</v>
      </c>
      <c r="I144" s="481">
        <f t="shared" ref="I144:K144" si="82">I136</f>
        <v>461.8616445794558</v>
      </c>
      <c r="J144" s="481">
        <f t="shared" si="82"/>
        <v>517.68266766890713</v>
      </c>
      <c r="K144" s="482">
        <f t="shared" si="82"/>
        <v>571.2106979399332</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row>
    <row r="145" spans="1:41">
      <c r="A145" s="369" t="s">
        <v>628</v>
      </c>
      <c r="B145" s="1"/>
      <c r="C145" s="1"/>
      <c r="D145" s="1"/>
      <c r="E145" s="1"/>
      <c r="F145" s="369"/>
      <c r="G145" s="446">
        <f>-G137</f>
        <v>-248.73470848000002</v>
      </c>
      <c r="H145" s="446">
        <f t="shared" ref="H145:K145" si="83">-H137</f>
        <v>-261.171443904</v>
      </c>
      <c r="I145" s="446">
        <f t="shared" si="83"/>
        <v>-274.23001609920004</v>
      </c>
      <c r="J145" s="446">
        <f t="shared" si="83"/>
        <v>-287.9415169041601</v>
      </c>
      <c r="K145" s="458">
        <f t="shared" si="83"/>
        <v>-302.3385927493681</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row>
    <row r="146" spans="1:41">
      <c r="A146" s="99" t="s">
        <v>453</v>
      </c>
      <c r="B146" s="101"/>
      <c r="C146" s="101"/>
      <c r="D146" s="101"/>
      <c r="E146" s="101"/>
      <c r="F146" s="99"/>
      <c r="G146" s="101"/>
      <c r="H146" s="101"/>
      <c r="I146" s="101"/>
      <c r="J146" s="101"/>
      <c r="K146" s="99"/>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row>
    <row r="147" spans="1:41">
      <c r="A147" s="445" t="s">
        <v>629</v>
      </c>
      <c r="B147" s="434"/>
      <c r="C147" s="434"/>
      <c r="D147" s="434"/>
      <c r="E147" s="434"/>
      <c r="F147" s="445"/>
      <c r="G147" s="447">
        <f>G143+G144+G145</f>
        <v>3786.9434454205243</v>
      </c>
      <c r="H147" s="447">
        <f>H143+H144+H145</f>
        <v>3941.1384882434118</v>
      </c>
      <c r="I147" s="447">
        <f>I143+I144+I145</f>
        <v>4128.7701167236673</v>
      </c>
      <c r="J147" s="447">
        <f>J143+J144+J145</f>
        <v>4358.511267488414</v>
      </c>
      <c r="K147" s="448">
        <f>K143+K144+K145</f>
        <v>4627.383372678979</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row>
    <row r="148" spans="1:4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row>
    <row r="149" spans="1:41" ht="1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row>
    <row r="150" spans="1:41" ht="21">
      <c r="A150" s="782" t="s">
        <v>757</v>
      </c>
      <c r="B150" s="793"/>
      <c r="C150" s="793"/>
      <c r="D150" s="793"/>
      <c r="E150" s="793"/>
      <c r="F150" s="793"/>
      <c r="G150" s="793"/>
      <c r="H150" s="793"/>
      <c r="I150" s="793"/>
      <c r="J150" s="793"/>
      <c r="K150" s="794"/>
      <c r="L150" s="835"/>
      <c r="M150" s="103"/>
      <c r="N150" s="103"/>
      <c r="O150" s="782" t="s">
        <v>761</v>
      </c>
      <c r="P150" s="793"/>
      <c r="Q150" s="793"/>
      <c r="R150" s="794"/>
      <c r="S150" s="103"/>
      <c r="T150" s="782" t="s">
        <v>764</v>
      </c>
      <c r="U150" s="793"/>
      <c r="V150" s="793"/>
      <c r="W150" s="793"/>
      <c r="X150" s="793"/>
      <c r="Y150" s="793"/>
      <c r="Z150" s="793"/>
      <c r="AA150" s="793"/>
      <c r="AB150" s="793"/>
      <c r="AC150" s="793"/>
      <c r="AD150" s="793"/>
      <c r="AE150" s="793"/>
      <c r="AF150" s="793"/>
      <c r="AG150" s="794"/>
      <c r="AH150" s="1"/>
      <c r="AI150" s="1"/>
      <c r="AJ150" s="1"/>
      <c r="AK150" s="1"/>
      <c r="AL150" s="1"/>
      <c r="AM150" s="1"/>
      <c r="AN150" s="1"/>
      <c r="AO150" s="1"/>
    </row>
    <row r="151" spans="1:41" ht="15" thickBot="1">
      <c r="A151" s="785"/>
      <c r="B151" s="786"/>
      <c r="C151" s="786"/>
      <c r="D151" s="786"/>
      <c r="E151" s="786"/>
      <c r="F151" s="786"/>
      <c r="G151" s="786"/>
      <c r="H151" s="786"/>
      <c r="I151" s="786"/>
      <c r="J151" s="786"/>
      <c r="K151" s="787"/>
      <c r="L151" s="52"/>
      <c r="M151" s="52"/>
      <c r="N151" s="52"/>
      <c r="O151" s="785"/>
      <c r="P151" s="786"/>
      <c r="Q151" s="786"/>
      <c r="R151" s="787"/>
      <c r="S151" s="52"/>
      <c r="T151" s="785"/>
      <c r="U151" s="786"/>
      <c r="V151" s="786"/>
      <c r="W151" s="786"/>
      <c r="X151" s="786"/>
      <c r="Y151" s="786"/>
      <c r="Z151" s="786"/>
      <c r="AA151" s="786"/>
      <c r="AB151" s="786"/>
      <c r="AC151" s="786"/>
      <c r="AD151" s="786"/>
      <c r="AE151" s="786"/>
      <c r="AF151" s="786"/>
      <c r="AG151" s="787"/>
      <c r="AH151" s="1"/>
      <c r="AI151" s="1"/>
      <c r="AJ151" s="1"/>
      <c r="AK151" s="1"/>
      <c r="AL151" s="1"/>
      <c r="AM151" s="1"/>
      <c r="AN151" s="1"/>
      <c r="AO151" s="1"/>
    </row>
    <row r="152" spans="1:4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row>
    <row r="153" spans="1:41">
      <c r="A153" s="1"/>
      <c r="B153" s="1"/>
      <c r="C153" s="1"/>
      <c r="D153" s="1"/>
      <c r="E153" s="1"/>
      <c r="F153" s="1"/>
      <c r="G153" s="1"/>
      <c r="H153" s="1"/>
      <c r="I153" s="1"/>
      <c r="J153" s="1"/>
      <c r="K153" s="1"/>
      <c r="L153" s="1"/>
      <c r="M153" s="1"/>
      <c r="N153" s="1"/>
      <c r="O153" s="1"/>
      <c r="P153" s="1"/>
      <c r="Q153" s="1"/>
      <c r="R153" s="1"/>
      <c r="S153" s="52"/>
      <c r="T153" s="52"/>
      <c r="U153" s="52"/>
      <c r="V153" s="52"/>
      <c r="W153" s="52"/>
      <c r="X153" s="52"/>
      <c r="Y153" s="52"/>
      <c r="Z153" s="52"/>
      <c r="AA153" s="52"/>
      <c r="AB153" s="52"/>
      <c r="AC153" s="52"/>
      <c r="AD153" s="52"/>
      <c r="AE153" s="52"/>
      <c r="AF153" s="52"/>
      <c r="AG153" s="52"/>
      <c r="AH153" s="52"/>
      <c r="AI153" s="52"/>
      <c r="AJ153" s="52"/>
      <c r="AK153" s="52"/>
      <c r="AL153" s="52"/>
      <c r="AM153" s="52"/>
      <c r="AN153" s="52"/>
      <c r="AO153" s="52"/>
    </row>
    <row r="154" spans="1:41" ht="15" thickBot="1">
      <c r="A154" s="1"/>
      <c r="B154" s="1"/>
      <c r="C154" s="1"/>
      <c r="D154" s="1"/>
      <c r="E154" s="1"/>
      <c r="F154" s="1"/>
      <c r="G154" s="1"/>
      <c r="H154" s="1"/>
      <c r="I154" s="1"/>
      <c r="J154" s="1"/>
      <c r="K154" s="1"/>
      <c r="L154" s="1"/>
      <c r="M154" s="1"/>
      <c r="N154" s="1"/>
      <c r="O154" s="1"/>
      <c r="P154" s="1"/>
      <c r="Q154" s="1"/>
      <c r="R154" s="1"/>
      <c r="S154" s="52"/>
      <c r="T154" s="52"/>
      <c r="U154" s="52"/>
      <c r="V154" s="52"/>
      <c r="W154" s="52"/>
      <c r="X154" s="52"/>
      <c r="Y154" s="52"/>
      <c r="Z154" s="52"/>
      <c r="AA154" s="52"/>
      <c r="AB154" s="52"/>
      <c r="AC154" s="52"/>
      <c r="AD154" s="52"/>
      <c r="AE154" s="52"/>
      <c r="AF154" s="52"/>
      <c r="AG154" s="52"/>
      <c r="AH154" s="52"/>
      <c r="AI154" s="52"/>
      <c r="AJ154" s="52"/>
      <c r="AK154" s="52"/>
      <c r="AL154" s="52"/>
      <c r="AM154" s="52"/>
      <c r="AN154" s="52"/>
      <c r="AO154" s="52"/>
    </row>
    <row r="155" spans="1:41">
      <c r="A155" s="668" t="s">
        <v>713</v>
      </c>
      <c r="B155" s="662"/>
      <c r="C155" s="662"/>
      <c r="D155" s="662"/>
      <c r="E155" s="662"/>
      <c r="F155" s="663"/>
      <c r="G155" s="662" t="s">
        <v>714</v>
      </c>
      <c r="H155" s="662"/>
      <c r="I155" s="662"/>
      <c r="J155" s="662"/>
      <c r="K155" s="664"/>
      <c r="L155" s="52"/>
      <c r="M155" s="1"/>
      <c r="N155" s="1"/>
      <c r="O155" s="1"/>
      <c r="P155" s="1"/>
      <c r="Q155" s="1"/>
      <c r="R155" s="1"/>
      <c r="S155" s="52"/>
      <c r="T155" s="668" t="s">
        <v>713</v>
      </c>
      <c r="U155" s="662"/>
      <c r="V155" s="662"/>
      <c r="W155" s="662"/>
      <c r="X155" s="662"/>
      <c r="Y155" s="663"/>
      <c r="Z155" s="662" t="s">
        <v>714</v>
      </c>
      <c r="AA155" s="662"/>
      <c r="AB155" s="662"/>
      <c r="AC155" s="662"/>
      <c r="AD155" s="664"/>
      <c r="AE155" s="52"/>
      <c r="AF155" s="52"/>
      <c r="AG155" s="52"/>
      <c r="AH155" s="52"/>
      <c r="AI155" s="52"/>
      <c r="AJ155" s="52"/>
      <c r="AK155" s="52"/>
      <c r="AL155" s="52"/>
      <c r="AM155" s="52"/>
      <c r="AN155" s="52"/>
      <c r="AO155" s="52"/>
    </row>
    <row r="156" spans="1:41" ht="15" thickBot="1">
      <c r="A156" s="669"/>
      <c r="B156" s="665">
        <v>2015</v>
      </c>
      <c r="C156" s="665">
        <v>2016</v>
      </c>
      <c r="D156" s="665">
        <v>2017</v>
      </c>
      <c r="E156" s="665">
        <v>2018</v>
      </c>
      <c r="F156" s="667">
        <v>2019</v>
      </c>
      <c r="G156" s="665">
        <v>2020</v>
      </c>
      <c r="H156" s="665">
        <v>2021</v>
      </c>
      <c r="I156" s="665">
        <v>2022</v>
      </c>
      <c r="J156" s="665">
        <v>2023</v>
      </c>
      <c r="K156" s="666">
        <v>2024</v>
      </c>
      <c r="L156" s="52"/>
      <c r="M156" s="1"/>
      <c r="N156" s="1"/>
      <c r="O156" s="1"/>
      <c r="P156" s="1"/>
      <c r="Q156" s="1"/>
      <c r="R156" s="1"/>
      <c r="S156" s="610"/>
      <c r="T156" s="669"/>
      <c r="U156" s="665">
        <v>2015</v>
      </c>
      <c r="V156" s="665">
        <v>2016</v>
      </c>
      <c r="W156" s="665">
        <v>2017</v>
      </c>
      <c r="X156" s="665">
        <v>2018</v>
      </c>
      <c r="Y156" s="667">
        <v>2019</v>
      </c>
      <c r="Z156" s="665">
        <v>2020</v>
      </c>
      <c r="AA156" s="665">
        <v>2021</v>
      </c>
      <c r="AB156" s="665">
        <v>2022</v>
      </c>
      <c r="AC156" s="665">
        <v>2023</v>
      </c>
      <c r="AD156" s="666">
        <v>2024</v>
      </c>
      <c r="AE156" s="52"/>
      <c r="AF156" s="52"/>
      <c r="AG156" s="52"/>
      <c r="AH156" s="52"/>
      <c r="AI156" s="52"/>
      <c r="AJ156" s="52"/>
      <c r="AK156" s="52"/>
      <c r="AL156" s="52"/>
      <c r="AM156" s="52"/>
      <c r="AN156" s="52"/>
      <c r="AO156" s="52"/>
    </row>
    <row r="157" spans="1:41">
      <c r="A157" s="465"/>
      <c r="B157" s="52"/>
      <c r="C157" s="52"/>
      <c r="D157" s="52"/>
      <c r="E157" s="52"/>
      <c r="F157" s="443"/>
      <c r="G157" s="52"/>
      <c r="H157" s="52"/>
      <c r="I157" s="52"/>
      <c r="J157" s="52"/>
      <c r="K157" s="278"/>
      <c r="L157" s="52"/>
      <c r="M157" s="52"/>
      <c r="N157" s="52"/>
      <c r="O157" s="52"/>
      <c r="P157" s="52"/>
      <c r="Q157" s="52"/>
      <c r="R157" s="52"/>
      <c r="S157" s="52"/>
      <c r="T157" s="465"/>
      <c r="U157" s="52"/>
      <c r="V157" s="52"/>
      <c r="W157" s="52"/>
      <c r="X157" s="52"/>
      <c r="Y157" s="443"/>
      <c r="Z157" s="52"/>
      <c r="AA157" s="52"/>
      <c r="AB157" s="52"/>
      <c r="AC157" s="52"/>
      <c r="AD157" s="278"/>
      <c r="AE157" s="52"/>
      <c r="AF157" s="52"/>
      <c r="AG157" s="52"/>
      <c r="AH157" s="52"/>
      <c r="AI157" s="52"/>
      <c r="AJ157" s="52"/>
      <c r="AK157" s="52"/>
      <c r="AL157" s="52"/>
      <c r="AM157" s="52"/>
      <c r="AN157" s="52"/>
      <c r="AO157" s="52"/>
    </row>
    <row r="158" spans="1:41">
      <c r="A158" s="655" t="s">
        <v>630</v>
      </c>
      <c r="B158" s="656">
        <f>B10</f>
        <v>4732</v>
      </c>
      <c r="C158" s="656">
        <f t="shared" ref="C158:K158" si="84">C10</f>
        <v>4581</v>
      </c>
      <c r="D158" s="656">
        <f t="shared" si="84"/>
        <v>5590</v>
      </c>
      <c r="E158" s="656">
        <f t="shared" si="84"/>
        <v>6271</v>
      </c>
      <c r="F158" s="477">
        <f t="shared" si="84"/>
        <v>7122</v>
      </c>
      <c r="G158" s="656">
        <f t="shared" si="84"/>
        <v>7229.9878811512444</v>
      </c>
      <c r="H158" s="656">
        <f t="shared" si="84"/>
        <v>7339.613136983131</v>
      </c>
      <c r="I158" s="656">
        <f t="shared" si="84"/>
        <v>7450.9005943171169</v>
      </c>
      <c r="J158" s="656">
        <f t="shared" si="84"/>
        <v>7563.8754564132787</v>
      </c>
      <c r="K158" s="826">
        <f t="shared" si="84"/>
        <v>7675.7218275645055</v>
      </c>
      <c r="L158" s="52"/>
      <c r="M158" s="52"/>
      <c r="N158" s="52"/>
      <c r="O158" s="52"/>
      <c r="P158" s="52"/>
      <c r="Q158" s="52"/>
      <c r="R158" s="52"/>
      <c r="S158" s="52"/>
      <c r="T158" s="655" t="s">
        <v>630</v>
      </c>
      <c r="U158" s="656">
        <f>B158</f>
        <v>4732</v>
      </c>
      <c r="V158" s="656">
        <f t="shared" ref="V158:Y159" si="85">C158</f>
        <v>4581</v>
      </c>
      <c r="W158" s="656">
        <f t="shared" si="85"/>
        <v>5590</v>
      </c>
      <c r="X158" s="656">
        <f t="shared" si="85"/>
        <v>6271</v>
      </c>
      <c r="Y158" s="477">
        <f t="shared" si="85"/>
        <v>7122</v>
      </c>
      <c r="Z158" s="656">
        <v>7229.9878811512444</v>
      </c>
      <c r="AA158" s="656">
        <v>7339.613136983131</v>
      </c>
      <c r="AB158" s="656">
        <v>7450.9005943171169</v>
      </c>
      <c r="AC158" s="656">
        <v>7563.8754564132787</v>
      </c>
      <c r="AD158" s="826">
        <v>7675.7218275645055</v>
      </c>
      <c r="AE158" s="52"/>
      <c r="AF158" s="52"/>
      <c r="AG158" s="52"/>
      <c r="AH158" s="52"/>
      <c r="AI158" s="52"/>
      <c r="AJ158" s="52"/>
      <c r="AK158" s="52"/>
      <c r="AL158" s="52"/>
      <c r="AM158" s="52"/>
      <c r="AN158" s="52"/>
      <c r="AO158" s="52"/>
    </row>
    <row r="159" spans="1:41">
      <c r="A159" s="465" t="s">
        <v>631</v>
      </c>
      <c r="B159" s="657">
        <f>B11</f>
        <v>189</v>
      </c>
      <c r="C159" s="657">
        <f t="shared" ref="C159:K159" si="86">C11</f>
        <v>279</v>
      </c>
      <c r="D159" s="657">
        <f t="shared" si="86"/>
        <v>206</v>
      </c>
      <c r="E159" s="657">
        <f t="shared" si="86"/>
        <v>223</v>
      </c>
      <c r="F159" s="482">
        <f t="shared" si="86"/>
        <v>202</v>
      </c>
      <c r="G159" s="657">
        <f t="shared" si="86"/>
        <v>231.0824726511394</v>
      </c>
      <c r="H159" s="657">
        <f t="shared" si="86"/>
        <v>234.58627868775648</v>
      </c>
      <c r="I159" s="657">
        <f t="shared" si="86"/>
        <v>238.14321145701319</v>
      </c>
      <c r="J159" s="657">
        <f t="shared" si="86"/>
        <v>241.7540764971418</v>
      </c>
      <c r="K159" s="827">
        <f t="shared" si="86"/>
        <v>245.32887308429278</v>
      </c>
      <c r="L159" s="52"/>
      <c r="M159" s="52"/>
      <c r="N159" s="52"/>
      <c r="O159" s="52"/>
      <c r="P159" s="52"/>
      <c r="Q159" s="52"/>
      <c r="R159" s="52"/>
      <c r="S159" s="52"/>
      <c r="T159" s="465" t="s">
        <v>631</v>
      </c>
      <c r="U159" s="840">
        <f>B159</f>
        <v>189</v>
      </c>
      <c r="V159" s="840">
        <f t="shared" si="85"/>
        <v>279</v>
      </c>
      <c r="W159" s="840">
        <f t="shared" si="85"/>
        <v>206</v>
      </c>
      <c r="X159" s="840">
        <f t="shared" si="85"/>
        <v>223</v>
      </c>
      <c r="Y159" s="841">
        <f t="shared" si="85"/>
        <v>202</v>
      </c>
      <c r="Z159" s="840">
        <v>231.0824726511394</v>
      </c>
      <c r="AA159" s="840">
        <v>234.58627868775648</v>
      </c>
      <c r="AB159" s="840">
        <v>238.14321145701319</v>
      </c>
      <c r="AC159" s="840">
        <v>241.7540764971418</v>
      </c>
      <c r="AD159" s="846">
        <v>245.32887308429278</v>
      </c>
      <c r="AE159" s="52"/>
      <c r="AF159" s="52"/>
      <c r="AG159" s="52"/>
      <c r="AH159" s="52"/>
      <c r="AI159" s="52"/>
      <c r="AJ159" s="52"/>
      <c r="AK159" s="52"/>
      <c r="AL159" s="52"/>
      <c r="AM159" s="52"/>
      <c r="AN159" s="52"/>
      <c r="AO159" s="52"/>
    </row>
    <row r="160" spans="1:41">
      <c r="A160" s="658" t="s">
        <v>457</v>
      </c>
      <c r="B160" s="502">
        <f>SUM(B158:B159)</f>
        <v>4921</v>
      </c>
      <c r="C160" s="502">
        <f t="shared" ref="C160:K160" si="87">SUM(C158:C159)</f>
        <v>4860</v>
      </c>
      <c r="D160" s="502">
        <f t="shared" si="87"/>
        <v>5796</v>
      </c>
      <c r="E160" s="502">
        <f t="shared" si="87"/>
        <v>6494</v>
      </c>
      <c r="F160" s="503">
        <f t="shared" si="87"/>
        <v>7324</v>
      </c>
      <c r="G160" s="502">
        <f t="shared" si="87"/>
        <v>7461.0703538023836</v>
      </c>
      <c r="H160" s="502">
        <f t="shared" si="87"/>
        <v>7574.1994156708879</v>
      </c>
      <c r="I160" s="502">
        <f t="shared" si="87"/>
        <v>7689.0438057741303</v>
      </c>
      <c r="J160" s="502">
        <f t="shared" si="87"/>
        <v>7805.6295329104205</v>
      </c>
      <c r="K160" s="828">
        <f t="shared" si="87"/>
        <v>7921.0507006487978</v>
      </c>
      <c r="L160" s="52"/>
      <c r="M160" s="52"/>
      <c r="N160" s="52"/>
      <c r="O160" s="52"/>
      <c r="P160" s="52"/>
      <c r="Q160" s="52"/>
      <c r="R160" s="52"/>
      <c r="S160" s="52"/>
      <c r="T160" s="658" t="s">
        <v>457</v>
      </c>
      <c r="U160" s="502">
        <f>SUM(U158:U159)</f>
        <v>4921</v>
      </c>
      <c r="V160" s="502">
        <f t="shared" ref="V160:Y160" si="88">SUM(V158:V159)</f>
        <v>4860</v>
      </c>
      <c r="W160" s="502">
        <f t="shared" si="88"/>
        <v>5796</v>
      </c>
      <c r="X160" s="502">
        <f t="shared" si="88"/>
        <v>6494</v>
      </c>
      <c r="Y160" s="503">
        <f t="shared" si="88"/>
        <v>7324</v>
      </c>
      <c r="Z160" s="502">
        <v>7461.0703538023836</v>
      </c>
      <c r="AA160" s="502">
        <v>7574.1994156708879</v>
      </c>
      <c r="AB160" s="502">
        <v>7689.0438057741303</v>
      </c>
      <c r="AC160" s="502">
        <v>7805.6295329104205</v>
      </c>
      <c r="AD160" s="828">
        <v>7921.0507006487978</v>
      </c>
      <c r="AE160" s="52"/>
      <c r="AF160" s="52"/>
      <c r="AG160" s="52"/>
      <c r="AH160" s="52"/>
      <c r="AI160" s="52"/>
      <c r="AJ160" s="52"/>
      <c r="AK160" s="52"/>
      <c r="AL160" s="52"/>
      <c r="AM160" s="52"/>
      <c r="AN160" s="52"/>
      <c r="AO160" s="52"/>
    </row>
    <row r="161" spans="1:41">
      <c r="A161" s="465"/>
      <c r="B161" s="657"/>
      <c r="C161" s="657"/>
      <c r="D161" s="657"/>
      <c r="E161" s="657"/>
      <c r="F161" s="482"/>
      <c r="G161" s="657"/>
      <c r="H161" s="657"/>
      <c r="I161" s="657"/>
      <c r="J161" s="657"/>
      <c r="K161" s="827"/>
      <c r="L161" s="52"/>
      <c r="M161" s="52"/>
      <c r="N161" s="52"/>
      <c r="O161" s="52"/>
      <c r="P161" s="52"/>
      <c r="Q161" s="52"/>
      <c r="R161" s="52"/>
      <c r="S161" s="52"/>
      <c r="T161" s="465"/>
      <c r="U161" s="657"/>
      <c r="V161" s="657"/>
      <c r="W161" s="657"/>
      <c r="X161" s="657"/>
      <c r="Y161" s="482"/>
      <c r="Z161" s="657"/>
      <c r="AA161" s="657"/>
      <c r="AB161" s="657"/>
      <c r="AC161" s="657"/>
      <c r="AD161" s="827"/>
      <c r="AE161" s="52"/>
      <c r="AF161" s="52"/>
      <c r="AG161" s="52"/>
      <c r="AH161" s="52"/>
      <c r="AI161" s="52"/>
      <c r="AJ161" s="52"/>
      <c r="AK161" s="52"/>
      <c r="AL161" s="52"/>
      <c r="AM161" s="52"/>
      <c r="AN161" s="52"/>
      <c r="AO161" s="52"/>
    </row>
    <row r="162" spans="1:41">
      <c r="A162" s="465" t="s">
        <v>41</v>
      </c>
      <c r="B162" s="657">
        <f>B15</f>
        <v>-2286</v>
      </c>
      <c r="C162" s="657">
        <f t="shared" ref="C162:K162" si="89">C15</f>
        <v>-2101</v>
      </c>
      <c r="D162" s="657">
        <f t="shared" si="89"/>
        <v>-2831</v>
      </c>
      <c r="E162" s="657">
        <f t="shared" si="89"/>
        <v>-3346</v>
      </c>
      <c r="F162" s="482">
        <f t="shared" si="89"/>
        <v>-4004</v>
      </c>
      <c r="G162" s="657">
        <f t="shared" si="89"/>
        <v>-3861.3170115701314</v>
      </c>
      <c r="H162" s="657">
        <f t="shared" si="89"/>
        <v>-3919.8645322851989</v>
      </c>
      <c r="I162" s="657">
        <f t="shared" si="89"/>
        <v>-3979.2997843550379</v>
      </c>
      <c r="J162" s="657">
        <f t="shared" si="89"/>
        <v>-4039.6362280756375</v>
      </c>
      <c r="K162" s="827">
        <f t="shared" si="89"/>
        <v>-4099.3699790456121</v>
      </c>
      <c r="L162" s="52"/>
      <c r="M162" s="52"/>
      <c r="N162" s="52"/>
      <c r="O162" s="52"/>
      <c r="P162" s="52"/>
      <c r="Q162" s="52"/>
      <c r="R162" s="52"/>
      <c r="S162" s="52"/>
      <c r="T162" s="465" t="s">
        <v>41</v>
      </c>
      <c r="U162" s="657">
        <f>B162</f>
        <v>-2286</v>
      </c>
      <c r="V162" s="657">
        <f t="shared" ref="V162:Y162" si="90">C162</f>
        <v>-2101</v>
      </c>
      <c r="W162" s="657">
        <f t="shared" si="90"/>
        <v>-2831</v>
      </c>
      <c r="X162" s="657">
        <f t="shared" si="90"/>
        <v>-3346</v>
      </c>
      <c r="Y162" s="482">
        <f t="shared" si="90"/>
        <v>-4004</v>
      </c>
      <c r="Z162" s="657">
        <v>-3861.3170115701314</v>
      </c>
      <c r="AA162" s="657">
        <v>-3919.8645322851989</v>
      </c>
      <c r="AB162" s="657">
        <v>-3979.2997843550379</v>
      </c>
      <c r="AC162" s="657">
        <v>-4039.6362280756375</v>
      </c>
      <c r="AD162" s="827">
        <v>-4099.3699790456121</v>
      </c>
      <c r="AE162" s="52"/>
      <c r="AF162" s="52"/>
      <c r="AG162" s="52"/>
      <c r="AH162" s="52"/>
      <c r="AI162" s="52"/>
      <c r="AJ162" s="52"/>
      <c r="AK162" s="52"/>
      <c r="AL162" s="52"/>
      <c r="AM162" s="52"/>
      <c r="AN162" s="52"/>
      <c r="AO162" s="52"/>
    </row>
    <row r="163" spans="1:41">
      <c r="A163" s="465" t="s">
        <v>632</v>
      </c>
      <c r="B163" s="657">
        <f t="shared" ref="B163:K165" si="91">B16</f>
        <v>-706</v>
      </c>
      <c r="C163" s="657">
        <f t="shared" si="91"/>
        <v>-758</v>
      </c>
      <c r="D163" s="657">
        <f t="shared" si="91"/>
        <v>-850</v>
      </c>
      <c r="E163" s="657">
        <f t="shared" si="91"/>
        <v>-986</v>
      </c>
      <c r="F163" s="482">
        <f t="shared" si="91"/>
        <v>-1152</v>
      </c>
      <c r="G163" s="657">
        <f t="shared" si="91"/>
        <v>-1135.2075417956739</v>
      </c>
      <c r="H163" s="657">
        <f t="shared" si="91"/>
        <v>-1152.4202147955934</v>
      </c>
      <c r="I163" s="657">
        <f t="shared" si="91"/>
        <v>-1169.8938762939981</v>
      </c>
      <c r="J163" s="657">
        <f t="shared" si="91"/>
        <v>-1187.6324835493767</v>
      </c>
      <c r="K163" s="827">
        <f t="shared" si="91"/>
        <v>-1205.1939022046365</v>
      </c>
      <c r="L163" s="52"/>
      <c r="M163" s="100"/>
      <c r="N163" s="52"/>
      <c r="O163" s="100"/>
      <c r="P163" s="100"/>
      <c r="Q163" s="52"/>
      <c r="R163" s="100"/>
      <c r="S163" s="100"/>
      <c r="T163" s="465" t="s">
        <v>632</v>
      </c>
      <c r="U163" s="657">
        <f t="shared" ref="U163:U165" si="92">B163</f>
        <v>-706</v>
      </c>
      <c r="V163" s="657">
        <f t="shared" ref="V163:V165" si="93">C163</f>
        <v>-758</v>
      </c>
      <c r="W163" s="657">
        <f t="shared" ref="W163:W165" si="94">D163</f>
        <v>-850</v>
      </c>
      <c r="X163" s="657">
        <f t="shared" ref="X163:X165" si="95">E163</f>
        <v>-986</v>
      </c>
      <c r="Y163" s="482">
        <f t="shared" ref="Y163:Y165" si="96">F163</f>
        <v>-1152</v>
      </c>
      <c r="Z163" s="657">
        <v>-1135.2075417956739</v>
      </c>
      <c r="AA163" s="657">
        <v>-1152.4202147955934</v>
      </c>
      <c r="AB163" s="657">
        <v>-1169.8938762939981</v>
      </c>
      <c r="AC163" s="657">
        <v>-1187.6324835493767</v>
      </c>
      <c r="AD163" s="827">
        <v>-1205.1939022046365</v>
      </c>
      <c r="AE163" s="52"/>
      <c r="AF163" s="52"/>
      <c r="AG163" s="52"/>
      <c r="AH163" s="52"/>
      <c r="AI163" s="52"/>
      <c r="AJ163" s="52"/>
      <c r="AK163" s="52"/>
      <c r="AL163" s="52"/>
      <c r="AM163" s="52"/>
      <c r="AN163" s="52"/>
      <c r="AO163" s="52"/>
    </row>
    <row r="164" spans="1:41">
      <c r="A164" s="465" t="s">
        <v>633</v>
      </c>
      <c r="B164" s="657">
        <f t="shared" si="91"/>
        <v>-252</v>
      </c>
      <c r="C164" s="657">
        <f t="shared" si="91"/>
        <v>-243</v>
      </c>
      <c r="D164" s="657">
        <f t="shared" si="91"/>
        <v>-281</v>
      </c>
      <c r="E164" s="657">
        <f t="shared" si="91"/>
        <v>-266</v>
      </c>
      <c r="F164" s="482">
        <f t="shared" si="91"/>
        <v>-234</v>
      </c>
      <c r="G164" s="657">
        <f t="shared" si="91"/>
        <v>-394.3485356689381</v>
      </c>
      <c r="H164" s="657">
        <f t="shared" si="91"/>
        <v>-346.13352111880317</v>
      </c>
      <c r="I164" s="657">
        <f t="shared" si="91"/>
        <v>-294.11338730152363</v>
      </c>
      <c r="J164" s="657">
        <f t="shared" si="91"/>
        <v>-238.05606978490357</v>
      </c>
      <c r="K164" s="827">
        <f t="shared" si="91"/>
        <v>-177.04862284693229</v>
      </c>
      <c r="L164" s="52"/>
      <c r="M164" s="52"/>
      <c r="N164" s="52"/>
      <c r="O164" s="52"/>
      <c r="P164" s="52"/>
      <c r="Q164" s="52"/>
      <c r="R164" s="52"/>
      <c r="S164" s="52"/>
      <c r="T164" s="465" t="s">
        <v>633</v>
      </c>
      <c r="U164" s="657">
        <f t="shared" si="92"/>
        <v>-252</v>
      </c>
      <c r="V164" s="657">
        <f t="shared" si="93"/>
        <v>-243</v>
      </c>
      <c r="W164" s="657">
        <f t="shared" si="94"/>
        <v>-281</v>
      </c>
      <c r="X164" s="657">
        <f t="shared" si="95"/>
        <v>-266</v>
      </c>
      <c r="Y164" s="482">
        <f t="shared" si="96"/>
        <v>-234</v>
      </c>
      <c r="Z164" s="657">
        <v>-394.3485356689381</v>
      </c>
      <c r="AA164" s="657">
        <v>-346.13352111880317</v>
      </c>
      <c r="AB164" s="657">
        <v>-294.11338730152363</v>
      </c>
      <c r="AC164" s="657">
        <v>-238.05606978490357</v>
      </c>
      <c r="AD164" s="827">
        <v>-177.04862284693229</v>
      </c>
      <c r="AE164" s="52"/>
      <c r="AF164" s="52"/>
      <c r="AG164" s="52"/>
      <c r="AH164" s="52"/>
      <c r="AI164" s="52"/>
      <c r="AJ164" s="52"/>
      <c r="AK164" s="52"/>
      <c r="AL164" s="52"/>
      <c r="AM164" s="52"/>
      <c r="AN164" s="52"/>
      <c r="AO164" s="52"/>
    </row>
    <row r="165" spans="1:41">
      <c r="A165" s="465" t="s">
        <v>310</v>
      </c>
      <c r="B165" s="657">
        <f t="shared" si="91"/>
        <v>-629</v>
      </c>
      <c r="C165" s="657">
        <f t="shared" si="91"/>
        <v>-596</v>
      </c>
      <c r="D165" s="657">
        <f t="shared" si="91"/>
        <v>-635</v>
      </c>
      <c r="E165" s="657">
        <f t="shared" si="91"/>
        <v>-665</v>
      </c>
      <c r="F165" s="482">
        <f t="shared" si="91"/>
        <v>-700</v>
      </c>
      <c r="G165" s="657">
        <f t="shared" si="91"/>
        <v>-766.20133450364017</v>
      </c>
      <c r="H165" s="657">
        <f t="shared" si="91"/>
        <v>-777.81892207009673</v>
      </c>
      <c r="I165" s="657">
        <f t="shared" si="91"/>
        <v>-789.61266221523772</v>
      </c>
      <c r="J165" s="657">
        <f t="shared" si="91"/>
        <v>-801.5852258662934</v>
      </c>
      <c r="K165" s="827">
        <f t="shared" si="91"/>
        <v>-813.43819716364135</v>
      </c>
      <c r="L165" s="52"/>
      <c r="M165" s="52"/>
      <c r="N165" s="52"/>
      <c r="O165" s="52"/>
      <c r="P165" s="52"/>
      <c r="Q165" s="52"/>
      <c r="R165" s="52"/>
      <c r="S165" s="52"/>
      <c r="T165" s="465" t="s">
        <v>310</v>
      </c>
      <c r="U165" s="657">
        <f t="shared" si="92"/>
        <v>-629</v>
      </c>
      <c r="V165" s="657">
        <f t="shared" si="93"/>
        <v>-596</v>
      </c>
      <c r="W165" s="657">
        <f t="shared" si="94"/>
        <v>-635</v>
      </c>
      <c r="X165" s="657">
        <f t="shared" si="95"/>
        <v>-665</v>
      </c>
      <c r="Y165" s="482">
        <f t="shared" si="96"/>
        <v>-700</v>
      </c>
      <c r="Z165" s="657">
        <v>-766.20133450364017</v>
      </c>
      <c r="AA165" s="657">
        <v>-777.81892207009673</v>
      </c>
      <c r="AB165" s="657">
        <v>-789.61266221523772</v>
      </c>
      <c r="AC165" s="657">
        <v>-801.5852258662934</v>
      </c>
      <c r="AD165" s="827">
        <v>-813.43819716364135</v>
      </c>
      <c r="AE165" s="52"/>
      <c r="AF165" s="52"/>
      <c r="AG165" s="52"/>
      <c r="AH165" s="52"/>
      <c r="AI165" s="52"/>
      <c r="AJ165" s="52"/>
      <c r="AK165" s="52"/>
      <c r="AL165" s="52"/>
      <c r="AM165" s="52"/>
      <c r="AN165" s="52"/>
      <c r="AO165" s="52"/>
    </row>
    <row r="166" spans="1:41">
      <c r="A166" s="659"/>
      <c r="B166" s="101"/>
      <c r="C166" s="101"/>
      <c r="D166" s="101"/>
      <c r="E166" s="101"/>
      <c r="F166" s="99"/>
      <c r="G166" s="469"/>
      <c r="H166" s="469"/>
      <c r="I166" s="469"/>
      <c r="J166" s="469"/>
      <c r="K166" s="829"/>
      <c r="L166" s="52"/>
      <c r="M166" s="52"/>
      <c r="N166" s="52"/>
      <c r="O166" s="52"/>
      <c r="P166" s="52"/>
      <c r="Q166" s="52"/>
      <c r="R166" s="52"/>
      <c r="S166" s="52"/>
      <c r="T166" s="659"/>
      <c r="U166" s="101"/>
      <c r="V166" s="101"/>
      <c r="W166" s="101"/>
      <c r="X166" s="101"/>
      <c r="Y166" s="99"/>
      <c r="Z166" s="469"/>
      <c r="AA166" s="469"/>
      <c r="AB166" s="469"/>
      <c r="AC166" s="469"/>
      <c r="AD166" s="829"/>
      <c r="AE166" s="52"/>
      <c r="AF166" s="52"/>
      <c r="AG166" s="52"/>
      <c r="AH166" s="52"/>
      <c r="AI166" s="52"/>
      <c r="AJ166" s="52"/>
      <c r="AK166" s="52"/>
      <c r="AL166" s="52"/>
      <c r="AM166" s="52"/>
      <c r="AN166" s="52"/>
      <c r="AO166" s="52"/>
    </row>
    <row r="167" spans="1:41">
      <c r="A167" s="655" t="s">
        <v>550</v>
      </c>
      <c r="B167" s="100">
        <f>B160+SUM(B162:B165)</f>
        <v>1048</v>
      </c>
      <c r="C167" s="100">
        <f>C160+SUM(C162:C165)</f>
        <v>1162</v>
      </c>
      <c r="D167" s="100">
        <f>D160+SUM(D162:D165)</f>
        <v>1199</v>
      </c>
      <c r="E167" s="100">
        <f>E160+SUM(E162:E165)</f>
        <v>1231</v>
      </c>
      <c r="F167" s="445">
        <f>F160+SUM(F162:F165)</f>
        <v>1234</v>
      </c>
      <c r="G167" s="656">
        <f t="shared" ref="G167:K167" si="97">G160+SUM(G162:G165)</f>
        <v>1303.995930264</v>
      </c>
      <c r="H167" s="656">
        <f t="shared" si="97"/>
        <v>1377.9622254011956</v>
      </c>
      <c r="I167" s="656">
        <f t="shared" si="97"/>
        <v>1456.1240956083329</v>
      </c>
      <c r="J167" s="656">
        <f t="shared" si="97"/>
        <v>1538.7195256342093</v>
      </c>
      <c r="K167" s="826">
        <f t="shared" si="97"/>
        <v>1625.9999993879755</v>
      </c>
      <c r="L167" s="52"/>
      <c r="M167" s="52"/>
      <c r="N167" s="52"/>
      <c r="O167" s="52"/>
      <c r="P167" s="52"/>
      <c r="Q167" s="52"/>
      <c r="R167" s="52"/>
      <c r="S167" s="52"/>
      <c r="T167" s="655" t="s">
        <v>550</v>
      </c>
      <c r="U167" s="100">
        <f>U160+SUM(U162:U165)</f>
        <v>1048</v>
      </c>
      <c r="V167" s="100">
        <f>V160+SUM(V162:V165)</f>
        <v>1162</v>
      </c>
      <c r="W167" s="100">
        <f>W160+SUM(W162:W165)</f>
        <v>1199</v>
      </c>
      <c r="X167" s="100">
        <f>X160+SUM(X162:X165)</f>
        <v>1231</v>
      </c>
      <c r="Y167" s="445">
        <f>Y160+SUM(Y162:Y165)</f>
        <v>1234</v>
      </c>
      <c r="Z167" s="656">
        <v>1303.995930264</v>
      </c>
      <c r="AA167" s="656">
        <v>1377.9622254011956</v>
      </c>
      <c r="AB167" s="656">
        <v>1456.1240956083329</v>
      </c>
      <c r="AC167" s="656">
        <v>1538.7195256342093</v>
      </c>
      <c r="AD167" s="826">
        <v>1625.9999993879755</v>
      </c>
      <c r="AE167" s="52"/>
      <c r="AF167" s="52"/>
      <c r="AG167" s="52"/>
      <c r="AH167" s="52"/>
      <c r="AI167" s="52"/>
      <c r="AJ167" s="52"/>
      <c r="AK167" s="52"/>
      <c r="AL167" s="52"/>
      <c r="AM167" s="52"/>
      <c r="AN167" s="52"/>
      <c r="AO167" s="52"/>
    </row>
    <row r="168" spans="1:41">
      <c r="A168" s="465" t="s">
        <v>634</v>
      </c>
      <c r="B168" s="370">
        <f>B167/B160</f>
        <v>0.21296484454379191</v>
      </c>
      <c r="C168" s="370">
        <f>C167/C160</f>
        <v>0.23909465020576132</v>
      </c>
      <c r="D168" s="370">
        <f>D167/D160</f>
        <v>0.20686680469289165</v>
      </c>
      <c r="E168" s="370">
        <f>E167/E160</f>
        <v>0.18955959347089621</v>
      </c>
      <c r="F168" s="437">
        <f>F167/F160</f>
        <v>0.16848716548334244</v>
      </c>
      <c r="G168" s="845">
        <f>G167/G158</f>
        <v>0.18035935214546478</v>
      </c>
      <c r="H168" s="845">
        <f t="shared" ref="H168:K168" si="98">H167/H158</f>
        <v>0.18774316843184355</v>
      </c>
      <c r="I168" s="845">
        <f t="shared" si="98"/>
        <v>0.19542927424356388</v>
      </c>
      <c r="J168" s="845">
        <f t="shared" si="98"/>
        <v>0.20343004515358007</v>
      </c>
      <c r="K168" s="765">
        <f t="shared" si="98"/>
        <v>0.21183675436866409</v>
      </c>
      <c r="L168" s="52"/>
      <c r="M168" s="52"/>
      <c r="N168" s="52"/>
      <c r="O168" s="52"/>
      <c r="P168" s="52"/>
      <c r="Q168" s="52"/>
      <c r="R168" s="52"/>
      <c r="S168" s="52"/>
      <c r="T168" s="465" t="s">
        <v>634</v>
      </c>
      <c r="U168" s="370">
        <f>U167/U160</f>
        <v>0.21296484454379191</v>
      </c>
      <c r="V168" s="370">
        <f>V167/V160</f>
        <v>0.23909465020576132</v>
      </c>
      <c r="W168" s="370">
        <f>W167/W160</f>
        <v>0.20686680469289165</v>
      </c>
      <c r="X168" s="370">
        <f>X167/X160</f>
        <v>0.18955959347089621</v>
      </c>
      <c r="Y168" s="437">
        <f>Y167/Y160</f>
        <v>0.16848716548334244</v>
      </c>
      <c r="Z168" s="801">
        <v>0.18035935214546478</v>
      </c>
      <c r="AA168" s="801">
        <v>0.18774316843184355</v>
      </c>
      <c r="AB168" s="801">
        <v>0.19542927424356388</v>
      </c>
      <c r="AC168" s="801">
        <v>0.20343004515358007</v>
      </c>
      <c r="AD168" s="486">
        <v>0.21183675436866409</v>
      </c>
      <c r="AE168" s="52"/>
      <c r="AF168" s="52"/>
      <c r="AG168" s="52"/>
      <c r="AH168" s="52"/>
      <c r="AI168" s="52"/>
      <c r="AJ168" s="52"/>
      <c r="AK168" s="52"/>
      <c r="AL168" s="52"/>
      <c r="AM168" s="52"/>
      <c r="AN168" s="52"/>
      <c r="AO168" s="52"/>
    </row>
    <row r="169" spans="1:41">
      <c r="A169" s="465"/>
      <c r="B169" s="52"/>
      <c r="C169" s="52"/>
      <c r="D169" s="52"/>
      <c r="E169" s="52"/>
      <c r="F169" s="369"/>
      <c r="G169" s="657"/>
      <c r="H169" s="657"/>
      <c r="I169" s="657"/>
      <c r="J169" s="657"/>
      <c r="K169" s="827"/>
      <c r="L169" s="52"/>
      <c r="M169" s="52"/>
      <c r="N169" s="52"/>
      <c r="O169" s="52"/>
      <c r="P169" s="52"/>
      <c r="Q169" s="52"/>
      <c r="R169" s="52"/>
      <c r="S169" s="52"/>
      <c r="T169" s="465"/>
      <c r="U169" s="52"/>
      <c r="V169" s="52"/>
      <c r="W169" s="52"/>
      <c r="X169" s="52"/>
      <c r="Y169" s="369"/>
      <c r="Z169" s="657"/>
      <c r="AA169" s="657"/>
      <c r="AB169" s="657"/>
      <c r="AC169" s="657"/>
      <c r="AD169" s="827"/>
      <c r="AE169" s="52"/>
      <c r="AF169" s="52"/>
      <c r="AG169" s="52"/>
      <c r="AH169" s="52"/>
      <c r="AI169" s="52"/>
      <c r="AJ169" s="52"/>
      <c r="AK169" s="52"/>
      <c r="AL169" s="52"/>
      <c r="AM169" s="52"/>
      <c r="AN169" s="52"/>
      <c r="AO169" s="52"/>
    </row>
    <row r="170" spans="1:41">
      <c r="A170" s="465" t="s">
        <v>635</v>
      </c>
      <c r="B170" s="657">
        <f>B42+B53</f>
        <v>-754</v>
      </c>
      <c r="C170" s="657">
        <f t="shared" ref="C170:K170" si="99">C42+C53</f>
        <v>-648</v>
      </c>
      <c r="D170" s="657">
        <f t="shared" si="99"/>
        <v>-444</v>
      </c>
      <c r="E170" s="657">
        <f t="shared" si="99"/>
        <v>-623</v>
      </c>
      <c r="F170" s="482">
        <f t="shared" si="99"/>
        <v>-511</v>
      </c>
      <c r="G170" s="657">
        <f t="shared" si="99"/>
        <v>-607.30367267200131</v>
      </c>
      <c r="H170" s="657">
        <f t="shared" si="99"/>
        <v>-625.32466501126805</v>
      </c>
      <c r="I170" s="657">
        <f t="shared" si="99"/>
        <v>-643.06109913135867</v>
      </c>
      <c r="J170" s="657">
        <f t="shared" si="99"/>
        <v>-660.54787130240038</v>
      </c>
      <c r="K170" s="827">
        <f t="shared" si="99"/>
        <v>-677.81733591679711</v>
      </c>
      <c r="L170" s="52"/>
      <c r="M170" s="100"/>
      <c r="N170" s="52"/>
      <c r="O170" s="100"/>
      <c r="P170" s="100"/>
      <c r="Q170" s="52"/>
      <c r="R170" s="100"/>
      <c r="S170" s="100"/>
      <c r="T170" s="465" t="s">
        <v>635</v>
      </c>
      <c r="U170" s="657">
        <f>B170</f>
        <v>-754</v>
      </c>
      <c r="V170" s="657">
        <f t="shared" ref="V170:Y171" si="100">C170</f>
        <v>-648</v>
      </c>
      <c r="W170" s="657">
        <f t="shared" si="100"/>
        <v>-444</v>
      </c>
      <c r="X170" s="657">
        <f t="shared" si="100"/>
        <v>-623</v>
      </c>
      <c r="Y170" s="482">
        <f t="shared" si="100"/>
        <v>-511</v>
      </c>
      <c r="Z170" s="657">
        <v>-545.85972697982118</v>
      </c>
      <c r="AA170" s="657">
        <v>-583.80615608351354</v>
      </c>
      <c r="AB170" s="657">
        <v>-620.59997112771589</v>
      </c>
      <c r="AC170" s="657">
        <v>-656.16444581394455</v>
      </c>
      <c r="AD170" s="827">
        <v>-690.76455974331634</v>
      </c>
      <c r="AE170" s="52"/>
      <c r="AF170" s="52"/>
      <c r="AG170" s="52"/>
      <c r="AH170" s="52"/>
      <c r="AI170" s="52"/>
      <c r="AJ170" s="52"/>
      <c r="AK170" s="52"/>
      <c r="AL170" s="52"/>
      <c r="AM170" s="52"/>
      <c r="AN170" s="52"/>
      <c r="AO170" s="52"/>
    </row>
    <row r="171" spans="1:41">
      <c r="A171" s="465" t="s">
        <v>575</v>
      </c>
      <c r="B171" s="657">
        <f>B58</f>
        <v>-79</v>
      </c>
      <c r="C171" s="657">
        <f t="shared" ref="C171:K171" si="101">C58</f>
        <v>-71</v>
      </c>
      <c r="D171" s="657">
        <f t="shared" si="101"/>
        <v>-45</v>
      </c>
      <c r="E171" s="657">
        <f t="shared" si="101"/>
        <v>-20</v>
      </c>
      <c r="F171" s="482">
        <f t="shared" si="101"/>
        <v>-36</v>
      </c>
      <c r="G171" s="657">
        <f t="shared" si="101"/>
        <v>-50.2</v>
      </c>
      <c r="H171" s="657">
        <f t="shared" si="101"/>
        <v>-50.2</v>
      </c>
      <c r="I171" s="657">
        <f t="shared" si="101"/>
        <v>-50.2</v>
      </c>
      <c r="J171" s="657">
        <f t="shared" si="101"/>
        <v>-50.2</v>
      </c>
      <c r="K171" s="827">
        <f t="shared" si="101"/>
        <v>-50.2</v>
      </c>
      <c r="L171" s="52"/>
      <c r="M171" s="52"/>
      <c r="N171" s="52"/>
      <c r="O171" s="52"/>
      <c r="P171" s="52"/>
      <c r="Q171" s="52"/>
      <c r="R171" s="52"/>
      <c r="S171" s="52"/>
      <c r="T171" s="465" t="s">
        <v>575</v>
      </c>
      <c r="U171" s="657">
        <f>B171</f>
        <v>-79</v>
      </c>
      <c r="V171" s="657">
        <f t="shared" si="100"/>
        <v>-71</v>
      </c>
      <c r="W171" s="657">
        <f t="shared" si="100"/>
        <v>-45</v>
      </c>
      <c r="X171" s="657">
        <f t="shared" si="100"/>
        <v>-20</v>
      </c>
      <c r="Y171" s="482">
        <f t="shared" si="100"/>
        <v>-36</v>
      </c>
      <c r="Z171" s="657">
        <v>-50.2</v>
      </c>
      <c r="AA171" s="657">
        <v>-50.2</v>
      </c>
      <c r="AB171" s="657">
        <v>-50.2</v>
      </c>
      <c r="AC171" s="657">
        <v>-50.2</v>
      </c>
      <c r="AD171" s="827">
        <v>-50.2</v>
      </c>
      <c r="AE171" s="52"/>
      <c r="AF171" s="52"/>
      <c r="AG171" s="52"/>
      <c r="AH171" s="52"/>
      <c r="AI171" s="52"/>
      <c r="AJ171" s="52"/>
      <c r="AK171" s="52"/>
      <c r="AL171" s="52"/>
      <c r="AM171" s="52"/>
      <c r="AN171" s="52"/>
      <c r="AO171" s="52"/>
    </row>
    <row r="172" spans="1:41">
      <c r="A172" s="660" t="s">
        <v>636</v>
      </c>
      <c r="B172" s="504">
        <f>B167+B170+B171</f>
        <v>215</v>
      </c>
      <c r="C172" s="504">
        <f t="shared" ref="C172:F172" si="102">C167+C170+C171</f>
        <v>443</v>
      </c>
      <c r="D172" s="504">
        <f t="shared" si="102"/>
        <v>710</v>
      </c>
      <c r="E172" s="504">
        <f t="shared" si="102"/>
        <v>588</v>
      </c>
      <c r="F172" s="505">
        <f t="shared" si="102"/>
        <v>687</v>
      </c>
      <c r="G172" s="504">
        <f>G167+G170+G171</f>
        <v>646.49225759199862</v>
      </c>
      <c r="H172" s="504">
        <f t="shared" ref="H172:K172" si="103">H167+H170+H171</f>
        <v>702.43756038992751</v>
      </c>
      <c r="I172" s="504">
        <f t="shared" si="103"/>
        <v>762.86299647697422</v>
      </c>
      <c r="J172" s="504">
        <f t="shared" si="103"/>
        <v>827.97165433180885</v>
      </c>
      <c r="K172" s="830">
        <f t="shared" si="103"/>
        <v>897.9826634711784</v>
      </c>
      <c r="L172" s="52"/>
      <c r="M172" s="370"/>
      <c r="N172" s="52"/>
      <c r="O172" s="370"/>
      <c r="P172" s="370"/>
      <c r="Q172" s="52"/>
      <c r="R172" s="370"/>
      <c r="S172" s="370"/>
      <c r="T172" s="660" t="s">
        <v>636</v>
      </c>
      <c r="U172" s="504">
        <f>U167+U170+U171</f>
        <v>215</v>
      </c>
      <c r="V172" s="504">
        <f t="shared" ref="V172:Y172" si="104">V167+V170+V171</f>
        <v>443</v>
      </c>
      <c r="W172" s="504">
        <f t="shared" si="104"/>
        <v>710</v>
      </c>
      <c r="X172" s="504">
        <f t="shared" si="104"/>
        <v>588</v>
      </c>
      <c r="Y172" s="505">
        <f t="shared" si="104"/>
        <v>687</v>
      </c>
      <c r="Z172" s="504">
        <v>707.93620328417876</v>
      </c>
      <c r="AA172" s="504">
        <v>743.95606931768202</v>
      </c>
      <c r="AB172" s="504">
        <v>785.324124480617</v>
      </c>
      <c r="AC172" s="504">
        <v>832.35507982026468</v>
      </c>
      <c r="AD172" s="830">
        <v>885.03543964465916</v>
      </c>
      <c r="AE172" s="52"/>
      <c r="AF172" s="52"/>
      <c r="AG172" s="52"/>
      <c r="AH172" s="52"/>
      <c r="AI172" s="52"/>
      <c r="AJ172" s="52"/>
      <c r="AK172" s="52"/>
      <c r="AL172" s="52"/>
      <c r="AM172" s="52"/>
      <c r="AN172" s="52"/>
      <c r="AO172" s="52"/>
    </row>
    <row r="173" spans="1:41">
      <c r="A173" s="465" t="s">
        <v>634</v>
      </c>
      <c r="B173" s="845">
        <f>B172/B160</f>
        <v>4.3690306848201584E-2</v>
      </c>
      <c r="C173" s="845">
        <f t="shared" ref="C173:E173" si="105">C172/C160</f>
        <v>9.1152263374485593E-2</v>
      </c>
      <c r="D173" s="845">
        <f t="shared" si="105"/>
        <v>0.12249827467218771</v>
      </c>
      <c r="E173" s="845">
        <f t="shared" si="105"/>
        <v>9.0545118570988611E-2</v>
      </c>
      <c r="F173" s="462">
        <f t="shared" ref="F173:K173" si="106">F172/F160</f>
        <v>9.3801201529219003E-2</v>
      </c>
      <c r="G173" s="845">
        <f t="shared" si="106"/>
        <v>8.6648728256868257E-2</v>
      </c>
      <c r="H173" s="845">
        <f t="shared" si="106"/>
        <v>9.2740832639895424E-2</v>
      </c>
      <c r="I173" s="845">
        <f t="shared" si="106"/>
        <v>9.9214286684658759E-2</v>
      </c>
      <c r="J173" s="845">
        <f t="shared" si="106"/>
        <v>0.10607365502562993</v>
      </c>
      <c r="K173" s="765">
        <f t="shared" si="106"/>
        <v>0.11336660973494671</v>
      </c>
      <c r="L173" s="52"/>
      <c r="M173" s="52"/>
      <c r="N173" s="52"/>
      <c r="O173" s="52"/>
      <c r="P173" s="52"/>
      <c r="Q173" s="52"/>
      <c r="R173" s="52"/>
      <c r="S173" s="52"/>
      <c r="T173" s="465" t="s">
        <v>634</v>
      </c>
      <c r="U173" s="801">
        <f t="shared" ref="U173:Y173" si="107">U172/U160</f>
        <v>4.3690306848201584E-2</v>
      </c>
      <c r="V173" s="801">
        <f t="shared" si="107"/>
        <v>9.1152263374485593E-2</v>
      </c>
      <c r="W173" s="801">
        <f t="shared" si="107"/>
        <v>0.12249827467218771</v>
      </c>
      <c r="X173" s="801">
        <f t="shared" si="107"/>
        <v>9.0545118570988611E-2</v>
      </c>
      <c r="Y173" s="473">
        <f t="shared" si="107"/>
        <v>9.3801201529219003E-2</v>
      </c>
      <c r="Z173" s="801">
        <v>9.4884000513866404E-2</v>
      </c>
      <c r="AA173" s="801">
        <v>9.822240325207833E-2</v>
      </c>
      <c r="AB173" s="801">
        <v>0.10213547279973531</v>
      </c>
      <c r="AC173" s="801">
        <v>0.10663522734596287</v>
      </c>
      <c r="AD173" s="486">
        <v>0.11173207609593606</v>
      </c>
      <c r="AE173" s="52"/>
      <c r="AF173" s="52"/>
      <c r="AG173" s="52"/>
      <c r="AH173" s="52"/>
      <c r="AI173" s="52"/>
      <c r="AJ173" s="52"/>
      <c r="AK173" s="52"/>
      <c r="AL173" s="52"/>
      <c r="AM173" s="52"/>
      <c r="AN173" s="52"/>
      <c r="AO173" s="52"/>
    </row>
    <row r="174" spans="1:41">
      <c r="A174" s="465"/>
      <c r="B174" s="657"/>
      <c r="C174" s="657"/>
      <c r="D174" s="657"/>
      <c r="E174" s="657"/>
      <c r="F174" s="482"/>
      <c r="G174" s="657"/>
      <c r="H174" s="657"/>
      <c r="I174" s="657"/>
      <c r="J174" s="657"/>
      <c r="K174" s="827"/>
      <c r="L174" s="52"/>
      <c r="M174" s="52"/>
      <c r="N174" s="52"/>
      <c r="O174" s="52"/>
      <c r="P174" s="52"/>
      <c r="Q174" s="52"/>
      <c r="R174" s="52"/>
      <c r="S174" s="52"/>
      <c r="T174" s="465"/>
      <c r="U174" s="657"/>
      <c r="V174" s="657"/>
      <c r="W174" s="657"/>
      <c r="X174" s="657"/>
      <c r="Y174" s="482"/>
      <c r="Z174" s="657"/>
      <c r="AA174" s="657"/>
      <c r="AB174" s="657"/>
      <c r="AC174" s="657"/>
      <c r="AD174" s="827"/>
      <c r="AE174" s="52"/>
      <c r="AF174" s="52"/>
      <c r="AG174" s="52"/>
      <c r="AH174" s="52"/>
      <c r="AI174" s="52"/>
      <c r="AJ174" s="52"/>
      <c r="AK174" s="52"/>
      <c r="AL174" s="52"/>
      <c r="AM174" s="52"/>
      <c r="AN174" s="52"/>
      <c r="AO174" s="52"/>
    </row>
    <row r="175" spans="1:41">
      <c r="A175" s="659" t="s">
        <v>605</v>
      </c>
      <c r="B175" s="469">
        <f>B117</f>
        <v>-137</v>
      </c>
      <c r="C175" s="469">
        <f t="shared" ref="C175:F175" si="108">C117</f>
        <v>-109</v>
      </c>
      <c r="D175" s="469">
        <f t="shared" si="108"/>
        <v>-134</v>
      </c>
      <c r="E175" s="469">
        <f t="shared" si="108"/>
        <v>-98</v>
      </c>
      <c r="F175" s="470">
        <f t="shared" si="108"/>
        <v>-106</v>
      </c>
      <c r="G175" s="469">
        <f>G113</f>
        <v>-101.93086741299238</v>
      </c>
      <c r="H175" s="469">
        <f t="shared" ref="H175:K175" si="109">H113</f>
        <v>-114.20862270879553</v>
      </c>
      <c r="I175" s="469">
        <f t="shared" si="109"/>
        <v>-109.72322231947831</v>
      </c>
      <c r="J175" s="469">
        <f t="shared" si="109"/>
        <v>-97.283036645083016</v>
      </c>
      <c r="K175" s="829">
        <f t="shared" si="109"/>
        <v>-92.541909028653066</v>
      </c>
      <c r="L175" s="52"/>
      <c r="M175" s="52"/>
      <c r="N175" s="52"/>
      <c r="O175" s="52"/>
      <c r="P175" s="52"/>
      <c r="Q175" s="52"/>
      <c r="R175" s="52"/>
      <c r="S175" s="52"/>
      <c r="T175" s="659" t="s">
        <v>605</v>
      </c>
      <c r="U175" s="469">
        <f>B175</f>
        <v>-137</v>
      </c>
      <c r="V175" s="469">
        <f t="shared" ref="V175:Y175" si="110">C175</f>
        <v>-109</v>
      </c>
      <c r="W175" s="469">
        <f t="shared" si="110"/>
        <v>-134</v>
      </c>
      <c r="X175" s="469">
        <f t="shared" si="110"/>
        <v>-98</v>
      </c>
      <c r="Y175" s="470">
        <f t="shared" si="110"/>
        <v>-106</v>
      </c>
      <c r="Z175" s="469">
        <v>-107.83965773302464</v>
      </c>
      <c r="AA175" s="469">
        <v>-111.39857191207112</v>
      </c>
      <c r="AB175" s="469">
        <v>-115.07493704005491</v>
      </c>
      <c r="AC175" s="469">
        <v>-118.87262922207778</v>
      </c>
      <c r="AD175" s="829">
        <v>-122.88773525486037</v>
      </c>
      <c r="AE175" s="52"/>
      <c r="AF175" s="52"/>
      <c r="AG175" s="52"/>
      <c r="AH175" s="52"/>
      <c r="AI175" s="52"/>
      <c r="AJ175" s="52"/>
      <c r="AK175" s="52"/>
      <c r="AL175" s="52"/>
      <c r="AM175" s="52"/>
      <c r="AN175" s="52"/>
      <c r="AO175" s="52"/>
    </row>
    <row r="176" spans="1:41">
      <c r="A176" s="655" t="s">
        <v>637</v>
      </c>
      <c r="B176" s="656">
        <f>B172+B175</f>
        <v>78</v>
      </c>
      <c r="C176" s="656">
        <f>C172+C175</f>
        <v>334</v>
      </c>
      <c r="D176" s="656">
        <f t="shared" ref="D176:K176" si="111">D172+D175</f>
        <v>576</v>
      </c>
      <c r="E176" s="656">
        <f t="shared" si="111"/>
        <v>490</v>
      </c>
      <c r="F176" s="477">
        <f t="shared" si="111"/>
        <v>581</v>
      </c>
      <c r="G176" s="656">
        <f t="shared" si="111"/>
        <v>544.56139017900625</v>
      </c>
      <c r="H176" s="656">
        <f t="shared" si="111"/>
        <v>588.22893768113204</v>
      </c>
      <c r="I176" s="656">
        <f t="shared" si="111"/>
        <v>653.13977415749594</v>
      </c>
      <c r="J176" s="656">
        <f t="shared" si="111"/>
        <v>730.68861768672582</v>
      </c>
      <c r="K176" s="826">
        <f t="shared" si="111"/>
        <v>805.4407544425253</v>
      </c>
      <c r="L176" s="52"/>
      <c r="M176" s="100"/>
      <c r="N176" s="370"/>
      <c r="O176" s="100"/>
      <c r="P176" s="100"/>
      <c r="Q176" s="52"/>
      <c r="R176" s="100"/>
      <c r="S176" s="100"/>
      <c r="T176" s="655" t="s">
        <v>637</v>
      </c>
      <c r="U176" s="656">
        <f>U172+U175</f>
        <v>78</v>
      </c>
      <c r="V176" s="656">
        <f>V172+V175</f>
        <v>334</v>
      </c>
      <c r="W176" s="656">
        <f t="shared" ref="W176:Y176" si="112">W172+W175</f>
        <v>576</v>
      </c>
      <c r="X176" s="656">
        <f t="shared" si="112"/>
        <v>490</v>
      </c>
      <c r="Y176" s="477">
        <f t="shared" si="112"/>
        <v>581</v>
      </c>
      <c r="Z176" s="656">
        <v>600.09654555115412</v>
      </c>
      <c r="AA176" s="656">
        <v>632.55749740561089</v>
      </c>
      <c r="AB176" s="656">
        <v>670.24918744056208</v>
      </c>
      <c r="AC176" s="656">
        <v>713.48245059818692</v>
      </c>
      <c r="AD176" s="826">
        <v>762.14770438979883</v>
      </c>
      <c r="AE176" s="52"/>
      <c r="AF176" s="52"/>
      <c r="AG176" s="52"/>
      <c r="AH176" s="52"/>
      <c r="AI176" s="52"/>
      <c r="AJ176" s="52"/>
      <c r="AK176" s="52"/>
      <c r="AL176" s="52"/>
      <c r="AM176" s="52"/>
      <c r="AN176" s="52"/>
      <c r="AO176" s="52"/>
    </row>
    <row r="177" spans="1:41">
      <c r="A177" s="465"/>
      <c r="B177" s="657"/>
      <c r="C177" s="657"/>
      <c r="D177" s="657"/>
      <c r="E177" s="657"/>
      <c r="F177" s="482"/>
      <c r="G177" s="657"/>
      <c r="H177" s="657"/>
      <c r="I177" s="657"/>
      <c r="J177" s="657"/>
      <c r="K177" s="827"/>
      <c r="L177" s="52"/>
      <c r="M177" s="100"/>
      <c r="N177" s="370"/>
      <c r="O177" s="100"/>
      <c r="P177" s="100"/>
      <c r="Q177" s="370"/>
      <c r="R177" s="100"/>
      <c r="S177" s="100"/>
      <c r="T177" s="465"/>
      <c r="U177" s="657"/>
      <c r="V177" s="657"/>
      <c r="W177" s="657"/>
      <c r="X177" s="657"/>
      <c r="Y177" s="482"/>
      <c r="Z177" s="657"/>
      <c r="AA177" s="657"/>
      <c r="AB177" s="657"/>
      <c r="AC177" s="657"/>
      <c r="AD177" s="827"/>
      <c r="AE177" s="52"/>
      <c r="AF177" s="52"/>
      <c r="AG177" s="52"/>
      <c r="AH177" s="52"/>
      <c r="AI177" s="52"/>
      <c r="AJ177" s="52"/>
      <c r="AK177" s="52"/>
      <c r="AL177" s="52"/>
      <c r="AM177" s="52"/>
      <c r="AN177" s="52"/>
      <c r="AO177" s="52"/>
    </row>
    <row r="178" spans="1:41">
      <c r="A178" s="659" t="s">
        <v>638</v>
      </c>
      <c r="B178" s="469">
        <f>'Reorganised Statements'!D109</f>
        <v>-133</v>
      </c>
      <c r="C178" s="469">
        <f>'Reorganised Statements'!E109</f>
        <v>-122</v>
      </c>
      <c r="D178" s="469">
        <f>'Reorganised Statements'!F109</f>
        <v>-192</v>
      </c>
      <c r="E178" s="469">
        <f>'Reorganised Statements'!G109</f>
        <v>-157</v>
      </c>
      <c r="F178" s="470">
        <f>'Reorganised Statements'!H109</f>
        <v>-189</v>
      </c>
      <c r="G178" s="469">
        <f>G128</f>
        <v>-155.90793168904943</v>
      </c>
      <c r="H178" s="469">
        <f t="shared" ref="H178:K178" si="113">H128</f>
        <v>-168.57000989867888</v>
      </c>
      <c r="I178" s="469">
        <f t="shared" si="113"/>
        <v>-186.50520266040101</v>
      </c>
      <c r="J178" s="469">
        <f t="shared" si="113"/>
        <v>-207.65616276375474</v>
      </c>
      <c r="K178" s="829">
        <f t="shared" si="113"/>
        <v>-228.32710494158204</v>
      </c>
      <c r="L178" s="612"/>
      <c r="M178" s="100"/>
      <c r="N178" s="370"/>
      <c r="O178" s="100"/>
      <c r="P178" s="100"/>
      <c r="Q178" s="52"/>
      <c r="R178" s="100"/>
      <c r="S178" s="100"/>
      <c r="T178" s="659" t="s">
        <v>638</v>
      </c>
      <c r="U178" s="469">
        <f>B178</f>
        <v>-133</v>
      </c>
      <c r="V178" s="469">
        <f t="shared" ref="V178:Y180" si="114">C178</f>
        <v>-122</v>
      </c>
      <c r="W178" s="469">
        <f t="shared" si="114"/>
        <v>-192</v>
      </c>
      <c r="X178" s="469">
        <f t="shared" si="114"/>
        <v>-157</v>
      </c>
      <c r="Y178" s="470">
        <f t="shared" si="114"/>
        <v>-189</v>
      </c>
      <c r="Z178" s="469">
        <v>-171.63268286035998</v>
      </c>
      <c r="AA178" s="469">
        <v>-180.8280860807362</v>
      </c>
      <c r="AB178" s="469">
        <v>-191.48744584047896</v>
      </c>
      <c r="AC178" s="469">
        <v>-203.6976362565552</v>
      </c>
      <c r="AD178" s="829">
        <v>-217.43183119969342</v>
      </c>
      <c r="AE178" s="52"/>
      <c r="AF178" s="52"/>
      <c r="AG178" s="52"/>
      <c r="AH178" s="52"/>
      <c r="AI178" s="52"/>
      <c r="AJ178" s="52"/>
      <c r="AK178" s="52"/>
      <c r="AL178" s="52"/>
      <c r="AM178" s="52"/>
      <c r="AN178" s="52"/>
      <c r="AO178" s="52"/>
    </row>
    <row r="179" spans="1:41">
      <c r="A179" s="465" t="s">
        <v>639</v>
      </c>
      <c r="B179" s="657">
        <f>B176+B178</f>
        <v>-55</v>
      </c>
      <c r="C179" s="657">
        <f>C176+C178</f>
        <v>212</v>
      </c>
      <c r="D179" s="657">
        <f>D176+D178</f>
        <v>384</v>
      </c>
      <c r="E179" s="657">
        <f>E176+E178</f>
        <v>333</v>
      </c>
      <c r="F179" s="482">
        <f t="shared" ref="F179:K179" si="115">F176+F178</f>
        <v>392</v>
      </c>
      <c r="G179" s="657">
        <f t="shared" si="115"/>
        <v>388.65345848995685</v>
      </c>
      <c r="H179" s="657">
        <f t="shared" si="115"/>
        <v>419.65892778245313</v>
      </c>
      <c r="I179" s="657">
        <f t="shared" si="115"/>
        <v>466.63457149709495</v>
      </c>
      <c r="J179" s="657">
        <f t="shared" si="115"/>
        <v>523.03245492297106</v>
      </c>
      <c r="K179" s="827">
        <f t="shared" si="115"/>
        <v>577.11364950094321</v>
      </c>
      <c r="L179" s="612"/>
      <c r="M179" s="342"/>
      <c r="N179" s="342"/>
      <c r="O179" s="342"/>
      <c r="P179" s="342"/>
      <c r="Q179" s="342"/>
      <c r="R179" s="342"/>
      <c r="S179" s="342"/>
      <c r="T179" s="465" t="s">
        <v>639</v>
      </c>
      <c r="U179" s="657">
        <f>B179</f>
        <v>-55</v>
      </c>
      <c r="V179" s="657">
        <f t="shared" si="114"/>
        <v>212</v>
      </c>
      <c r="W179" s="657">
        <f t="shared" si="114"/>
        <v>384</v>
      </c>
      <c r="X179" s="657">
        <f t="shared" si="114"/>
        <v>333</v>
      </c>
      <c r="Y179" s="482">
        <f t="shared" si="114"/>
        <v>392</v>
      </c>
      <c r="Z179" s="657">
        <v>428.46386269079414</v>
      </c>
      <c r="AA179" s="657">
        <v>451.72941132487472</v>
      </c>
      <c r="AB179" s="657">
        <v>478.76174160008316</v>
      </c>
      <c r="AC179" s="657">
        <v>509.78481434163172</v>
      </c>
      <c r="AD179" s="827">
        <v>544.71587319010541</v>
      </c>
      <c r="AE179" s="52"/>
      <c r="AF179" s="52"/>
      <c r="AG179" s="52"/>
      <c r="AH179" s="52"/>
      <c r="AI179" s="52"/>
      <c r="AJ179" s="52"/>
      <c r="AK179" s="52"/>
      <c r="AL179" s="52"/>
      <c r="AM179" s="52"/>
      <c r="AN179" s="52"/>
      <c r="AO179" s="52"/>
    </row>
    <row r="180" spans="1:41">
      <c r="A180" s="659" t="s">
        <v>453</v>
      </c>
      <c r="B180" s="469">
        <f>'Reorganised Statements'!D110</f>
        <v>130</v>
      </c>
      <c r="C180" s="469">
        <f>'Reorganised Statements'!E110</f>
        <v>20</v>
      </c>
      <c r="D180" s="469">
        <f>'Reorganised Statements'!F110</f>
        <v>-91</v>
      </c>
      <c r="E180" s="469">
        <f>'Reorganised Statements'!G110</f>
        <v>11</v>
      </c>
      <c r="F180" s="470">
        <f>'Reorganised Statements'!H110</f>
        <v>-3</v>
      </c>
      <c r="G180" s="469">
        <f>G179*(-0.010228404)</f>
        <v>-3.9753045894325085</v>
      </c>
      <c r="H180" s="469">
        <f t="shared" ref="H180:K180" si="116">H179*(-0.010228404)</f>
        <v>-4.2924410555657548</v>
      </c>
      <c r="I180" s="469">
        <f t="shared" si="116"/>
        <v>-4.7729269176391718</v>
      </c>
      <c r="J180" s="469">
        <f t="shared" si="116"/>
        <v>-5.3497872540639371</v>
      </c>
      <c r="K180" s="829">
        <f t="shared" si="116"/>
        <v>-5.9029515610100454</v>
      </c>
      <c r="L180" s="52"/>
      <c r="M180" s="52"/>
      <c r="N180" s="52"/>
      <c r="O180" s="52"/>
      <c r="P180" s="52"/>
      <c r="Q180" s="52"/>
      <c r="R180" s="52"/>
      <c r="S180" s="52"/>
      <c r="T180" s="659" t="s">
        <v>453</v>
      </c>
      <c r="U180" s="469">
        <f>B180</f>
        <v>130</v>
      </c>
      <c r="V180" s="469">
        <f t="shared" si="114"/>
        <v>20</v>
      </c>
      <c r="W180" s="469">
        <f t="shared" si="114"/>
        <v>-91</v>
      </c>
      <c r="X180" s="469">
        <f t="shared" si="114"/>
        <v>11</v>
      </c>
      <c r="Y180" s="470">
        <f t="shared" si="114"/>
        <v>-3</v>
      </c>
      <c r="Z180" s="469">
        <v>-4.3825014870019698</v>
      </c>
      <c r="AA180" s="469">
        <v>-4.6204709177129937</v>
      </c>
      <c r="AB180" s="469">
        <v>-4.8969685128292566</v>
      </c>
      <c r="AC180" s="469">
        <v>-5.214285034151203</v>
      </c>
      <c r="AD180" s="829">
        <v>-5.5715740162011667</v>
      </c>
      <c r="AE180" s="52"/>
      <c r="AF180" s="52"/>
      <c r="AG180" s="52"/>
      <c r="AH180" s="52"/>
      <c r="AI180" s="52"/>
      <c r="AJ180" s="52"/>
      <c r="AK180" s="52"/>
      <c r="AL180" s="52"/>
      <c r="AM180" s="52"/>
      <c r="AN180" s="52"/>
      <c r="AO180" s="52"/>
    </row>
    <row r="181" spans="1:41">
      <c r="A181" s="655" t="s">
        <v>640</v>
      </c>
      <c r="B181" s="656">
        <f>B179+B180</f>
        <v>75</v>
      </c>
      <c r="C181" s="656">
        <f t="shared" ref="C181:F181" si="117">C179+C180</f>
        <v>232</v>
      </c>
      <c r="D181" s="656">
        <f t="shared" si="117"/>
        <v>293</v>
      </c>
      <c r="E181" s="656">
        <f t="shared" si="117"/>
        <v>344</v>
      </c>
      <c r="F181" s="477">
        <f t="shared" si="117"/>
        <v>389</v>
      </c>
      <c r="G181" s="656">
        <f>G176+G178+G180</f>
        <v>384.67815390052436</v>
      </c>
      <c r="H181" s="656">
        <f t="shared" ref="H181:K181" si="118">H176+H178+H180</f>
        <v>415.36648672688739</v>
      </c>
      <c r="I181" s="656">
        <f t="shared" si="118"/>
        <v>461.8616445794558</v>
      </c>
      <c r="J181" s="656">
        <f t="shared" si="118"/>
        <v>517.68266766890713</v>
      </c>
      <c r="K181" s="826">
        <f t="shared" si="118"/>
        <v>571.2106979399332</v>
      </c>
      <c r="L181" s="52"/>
      <c r="M181" s="52"/>
      <c r="N181" s="52"/>
      <c r="O181" s="52"/>
      <c r="P181" s="52"/>
      <c r="Q181" s="52"/>
      <c r="R181" s="52"/>
      <c r="S181" s="52"/>
      <c r="T181" s="655" t="s">
        <v>640</v>
      </c>
      <c r="U181" s="656">
        <v>75</v>
      </c>
      <c r="V181" s="656">
        <v>232</v>
      </c>
      <c r="W181" s="656">
        <v>293</v>
      </c>
      <c r="X181" s="656">
        <v>344</v>
      </c>
      <c r="Y181" s="477">
        <v>389</v>
      </c>
      <c r="Z181" s="656">
        <v>424.0813612037922</v>
      </c>
      <c r="AA181" s="656">
        <v>447.1089404071617</v>
      </c>
      <c r="AB181" s="656">
        <v>473.86477308725392</v>
      </c>
      <c r="AC181" s="656">
        <v>504.57052930748051</v>
      </c>
      <c r="AD181" s="826">
        <v>539.1442991739043</v>
      </c>
      <c r="AE181" s="52"/>
      <c r="AF181" s="52"/>
      <c r="AG181" s="52"/>
      <c r="AH181" s="52"/>
      <c r="AI181" s="52"/>
      <c r="AJ181" s="52"/>
      <c r="AK181" s="52"/>
      <c r="AL181" s="52"/>
      <c r="AM181" s="52"/>
      <c r="AN181" s="52"/>
      <c r="AO181" s="52"/>
    </row>
    <row r="182" spans="1:41" ht="15" thickBot="1">
      <c r="A182" s="661"/>
      <c r="B182" s="814"/>
      <c r="C182" s="814"/>
      <c r="D182" s="814"/>
      <c r="E182" s="814"/>
      <c r="F182" s="815"/>
      <c r="G182" s="814"/>
      <c r="H182" s="814"/>
      <c r="I182" s="814"/>
      <c r="J182" s="814"/>
      <c r="K182" s="824"/>
      <c r="L182" s="52"/>
      <c r="M182" s="342"/>
      <c r="N182" s="342"/>
      <c r="O182" s="342"/>
      <c r="P182" s="342"/>
      <c r="Q182" s="342"/>
      <c r="R182" s="342"/>
      <c r="S182" s="342"/>
      <c r="T182" s="661"/>
      <c r="U182" s="814"/>
      <c r="V182" s="814"/>
      <c r="W182" s="814"/>
      <c r="X182" s="814"/>
      <c r="Y182" s="815"/>
      <c r="Z182" s="814"/>
      <c r="AA182" s="814"/>
      <c r="AB182" s="814"/>
      <c r="AC182" s="814"/>
      <c r="AD182" s="824"/>
      <c r="AE182" s="52"/>
      <c r="AF182" s="52"/>
      <c r="AG182" s="52"/>
      <c r="AH182" s="52"/>
      <c r="AI182" s="52"/>
      <c r="AJ182" s="52"/>
      <c r="AK182" s="52"/>
      <c r="AL182" s="52"/>
      <c r="AM182" s="52"/>
      <c r="AN182" s="52"/>
      <c r="AO182" s="52"/>
    </row>
    <row r="183" spans="1:41">
      <c r="A183" s="609"/>
      <c r="B183" s="52"/>
      <c r="C183" s="342"/>
      <c r="D183" s="342"/>
      <c r="E183" s="342"/>
      <c r="F183" s="342"/>
      <c r="G183" s="342"/>
      <c r="H183" s="342"/>
      <c r="I183" s="342"/>
      <c r="J183" s="342"/>
      <c r="K183" s="342"/>
      <c r="L183" s="342"/>
      <c r="M183" s="342"/>
      <c r="N183" s="342"/>
      <c r="O183" s="342"/>
      <c r="P183" s="342"/>
      <c r="Q183" s="342"/>
      <c r="R183" s="342"/>
      <c r="S183" s="342"/>
      <c r="T183" s="52"/>
      <c r="U183" s="52"/>
      <c r="V183" s="52"/>
      <c r="W183" s="52"/>
      <c r="X183" s="52"/>
      <c r="Y183" s="52"/>
      <c r="Z183" s="52"/>
      <c r="AA183" s="52"/>
      <c r="AB183" s="52"/>
      <c r="AC183" s="52"/>
      <c r="AD183" s="52"/>
      <c r="AE183" s="52"/>
      <c r="AF183" s="52"/>
      <c r="AG183" s="52"/>
      <c r="AH183" s="52"/>
      <c r="AI183" s="52"/>
      <c r="AJ183" s="52"/>
      <c r="AK183" s="52"/>
      <c r="AL183" s="52"/>
      <c r="AM183" s="52"/>
      <c r="AN183" s="52"/>
      <c r="AO183" s="52"/>
    </row>
    <row r="184" spans="1:41">
      <c r="A184" s="52"/>
      <c r="B184" s="52"/>
      <c r="C184" s="342"/>
      <c r="D184" s="342"/>
      <c r="E184" s="342"/>
      <c r="F184" s="342"/>
      <c r="G184" s="342"/>
      <c r="H184" s="342"/>
      <c r="I184" s="342"/>
      <c r="J184" s="342"/>
      <c r="K184" s="342"/>
      <c r="L184" s="342"/>
      <c r="M184" s="342"/>
      <c r="N184" s="342"/>
      <c r="O184" s="342"/>
      <c r="P184" s="342"/>
      <c r="Q184" s="342"/>
      <c r="R184" s="342"/>
      <c r="S184" s="342"/>
      <c r="T184" s="52"/>
      <c r="U184" s="52"/>
      <c r="V184" s="52"/>
      <c r="W184" s="52"/>
      <c r="X184" s="52"/>
      <c r="Y184" s="52"/>
      <c r="Z184" s="52"/>
      <c r="AA184" s="52"/>
      <c r="AB184" s="52"/>
      <c r="AC184" s="52"/>
      <c r="AD184" s="52"/>
      <c r="AE184" s="52"/>
      <c r="AF184" s="52"/>
      <c r="AG184" s="52"/>
      <c r="AH184" s="52"/>
      <c r="AI184" s="52"/>
      <c r="AJ184" s="52"/>
      <c r="AK184" s="52"/>
      <c r="AL184" s="52"/>
      <c r="AM184" s="52"/>
      <c r="AN184" s="52"/>
      <c r="AO184" s="52"/>
    </row>
    <row r="185" spans="1:41" ht="15" thickBot="1">
      <c r="A185" s="52"/>
      <c r="B185" s="52"/>
      <c r="C185" s="611"/>
      <c r="D185" s="611"/>
      <c r="E185" s="611"/>
      <c r="F185" s="611"/>
      <c r="G185" s="611"/>
      <c r="H185" s="611"/>
      <c r="I185" s="611"/>
      <c r="J185" s="611"/>
      <c r="K185" s="611"/>
      <c r="L185" s="611"/>
      <c r="M185" s="611"/>
      <c r="N185" s="611"/>
      <c r="O185" s="611"/>
      <c r="P185" s="611"/>
      <c r="Q185" s="611"/>
      <c r="R185" s="611"/>
      <c r="S185" s="611"/>
      <c r="T185" s="52"/>
      <c r="U185" s="52"/>
      <c r="V185" s="52"/>
      <c r="W185" s="52"/>
      <c r="X185" s="52"/>
      <c r="Y185" s="52"/>
      <c r="Z185" s="52"/>
      <c r="AA185" s="52"/>
      <c r="AB185" s="52"/>
      <c r="AC185" s="52"/>
      <c r="AD185" s="52"/>
      <c r="AE185" s="52"/>
      <c r="AF185" s="52"/>
      <c r="AG185" s="52"/>
      <c r="AH185" s="52"/>
      <c r="AI185" s="52"/>
      <c r="AJ185" s="52"/>
      <c r="AK185" s="52"/>
      <c r="AL185" s="52"/>
      <c r="AM185" s="52"/>
      <c r="AN185" s="52"/>
      <c r="AO185" s="52"/>
    </row>
    <row r="186" spans="1:41">
      <c r="A186" s="673" t="s">
        <v>641</v>
      </c>
      <c r="B186" s="662"/>
      <c r="C186" s="662"/>
      <c r="D186" s="662"/>
      <c r="E186" s="662"/>
      <c r="F186" s="663"/>
      <c r="G186" s="662" t="s">
        <v>714</v>
      </c>
      <c r="H186" s="662"/>
      <c r="I186" s="662"/>
      <c r="J186" s="662"/>
      <c r="K186" s="664"/>
      <c r="L186" s="52"/>
      <c r="M186" s="611"/>
      <c r="N186" s="611"/>
      <c r="O186" s="611"/>
      <c r="P186" s="611"/>
      <c r="Q186" s="611"/>
      <c r="R186" s="611"/>
      <c r="S186" s="611"/>
      <c r="T186" s="673" t="s">
        <v>641</v>
      </c>
      <c r="U186" s="662"/>
      <c r="V186" s="662"/>
      <c r="W186" s="662"/>
      <c r="X186" s="662"/>
      <c r="Y186" s="663"/>
      <c r="Z186" s="662" t="s">
        <v>714</v>
      </c>
      <c r="AA186" s="662"/>
      <c r="AB186" s="662"/>
      <c r="AC186" s="662"/>
      <c r="AD186" s="664"/>
      <c r="AE186" s="52"/>
      <c r="AF186" s="52"/>
      <c r="AG186" s="52"/>
      <c r="AH186" s="52"/>
      <c r="AI186" s="52"/>
      <c r="AJ186" s="52"/>
      <c r="AK186" s="52"/>
      <c r="AL186" s="52"/>
      <c r="AM186" s="52"/>
      <c r="AN186" s="52"/>
      <c r="AO186" s="52"/>
    </row>
    <row r="187" spans="1:41" ht="15" thickBot="1">
      <c r="A187" s="669"/>
      <c r="B187" s="665">
        <v>2015</v>
      </c>
      <c r="C187" s="665">
        <v>2016</v>
      </c>
      <c r="D187" s="665">
        <v>2017</v>
      </c>
      <c r="E187" s="665">
        <v>2018</v>
      </c>
      <c r="F187" s="667">
        <v>2019</v>
      </c>
      <c r="G187" s="665">
        <v>2020</v>
      </c>
      <c r="H187" s="665">
        <v>2021</v>
      </c>
      <c r="I187" s="665">
        <v>2022</v>
      </c>
      <c r="J187" s="665">
        <v>2023</v>
      </c>
      <c r="K187" s="666">
        <v>2024</v>
      </c>
      <c r="L187" s="52"/>
      <c r="M187" s="614"/>
      <c r="N187" s="611"/>
      <c r="O187" s="613"/>
      <c r="P187" s="613"/>
      <c r="Q187" s="611"/>
      <c r="R187" s="613"/>
      <c r="S187" s="613"/>
      <c r="T187" s="669"/>
      <c r="U187" s="665">
        <v>2015</v>
      </c>
      <c r="V187" s="665">
        <v>2016</v>
      </c>
      <c r="W187" s="665">
        <v>2017</v>
      </c>
      <c r="X187" s="665">
        <v>2018</v>
      </c>
      <c r="Y187" s="667">
        <v>2019</v>
      </c>
      <c r="Z187" s="665">
        <v>2020</v>
      </c>
      <c r="AA187" s="665">
        <v>2021</v>
      </c>
      <c r="AB187" s="665">
        <v>2022</v>
      </c>
      <c r="AC187" s="665">
        <v>2023</v>
      </c>
      <c r="AD187" s="666">
        <v>2024</v>
      </c>
      <c r="AE187" s="52"/>
      <c r="AF187" s="52"/>
      <c r="AG187" s="52"/>
      <c r="AH187" s="52"/>
      <c r="AI187" s="52"/>
      <c r="AJ187" s="52"/>
      <c r="AK187" s="52"/>
      <c r="AL187" s="52"/>
      <c r="AM187" s="52"/>
      <c r="AN187" s="52"/>
      <c r="AO187" s="52"/>
    </row>
    <row r="188" spans="1:41">
      <c r="A188" s="465" t="s">
        <v>642</v>
      </c>
      <c r="B188" s="52">
        <f t="shared" ref="B188:K188" si="119">B41</f>
        <v>5067</v>
      </c>
      <c r="C188" s="52">
        <f t="shared" si="119"/>
        <v>5129</v>
      </c>
      <c r="D188" s="52">
        <f t="shared" si="119"/>
        <v>4606</v>
      </c>
      <c r="E188" s="52">
        <f t="shared" si="119"/>
        <v>4620</v>
      </c>
      <c r="F188" s="443">
        <f t="shared" si="119"/>
        <v>4869</v>
      </c>
      <c r="G188" s="657">
        <f t="shared" si="119"/>
        <v>4964.9255830968814</v>
      </c>
      <c r="H188" s="657">
        <f t="shared" si="119"/>
        <v>5060.1014455884615</v>
      </c>
      <c r="I188" s="657">
        <f t="shared" si="119"/>
        <v>5154.7360712934978</v>
      </c>
      <c r="J188" s="657">
        <f t="shared" si="119"/>
        <v>5249.0191767306296</v>
      </c>
      <c r="K188" s="823">
        <f t="shared" si="119"/>
        <v>5342.8950490737898</v>
      </c>
      <c r="L188" s="52"/>
      <c r="M188" s="611"/>
      <c r="N188" s="342"/>
      <c r="O188" s="611"/>
      <c r="P188" s="611"/>
      <c r="Q188" s="342"/>
      <c r="R188" s="611"/>
      <c r="S188" s="611"/>
      <c r="T188" s="799" t="s">
        <v>642</v>
      </c>
      <c r="U188" s="282">
        <f>B188</f>
        <v>5067</v>
      </c>
      <c r="V188" s="282">
        <f t="shared" ref="V188:Y188" si="120">C188</f>
        <v>5129</v>
      </c>
      <c r="W188" s="282">
        <f t="shared" si="120"/>
        <v>4606</v>
      </c>
      <c r="X188" s="282">
        <f t="shared" si="120"/>
        <v>4620</v>
      </c>
      <c r="Y188" s="443">
        <f t="shared" si="120"/>
        <v>4869</v>
      </c>
      <c r="Z188" s="839">
        <v>5026.3695287890614</v>
      </c>
      <c r="AA188" s="839">
        <v>5163.0639002083954</v>
      </c>
      <c r="AB188" s="839">
        <v>5280.1596539170741</v>
      </c>
      <c r="AC188" s="839">
        <v>5378.8261848426619</v>
      </c>
      <c r="AD188" s="823">
        <v>5459.7548333593031</v>
      </c>
      <c r="AE188" s="52"/>
      <c r="AF188" s="52"/>
      <c r="AG188" s="52"/>
      <c r="AH188" s="52"/>
      <c r="AI188" s="52"/>
      <c r="AJ188" s="52"/>
      <c r="AK188" s="52"/>
      <c r="AL188" s="52"/>
      <c r="AM188" s="52"/>
      <c r="AN188" s="52"/>
      <c r="AO188" s="52"/>
    </row>
    <row r="189" spans="1:41">
      <c r="A189" s="465" t="s">
        <v>643</v>
      </c>
      <c r="B189" s="52">
        <f t="shared" ref="B189:K189" si="121">B52</f>
        <v>1348</v>
      </c>
      <c r="C189" s="52">
        <f t="shared" si="121"/>
        <v>1704</v>
      </c>
      <c r="D189" s="52">
        <f t="shared" si="121"/>
        <v>1863</v>
      </c>
      <c r="E189" s="52">
        <f t="shared" si="121"/>
        <v>2302</v>
      </c>
      <c r="F189" s="369">
        <f t="shared" si="121"/>
        <v>2379</v>
      </c>
      <c r="G189" s="657">
        <f t="shared" si="121"/>
        <v>2544.298384106336</v>
      </c>
      <c r="H189" s="657">
        <f t="shared" si="121"/>
        <v>2705.4946146409388</v>
      </c>
      <c r="I189" s="657">
        <f t="shared" si="121"/>
        <v>2862.864443786727</v>
      </c>
      <c r="J189" s="657">
        <f t="shared" si="121"/>
        <v>3016.670522386582</v>
      </c>
      <c r="K189" s="827">
        <f t="shared" si="121"/>
        <v>3167.050306892384</v>
      </c>
      <c r="L189" s="52"/>
      <c r="M189" s="342"/>
      <c r="N189" s="342"/>
      <c r="O189" s="342"/>
      <c r="P189" s="342"/>
      <c r="Q189" s="342"/>
      <c r="R189" s="342"/>
      <c r="S189" s="342"/>
      <c r="T189" s="465" t="s">
        <v>643</v>
      </c>
      <c r="U189" s="52">
        <f t="shared" ref="U189:U190" si="122">B189</f>
        <v>1348</v>
      </c>
      <c r="V189" s="52">
        <f t="shared" ref="V189:V190" si="123">C189</f>
        <v>1704</v>
      </c>
      <c r="W189" s="52">
        <f t="shared" ref="W189:W190" si="124">D189</f>
        <v>1863</v>
      </c>
      <c r="X189" s="52">
        <f t="shared" ref="X189:X190" si="125">E189</f>
        <v>2302</v>
      </c>
      <c r="Y189" s="369">
        <f t="shared" ref="Y189:Y190" si="126">F189</f>
        <v>2379</v>
      </c>
      <c r="Z189" s="657">
        <v>2544.298384106336</v>
      </c>
      <c r="AA189" s="657">
        <v>2705.4946146409388</v>
      </c>
      <c r="AB189" s="657">
        <v>2862.864443786727</v>
      </c>
      <c r="AC189" s="657">
        <v>3016.670522386582</v>
      </c>
      <c r="AD189" s="827">
        <v>3167.050306892384</v>
      </c>
      <c r="AE189" s="52"/>
      <c r="AF189" s="52"/>
      <c r="AG189" s="52"/>
      <c r="AH189" s="52"/>
      <c r="AI189" s="52"/>
      <c r="AJ189" s="52"/>
      <c r="AK189" s="52"/>
      <c r="AL189" s="52"/>
      <c r="AM189" s="52"/>
      <c r="AN189" s="52"/>
      <c r="AO189" s="52"/>
    </row>
    <row r="190" spans="1:41">
      <c r="A190" s="659" t="s">
        <v>644</v>
      </c>
      <c r="B190" s="101">
        <f>'Reorganised Statements'!D7</f>
        <v>137</v>
      </c>
      <c r="C190" s="101">
        <f>'Reorganised Statements'!E7</f>
        <v>136</v>
      </c>
      <c r="D190" s="101">
        <f>'Reorganised Statements'!F7</f>
        <v>107</v>
      </c>
      <c r="E190" s="101">
        <f>'Reorganised Statements'!G7</f>
        <v>45</v>
      </c>
      <c r="F190" s="99">
        <f>'Reorganised Statements'!H7</f>
        <v>65</v>
      </c>
      <c r="G190" s="469">
        <f>F190</f>
        <v>65</v>
      </c>
      <c r="H190" s="469">
        <f t="shared" ref="H190:K190" si="127">G190</f>
        <v>65</v>
      </c>
      <c r="I190" s="469">
        <f t="shared" si="127"/>
        <v>65</v>
      </c>
      <c r="J190" s="469">
        <f t="shared" si="127"/>
        <v>65</v>
      </c>
      <c r="K190" s="829">
        <f t="shared" si="127"/>
        <v>65</v>
      </c>
      <c r="L190" s="52"/>
      <c r="M190" s="342"/>
      <c r="N190" s="342"/>
      <c r="O190" s="342"/>
      <c r="P190" s="342"/>
      <c r="Q190" s="342"/>
      <c r="R190" s="342"/>
      <c r="S190" s="342"/>
      <c r="T190" s="659" t="s">
        <v>644</v>
      </c>
      <c r="U190" s="101">
        <f t="shared" si="122"/>
        <v>137</v>
      </c>
      <c r="V190" s="101">
        <f t="shared" si="123"/>
        <v>136</v>
      </c>
      <c r="W190" s="101">
        <f t="shared" si="124"/>
        <v>107</v>
      </c>
      <c r="X190" s="101">
        <f t="shared" si="125"/>
        <v>45</v>
      </c>
      <c r="Y190" s="99">
        <f t="shared" si="126"/>
        <v>65</v>
      </c>
      <c r="Z190" s="469">
        <v>65</v>
      </c>
      <c r="AA190" s="469">
        <v>65</v>
      </c>
      <c r="AB190" s="469">
        <v>65</v>
      </c>
      <c r="AC190" s="469">
        <v>65</v>
      </c>
      <c r="AD190" s="829">
        <v>65</v>
      </c>
      <c r="AE190" s="52"/>
      <c r="AF190" s="52"/>
      <c r="AG190" s="52"/>
      <c r="AH190" s="52"/>
      <c r="AI190" s="52"/>
      <c r="AJ190" s="52"/>
      <c r="AK190" s="52"/>
      <c r="AL190" s="52"/>
      <c r="AM190" s="52"/>
      <c r="AN190" s="52"/>
      <c r="AO190" s="52"/>
    </row>
    <row r="191" spans="1:41">
      <c r="A191" s="655" t="s">
        <v>553</v>
      </c>
      <c r="B191" s="100">
        <f>SUM(B188:B190)</f>
        <v>6552</v>
      </c>
      <c r="C191" s="100">
        <f t="shared" ref="C191:F191" si="128">SUM(C188:C190)</f>
        <v>6969</v>
      </c>
      <c r="D191" s="100">
        <f t="shared" si="128"/>
        <v>6576</v>
      </c>
      <c r="E191" s="100">
        <f t="shared" si="128"/>
        <v>6967</v>
      </c>
      <c r="F191" s="100">
        <f t="shared" si="128"/>
        <v>7313</v>
      </c>
      <c r="G191" s="656">
        <f>G188+G189+G190</f>
        <v>7574.2239672032174</v>
      </c>
      <c r="H191" s="656">
        <f t="shared" ref="H191:K191" si="129">H188+H189+H190</f>
        <v>7830.5960602293999</v>
      </c>
      <c r="I191" s="656">
        <f t="shared" si="129"/>
        <v>8082.6005150802248</v>
      </c>
      <c r="J191" s="656">
        <f t="shared" si="129"/>
        <v>8330.6896991172107</v>
      </c>
      <c r="K191" s="826">
        <f t="shared" si="129"/>
        <v>8574.9453559661742</v>
      </c>
      <c r="L191" s="52"/>
      <c r="M191" s="611"/>
      <c r="N191" s="611"/>
      <c r="O191" s="611"/>
      <c r="P191" s="611"/>
      <c r="Q191" s="611"/>
      <c r="R191" s="611"/>
      <c r="S191" s="611"/>
      <c r="T191" s="655" t="s">
        <v>553</v>
      </c>
      <c r="U191" s="100">
        <v>6552</v>
      </c>
      <c r="V191" s="100">
        <v>6969</v>
      </c>
      <c r="W191" s="100">
        <v>6576</v>
      </c>
      <c r="X191" s="100">
        <v>6967</v>
      </c>
      <c r="Y191" s="445">
        <v>7313</v>
      </c>
      <c r="Z191" s="656">
        <v>7635.6679128953974</v>
      </c>
      <c r="AA191" s="656">
        <v>7933.5585148493337</v>
      </c>
      <c r="AB191" s="656">
        <v>8208.0240977038011</v>
      </c>
      <c r="AC191" s="656">
        <v>8460.4967072292438</v>
      </c>
      <c r="AD191" s="826">
        <v>8691.8051402516867</v>
      </c>
      <c r="AE191" s="52"/>
      <c r="AF191" s="52"/>
      <c r="AG191" s="52"/>
      <c r="AH191" s="52"/>
      <c r="AI191" s="52"/>
      <c r="AJ191" s="52"/>
      <c r="AK191" s="52"/>
      <c r="AL191" s="52"/>
      <c r="AM191" s="52"/>
      <c r="AN191" s="52"/>
      <c r="AO191" s="52"/>
    </row>
    <row r="192" spans="1:41">
      <c r="A192" s="465"/>
      <c r="B192" s="52"/>
      <c r="C192" s="52"/>
      <c r="D192" s="52"/>
      <c r="E192" s="52"/>
      <c r="F192" s="369"/>
      <c r="G192" s="657"/>
      <c r="H192" s="657"/>
      <c r="I192" s="657"/>
      <c r="J192" s="657"/>
      <c r="K192" s="827"/>
      <c r="L192" s="52"/>
      <c r="M192" s="611"/>
      <c r="N192" s="611"/>
      <c r="O192" s="611"/>
      <c r="P192" s="611"/>
      <c r="Q192" s="611"/>
      <c r="R192" s="611"/>
      <c r="S192" s="611"/>
      <c r="T192" s="465"/>
      <c r="U192" s="52"/>
      <c r="V192" s="52"/>
      <c r="W192" s="52"/>
      <c r="X192" s="52"/>
      <c r="Y192" s="369"/>
      <c r="Z192" s="657"/>
      <c r="AA192" s="657"/>
      <c r="AB192" s="657"/>
      <c r="AC192" s="657"/>
      <c r="AD192" s="827"/>
      <c r="AE192" s="52"/>
      <c r="AF192" s="52"/>
      <c r="AG192" s="52"/>
      <c r="AH192" s="52"/>
      <c r="AI192" s="52"/>
      <c r="AJ192" s="52"/>
      <c r="AK192" s="52"/>
      <c r="AL192" s="52"/>
      <c r="AM192" s="52"/>
      <c r="AN192" s="52"/>
      <c r="AO192" s="52"/>
    </row>
    <row r="193" spans="1:41">
      <c r="A193" s="465" t="s">
        <v>578</v>
      </c>
      <c r="B193" s="467">
        <f t="shared" ref="B193:F195" si="130">B63</f>
        <v>184</v>
      </c>
      <c r="C193" s="52">
        <f t="shared" si="130"/>
        <v>159</v>
      </c>
      <c r="D193" s="52">
        <f t="shared" si="130"/>
        <v>147</v>
      </c>
      <c r="E193" s="52">
        <f t="shared" si="130"/>
        <v>187</v>
      </c>
      <c r="F193" s="369">
        <f t="shared" si="130"/>
        <v>184</v>
      </c>
      <c r="G193" s="657"/>
      <c r="H193" s="657"/>
      <c r="I193" s="657"/>
      <c r="J193" s="657"/>
      <c r="K193" s="827"/>
      <c r="L193" s="52"/>
      <c r="M193" s="611"/>
      <c r="N193" s="611"/>
      <c r="O193" s="611"/>
      <c r="P193" s="611"/>
      <c r="Q193" s="611"/>
      <c r="R193" s="611"/>
      <c r="S193" s="611"/>
      <c r="T193" s="465" t="s">
        <v>578</v>
      </c>
      <c r="U193" s="52">
        <f>B193</f>
        <v>184</v>
      </c>
      <c r="V193" s="52">
        <f t="shared" ref="V193:Y193" si="131">C193</f>
        <v>159</v>
      </c>
      <c r="W193" s="52">
        <f t="shared" si="131"/>
        <v>147</v>
      </c>
      <c r="X193" s="52">
        <f t="shared" si="131"/>
        <v>187</v>
      </c>
      <c r="Y193" s="369">
        <f t="shared" si="131"/>
        <v>184</v>
      </c>
      <c r="Z193" s="657"/>
      <c r="AA193" s="657"/>
      <c r="AB193" s="657"/>
      <c r="AC193" s="657"/>
      <c r="AD193" s="827"/>
      <c r="AE193" s="52"/>
      <c r="AF193" s="52"/>
      <c r="AG193" s="52"/>
      <c r="AH193" s="52"/>
      <c r="AI193" s="52"/>
      <c r="AJ193" s="52"/>
      <c r="AK193" s="52"/>
      <c r="AL193" s="52"/>
      <c r="AM193" s="52"/>
      <c r="AN193" s="52"/>
      <c r="AO193" s="52"/>
    </row>
    <row r="194" spans="1:41">
      <c r="A194" s="465" t="s">
        <v>645</v>
      </c>
      <c r="B194" s="467">
        <f t="shared" si="130"/>
        <v>1485</v>
      </c>
      <c r="C194" s="52">
        <f t="shared" si="130"/>
        <v>1821</v>
      </c>
      <c r="D194" s="52">
        <f t="shared" si="130"/>
        <v>1671</v>
      </c>
      <c r="E194" s="52">
        <f t="shared" si="130"/>
        <v>1781</v>
      </c>
      <c r="F194" s="369">
        <f t="shared" si="130"/>
        <v>1852</v>
      </c>
      <c r="G194" s="657"/>
      <c r="H194" s="657"/>
      <c r="I194" s="657"/>
      <c r="J194" s="657"/>
      <c r="K194" s="827"/>
      <c r="L194" s="52"/>
      <c r="M194" s="611"/>
      <c r="N194" s="611"/>
      <c r="O194" s="611"/>
      <c r="P194" s="611"/>
      <c r="Q194" s="611"/>
      <c r="R194" s="611"/>
      <c r="S194" s="611"/>
      <c r="T194" s="465" t="s">
        <v>645</v>
      </c>
      <c r="U194" s="52">
        <f t="shared" ref="U194:U195" si="132">B194</f>
        <v>1485</v>
      </c>
      <c r="V194" s="52">
        <f t="shared" ref="V194:V195" si="133">C194</f>
        <v>1821</v>
      </c>
      <c r="W194" s="52">
        <f t="shared" ref="W194:W195" si="134">D194</f>
        <v>1671</v>
      </c>
      <c r="X194" s="52">
        <f t="shared" ref="X194:X195" si="135">E194</f>
        <v>1781</v>
      </c>
      <c r="Y194" s="369">
        <f t="shared" ref="Y194:Y195" si="136">F194</f>
        <v>1852</v>
      </c>
      <c r="Z194" s="657"/>
      <c r="AA194" s="657"/>
      <c r="AB194" s="657"/>
      <c r="AC194" s="657"/>
      <c r="AD194" s="827"/>
      <c r="AE194" s="52"/>
      <c r="AF194" s="52"/>
      <c r="AG194" s="52"/>
      <c r="AH194" s="52"/>
      <c r="AI194" s="52"/>
      <c r="AJ194" s="52"/>
      <c r="AK194" s="52"/>
      <c r="AL194" s="52"/>
      <c r="AM194" s="52"/>
      <c r="AN194" s="52"/>
      <c r="AO194" s="52"/>
    </row>
    <row r="195" spans="1:41">
      <c r="A195" s="659" t="s">
        <v>577</v>
      </c>
      <c r="B195" s="376">
        <f t="shared" si="130"/>
        <v>-1170</v>
      </c>
      <c r="C195" s="101">
        <f t="shared" si="130"/>
        <v>-1384</v>
      </c>
      <c r="D195" s="101">
        <f t="shared" si="130"/>
        <v>-1381</v>
      </c>
      <c r="E195" s="101">
        <f t="shared" si="130"/>
        <v>-1413</v>
      </c>
      <c r="F195" s="99">
        <f t="shared" si="130"/>
        <v>-1481</v>
      </c>
      <c r="G195" s="469"/>
      <c r="H195" s="469"/>
      <c r="I195" s="469"/>
      <c r="J195" s="469"/>
      <c r="K195" s="829"/>
      <c r="L195" s="52"/>
      <c r="M195" s="611"/>
      <c r="N195" s="611"/>
      <c r="O195" s="611"/>
      <c r="P195" s="611"/>
      <c r="Q195" s="611"/>
      <c r="R195" s="611"/>
      <c r="S195" s="611"/>
      <c r="T195" s="659" t="s">
        <v>577</v>
      </c>
      <c r="U195" s="101">
        <f t="shared" si="132"/>
        <v>-1170</v>
      </c>
      <c r="V195" s="101">
        <f t="shared" si="133"/>
        <v>-1384</v>
      </c>
      <c r="W195" s="101">
        <f t="shared" si="134"/>
        <v>-1381</v>
      </c>
      <c r="X195" s="101">
        <f t="shared" si="135"/>
        <v>-1413</v>
      </c>
      <c r="Y195" s="99">
        <f t="shared" si="136"/>
        <v>-1481</v>
      </c>
      <c r="Z195" s="469"/>
      <c r="AA195" s="469"/>
      <c r="AB195" s="469"/>
      <c r="AC195" s="469"/>
      <c r="AD195" s="829"/>
      <c r="AE195" s="52"/>
      <c r="AF195" s="52"/>
      <c r="AG195" s="52"/>
      <c r="AH195" s="52"/>
      <c r="AI195" s="52"/>
      <c r="AJ195" s="52"/>
      <c r="AK195" s="52"/>
      <c r="AL195" s="52"/>
      <c r="AM195" s="52"/>
      <c r="AN195" s="52"/>
      <c r="AO195" s="52"/>
    </row>
    <row r="196" spans="1:41">
      <c r="A196" s="465" t="s">
        <v>646</v>
      </c>
      <c r="B196" s="52">
        <f>SUM(B193:B195)</f>
        <v>499</v>
      </c>
      <c r="C196" s="52">
        <f t="shared" ref="C196:F196" si="137">SUM(C193:C195)</f>
        <v>596</v>
      </c>
      <c r="D196" s="52">
        <f t="shared" si="137"/>
        <v>437</v>
      </c>
      <c r="E196" s="52">
        <f t="shared" si="137"/>
        <v>555</v>
      </c>
      <c r="F196" s="369">
        <f t="shared" si="137"/>
        <v>555</v>
      </c>
      <c r="G196" s="657"/>
      <c r="H196" s="657"/>
      <c r="I196" s="657"/>
      <c r="J196" s="657"/>
      <c r="K196" s="827"/>
      <c r="L196" s="52"/>
      <c r="M196" s="611"/>
      <c r="N196" s="611"/>
      <c r="O196" s="611"/>
      <c r="P196" s="611"/>
      <c r="Q196" s="611"/>
      <c r="R196" s="611"/>
      <c r="S196" s="611"/>
      <c r="T196" s="465" t="s">
        <v>646</v>
      </c>
      <c r="U196" s="52">
        <f>SUM(U193:U195)</f>
        <v>499</v>
      </c>
      <c r="V196" s="52">
        <f t="shared" ref="V196:Y196" si="138">SUM(V193:V195)</f>
        <v>596</v>
      </c>
      <c r="W196" s="52">
        <f t="shared" si="138"/>
        <v>437</v>
      </c>
      <c r="X196" s="52">
        <f t="shared" si="138"/>
        <v>555</v>
      </c>
      <c r="Y196" s="369">
        <f t="shared" si="138"/>
        <v>555</v>
      </c>
      <c r="Z196" s="657"/>
      <c r="AA196" s="657"/>
      <c r="AB196" s="657"/>
      <c r="AC196" s="657"/>
      <c r="AD196" s="827"/>
      <c r="AE196" s="52"/>
      <c r="AF196" s="52"/>
      <c r="AG196" s="52"/>
      <c r="AH196" s="52"/>
      <c r="AI196" s="52"/>
      <c r="AJ196" s="52"/>
      <c r="AK196" s="52"/>
      <c r="AL196" s="52"/>
      <c r="AM196" s="52"/>
      <c r="AN196" s="52"/>
      <c r="AO196" s="52"/>
    </row>
    <row r="197" spans="1:41">
      <c r="A197" s="465"/>
      <c r="B197" s="52"/>
      <c r="C197" s="52"/>
      <c r="D197" s="52"/>
      <c r="E197" s="52"/>
      <c r="F197" s="369"/>
      <c r="G197" s="657"/>
      <c r="H197" s="657"/>
      <c r="I197" s="657"/>
      <c r="J197" s="657"/>
      <c r="K197" s="827"/>
      <c r="L197" s="52"/>
      <c r="M197" s="611"/>
      <c r="N197" s="611"/>
      <c r="O197" s="611"/>
      <c r="P197" s="611"/>
      <c r="Q197" s="611"/>
      <c r="R197" s="611"/>
      <c r="S197" s="611"/>
      <c r="T197" s="465"/>
      <c r="U197" s="52"/>
      <c r="V197" s="52"/>
      <c r="W197" s="52"/>
      <c r="X197" s="52"/>
      <c r="Y197" s="369"/>
      <c r="Z197" s="657"/>
      <c r="AA197" s="657"/>
      <c r="AB197" s="657"/>
      <c r="AC197" s="657"/>
      <c r="AD197" s="827"/>
      <c r="AE197" s="52"/>
      <c r="AF197" s="52"/>
      <c r="AG197" s="52"/>
      <c r="AH197" s="52"/>
      <c r="AI197" s="52"/>
      <c r="AJ197" s="52"/>
      <c r="AK197" s="52"/>
      <c r="AL197" s="52"/>
      <c r="AM197" s="52"/>
      <c r="AN197" s="52"/>
      <c r="AO197" s="52"/>
    </row>
    <row r="198" spans="1:41">
      <c r="A198" s="465" t="s">
        <v>11</v>
      </c>
      <c r="B198" s="52">
        <f>'Reorganised Statements'!D15</f>
        <v>636</v>
      </c>
      <c r="C198" s="52">
        <f>'Reorganised Statements'!E15</f>
        <v>695</v>
      </c>
      <c r="D198" s="52">
        <f>'Reorganised Statements'!F15</f>
        <v>563</v>
      </c>
      <c r="E198" s="52">
        <f>'Reorganised Statements'!G15</f>
        <v>510</v>
      </c>
      <c r="F198" s="369">
        <f>'Reorganised Statements'!H15</f>
        <v>665</v>
      </c>
      <c r="G198" s="657"/>
      <c r="H198" s="657"/>
      <c r="I198" s="657"/>
      <c r="J198" s="657"/>
      <c r="K198" s="827"/>
      <c r="L198" s="52"/>
      <c r="M198" s="612"/>
      <c r="N198" s="612"/>
      <c r="O198" s="612"/>
      <c r="P198" s="612"/>
      <c r="Q198" s="612"/>
      <c r="R198" s="612"/>
      <c r="S198" s="612"/>
      <c r="T198" s="465" t="s">
        <v>11</v>
      </c>
      <c r="U198" s="52">
        <f>B198</f>
        <v>636</v>
      </c>
      <c r="V198" s="52">
        <f t="shared" ref="V198:Y199" si="139">C198</f>
        <v>695</v>
      </c>
      <c r="W198" s="52">
        <f t="shared" si="139"/>
        <v>563</v>
      </c>
      <c r="X198" s="52">
        <f t="shared" si="139"/>
        <v>510</v>
      </c>
      <c r="Y198" s="369">
        <f t="shared" si="139"/>
        <v>665</v>
      </c>
      <c r="Z198" s="657"/>
      <c r="AA198" s="657"/>
      <c r="AB198" s="657"/>
      <c r="AC198" s="657"/>
      <c r="AD198" s="827"/>
      <c r="AE198" s="52"/>
      <c r="AF198" s="52"/>
      <c r="AG198" s="52"/>
      <c r="AH198" s="52"/>
      <c r="AI198" s="52"/>
      <c r="AJ198" s="52"/>
      <c r="AK198" s="52"/>
      <c r="AL198" s="52"/>
      <c r="AM198" s="52"/>
      <c r="AN198" s="52"/>
      <c r="AO198" s="52"/>
    </row>
    <row r="199" spans="1:41">
      <c r="A199" s="465" t="s">
        <v>647</v>
      </c>
      <c r="B199" s="52">
        <f>'Reorganised Statements'!D21</f>
        <v>-683</v>
      </c>
      <c r="C199" s="52">
        <f>'Reorganised Statements'!E21</f>
        <v>-893</v>
      </c>
      <c r="D199" s="52">
        <f>'Reorganised Statements'!F21</f>
        <v>-673</v>
      </c>
      <c r="E199" s="52">
        <f>'Reorganised Statements'!G21</f>
        <v>-763</v>
      </c>
      <c r="F199" s="369">
        <f>'Reorganised Statements'!H21</f>
        <v>-999</v>
      </c>
      <c r="G199" s="657"/>
      <c r="H199" s="657"/>
      <c r="I199" s="657"/>
      <c r="J199" s="657"/>
      <c r="K199" s="827"/>
      <c r="L199" s="52"/>
      <c r="M199" s="52"/>
      <c r="N199" s="52"/>
      <c r="O199" s="52"/>
      <c r="P199" s="52"/>
      <c r="Q199" s="52"/>
      <c r="R199" s="52"/>
      <c r="S199" s="52"/>
      <c r="T199" s="465" t="s">
        <v>647</v>
      </c>
      <c r="U199" s="52">
        <f>B199</f>
        <v>-683</v>
      </c>
      <c r="V199" s="52">
        <f t="shared" si="139"/>
        <v>-893</v>
      </c>
      <c r="W199" s="52">
        <f t="shared" si="139"/>
        <v>-673</v>
      </c>
      <c r="X199" s="52">
        <f t="shared" si="139"/>
        <v>-763</v>
      </c>
      <c r="Y199" s="369">
        <f t="shared" si="139"/>
        <v>-999</v>
      </c>
      <c r="Z199" s="657"/>
      <c r="AA199" s="657"/>
      <c r="AB199" s="657"/>
      <c r="AC199" s="657"/>
      <c r="AD199" s="827"/>
      <c r="AE199" s="52"/>
      <c r="AF199" s="52"/>
      <c r="AG199" s="52"/>
      <c r="AH199" s="52"/>
      <c r="AI199" s="52"/>
      <c r="AJ199" s="52"/>
      <c r="AK199" s="52"/>
      <c r="AL199" s="52"/>
      <c r="AM199" s="52"/>
      <c r="AN199" s="52"/>
      <c r="AO199" s="52"/>
    </row>
    <row r="200" spans="1:41">
      <c r="A200" s="660" t="s">
        <v>648</v>
      </c>
      <c r="B200" s="479">
        <f>B196+B198+B199</f>
        <v>452</v>
      </c>
      <c r="C200" s="479">
        <f t="shared" ref="C200:F200" si="140">C196+C198+C199</f>
        <v>398</v>
      </c>
      <c r="D200" s="479">
        <f t="shared" si="140"/>
        <v>327</v>
      </c>
      <c r="E200" s="479">
        <f t="shared" si="140"/>
        <v>302</v>
      </c>
      <c r="F200" s="478">
        <f t="shared" si="140"/>
        <v>221</v>
      </c>
      <c r="G200" s="504">
        <f>G76</f>
        <v>245.89629364354272</v>
      </c>
      <c r="H200" s="504">
        <f>H76</f>
        <v>271.49676254596619</v>
      </c>
      <c r="I200" s="504">
        <f>I76</f>
        <v>297.81703718009788</v>
      </c>
      <c r="J200" s="504">
        <f>J76</f>
        <v>324.87306012274536</v>
      </c>
      <c r="K200" s="830">
        <f>K76</f>
        <v>352.28010481421336</v>
      </c>
      <c r="L200" s="52"/>
      <c r="M200" s="52"/>
      <c r="N200" s="52"/>
      <c r="O200" s="52"/>
      <c r="P200" s="52"/>
      <c r="Q200" s="52"/>
      <c r="R200" s="52"/>
      <c r="S200" s="52"/>
      <c r="T200" s="660" t="s">
        <v>648</v>
      </c>
      <c r="U200" s="479">
        <f>U196+U198+U199</f>
        <v>452</v>
      </c>
      <c r="V200" s="479">
        <f t="shared" ref="V200:Y200" si="141">V196+V198+V199</f>
        <v>398</v>
      </c>
      <c r="W200" s="479">
        <f t="shared" si="141"/>
        <v>327</v>
      </c>
      <c r="X200" s="479">
        <f t="shared" si="141"/>
        <v>302</v>
      </c>
      <c r="Y200" s="478">
        <f t="shared" si="141"/>
        <v>221</v>
      </c>
      <c r="Z200" s="504">
        <v>245.89629364354272</v>
      </c>
      <c r="AA200" s="504">
        <v>271.49676254596619</v>
      </c>
      <c r="AB200" s="504">
        <v>297.81703718009788</v>
      </c>
      <c r="AC200" s="504">
        <v>324.87306012274536</v>
      </c>
      <c r="AD200" s="830">
        <v>352.28010481421336</v>
      </c>
      <c r="AE200" s="52"/>
      <c r="AF200" s="52"/>
      <c r="AG200" s="52"/>
      <c r="AH200" s="52"/>
      <c r="AI200" s="52"/>
      <c r="AJ200" s="52"/>
      <c r="AK200" s="52"/>
      <c r="AL200" s="52"/>
      <c r="AM200" s="52"/>
      <c r="AN200" s="52"/>
      <c r="AO200" s="52"/>
    </row>
    <row r="201" spans="1:41">
      <c r="A201" s="465"/>
      <c r="B201" s="52"/>
      <c r="C201" s="52"/>
      <c r="D201" s="52"/>
      <c r="E201" s="52"/>
      <c r="F201" s="369"/>
      <c r="G201" s="657"/>
      <c r="H201" s="657"/>
      <c r="I201" s="657"/>
      <c r="J201" s="657"/>
      <c r="K201" s="827"/>
      <c r="L201" s="52"/>
      <c r="M201" s="52"/>
      <c r="N201" s="52"/>
      <c r="O201" s="52"/>
      <c r="P201" s="52"/>
      <c r="Q201" s="52"/>
      <c r="R201" s="52"/>
      <c r="S201" s="52"/>
      <c r="T201" s="465"/>
      <c r="U201" s="52"/>
      <c r="V201" s="52"/>
      <c r="W201" s="52"/>
      <c r="X201" s="52"/>
      <c r="Y201" s="369"/>
      <c r="Z201" s="657"/>
      <c r="AA201" s="657"/>
      <c r="AB201" s="657"/>
      <c r="AC201" s="657"/>
      <c r="AD201" s="827"/>
      <c r="AE201" s="52"/>
      <c r="AF201" s="52"/>
      <c r="AG201" s="52"/>
      <c r="AH201" s="52"/>
      <c r="AI201" s="52"/>
      <c r="AJ201" s="52"/>
      <c r="AK201" s="52"/>
      <c r="AL201" s="52"/>
      <c r="AM201" s="52"/>
      <c r="AN201" s="52"/>
      <c r="AO201" s="52"/>
    </row>
    <row r="202" spans="1:41">
      <c r="A202" s="465" t="s">
        <v>649</v>
      </c>
      <c r="B202" s="52">
        <f t="shared" ref="B202:K202" si="142">B84</f>
        <v>308</v>
      </c>
      <c r="C202" s="52">
        <f t="shared" si="142"/>
        <v>341</v>
      </c>
      <c r="D202" s="52">
        <f t="shared" si="142"/>
        <v>301</v>
      </c>
      <c r="E202" s="52">
        <f t="shared" si="142"/>
        <v>264</v>
      </c>
      <c r="F202" s="369">
        <f t="shared" si="142"/>
        <v>277</v>
      </c>
      <c r="G202" s="657">
        <f t="shared" si="142"/>
        <v>277</v>
      </c>
      <c r="H202" s="657">
        <f t="shared" si="142"/>
        <v>277</v>
      </c>
      <c r="I202" s="657">
        <f t="shared" si="142"/>
        <v>277</v>
      </c>
      <c r="J202" s="657">
        <f t="shared" si="142"/>
        <v>277</v>
      </c>
      <c r="K202" s="827">
        <f t="shared" si="142"/>
        <v>277</v>
      </c>
      <c r="L202" s="52"/>
      <c r="M202" s="52"/>
      <c r="N202" s="52"/>
      <c r="O202" s="52"/>
      <c r="P202" s="52"/>
      <c r="Q202" s="52"/>
      <c r="R202" s="52"/>
      <c r="S202" s="52"/>
      <c r="T202" s="465" t="s">
        <v>649</v>
      </c>
      <c r="U202" s="52">
        <f>B202</f>
        <v>308</v>
      </c>
      <c r="V202" s="52">
        <f t="shared" ref="V202:Y204" si="143">C202</f>
        <v>341</v>
      </c>
      <c r="W202" s="52">
        <f t="shared" si="143"/>
        <v>301</v>
      </c>
      <c r="X202" s="52">
        <f t="shared" si="143"/>
        <v>264</v>
      </c>
      <c r="Y202" s="369">
        <f t="shared" si="143"/>
        <v>277</v>
      </c>
      <c r="Z202" s="657">
        <v>277</v>
      </c>
      <c r="AA202" s="657">
        <v>277</v>
      </c>
      <c r="AB202" s="657">
        <v>277</v>
      </c>
      <c r="AC202" s="657">
        <v>277</v>
      </c>
      <c r="AD202" s="827">
        <v>277</v>
      </c>
      <c r="AE202" s="52"/>
      <c r="AF202" s="52"/>
      <c r="AG202" s="52"/>
      <c r="AH202" s="52"/>
      <c r="AI202" s="52"/>
      <c r="AJ202" s="52"/>
      <c r="AK202" s="52"/>
      <c r="AL202" s="52"/>
      <c r="AM202" s="52"/>
      <c r="AN202" s="52"/>
      <c r="AO202" s="52"/>
    </row>
    <row r="203" spans="1:41">
      <c r="A203" s="465" t="s">
        <v>650</v>
      </c>
      <c r="B203" s="52">
        <f t="shared" ref="B203:K203" si="144">B85</f>
        <v>-332</v>
      </c>
      <c r="C203" s="52">
        <f t="shared" si="144"/>
        <v>-365</v>
      </c>
      <c r="D203" s="52">
        <f t="shared" si="144"/>
        <v>-319</v>
      </c>
      <c r="E203" s="52">
        <f t="shared" si="144"/>
        <v>-314</v>
      </c>
      <c r="F203" s="369">
        <f t="shared" si="144"/>
        <v>-307</v>
      </c>
      <c r="G203" s="657">
        <f t="shared" si="144"/>
        <v>-307</v>
      </c>
      <c r="H203" s="657">
        <f t="shared" si="144"/>
        <v>-307</v>
      </c>
      <c r="I203" s="657">
        <f t="shared" si="144"/>
        <v>-307</v>
      </c>
      <c r="J203" s="657">
        <f t="shared" si="144"/>
        <v>-307</v>
      </c>
      <c r="K203" s="827">
        <f t="shared" si="144"/>
        <v>-307</v>
      </c>
      <c r="L203" s="52"/>
      <c r="M203" s="52"/>
      <c r="N203" s="52"/>
      <c r="O203" s="52"/>
      <c r="P203" s="52"/>
      <c r="Q203" s="52"/>
      <c r="R203" s="52"/>
      <c r="S203" s="52"/>
      <c r="T203" s="465" t="s">
        <v>650</v>
      </c>
      <c r="U203" s="52">
        <f t="shared" ref="U203:U204" si="145">B203</f>
        <v>-332</v>
      </c>
      <c r="V203" s="52">
        <f t="shared" si="143"/>
        <v>-365</v>
      </c>
      <c r="W203" s="52">
        <f t="shared" si="143"/>
        <v>-319</v>
      </c>
      <c r="X203" s="52">
        <f t="shared" si="143"/>
        <v>-314</v>
      </c>
      <c r="Y203" s="369">
        <f t="shared" si="143"/>
        <v>-307</v>
      </c>
      <c r="Z203" s="657">
        <v>-307</v>
      </c>
      <c r="AA203" s="657">
        <v>-307</v>
      </c>
      <c r="AB203" s="657">
        <v>-307</v>
      </c>
      <c r="AC203" s="657">
        <v>-307</v>
      </c>
      <c r="AD203" s="827">
        <v>-307</v>
      </c>
      <c r="AE203" s="52"/>
      <c r="AF203" s="52"/>
      <c r="AG203" s="52"/>
      <c r="AH203" s="52"/>
      <c r="AI203" s="52"/>
      <c r="AJ203" s="52"/>
      <c r="AK203" s="52"/>
      <c r="AL203" s="52"/>
      <c r="AM203" s="52"/>
      <c r="AN203" s="52"/>
      <c r="AO203" s="52"/>
    </row>
    <row r="204" spans="1:41">
      <c r="A204" s="659" t="s">
        <v>651</v>
      </c>
      <c r="B204" s="376">
        <f t="shared" ref="B204:K204" si="146">B86</f>
        <v>-576</v>
      </c>
      <c r="C204" s="101">
        <f t="shared" si="146"/>
        <v>-671</v>
      </c>
      <c r="D204" s="101">
        <f t="shared" si="146"/>
        <v>-625</v>
      </c>
      <c r="E204" s="101">
        <f t="shared" si="146"/>
        <v>-642</v>
      </c>
      <c r="F204" s="99">
        <f t="shared" si="146"/>
        <v>-676</v>
      </c>
      <c r="G204" s="469">
        <f t="shared" si="146"/>
        <v>-676</v>
      </c>
      <c r="H204" s="469">
        <f t="shared" si="146"/>
        <v>-676</v>
      </c>
      <c r="I204" s="469">
        <f t="shared" si="146"/>
        <v>-676</v>
      </c>
      <c r="J204" s="469">
        <f t="shared" si="146"/>
        <v>-676</v>
      </c>
      <c r="K204" s="829">
        <f t="shared" si="146"/>
        <v>-676</v>
      </c>
      <c r="L204" s="52"/>
      <c r="M204" s="52"/>
      <c r="N204" s="52"/>
      <c r="O204" s="52"/>
      <c r="P204" s="52"/>
      <c r="Q204" s="52"/>
      <c r="R204" s="52"/>
      <c r="S204" s="52"/>
      <c r="T204" s="659" t="s">
        <v>651</v>
      </c>
      <c r="U204" s="101">
        <f t="shared" si="145"/>
        <v>-576</v>
      </c>
      <c r="V204" s="101">
        <f t="shared" si="143"/>
        <v>-671</v>
      </c>
      <c r="W204" s="101">
        <f t="shared" si="143"/>
        <v>-625</v>
      </c>
      <c r="X204" s="101">
        <f t="shared" si="143"/>
        <v>-642</v>
      </c>
      <c r="Y204" s="99">
        <f t="shared" si="143"/>
        <v>-676</v>
      </c>
      <c r="Z204" s="469">
        <v>-676</v>
      </c>
      <c r="AA204" s="469">
        <v>-676</v>
      </c>
      <c r="AB204" s="469">
        <v>-676</v>
      </c>
      <c r="AC204" s="469">
        <v>-676</v>
      </c>
      <c r="AD204" s="829">
        <v>-676</v>
      </c>
      <c r="AE204" s="52"/>
      <c r="AF204" s="52"/>
      <c r="AG204" s="52"/>
      <c r="AH204" s="52"/>
      <c r="AI204" s="52"/>
      <c r="AJ204" s="52"/>
      <c r="AK204" s="52"/>
      <c r="AL204" s="52"/>
      <c r="AM204" s="52"/>
      <c r="AN204" s="52"/>
      <c r="AO204" s="52"/>
    </row>
    <row r="205" spans="1:41">
      <c r="A205" s="655" t="s">
        <v>652</v>
      </c>
      <c r="B205" s="100">
        <f>B191+B200+B202+B203+B204</f>
        <v>6404</v>
      </c>
      <c r="C205" s="100">
        <f t="shared" ref="C205:F205" si="147">C191+C200+C202+C203+C204</f>
        <v>6672</v>
      </c>
      <c r="D205" s="100">
        <f t="shared" si="147"/>
        <v>6260</v>
      </c>
      <c r="E205" s="100">
        <f t="shared" si="147"/>
        <v>6577</v>
      </c>
      <c r="F205" s="445">
        <f t="shared" si="147"/>
        <v>6828</v>
      </c>
      <c r="G205" s="656">
        <f>G191+G200+G202+G203+G204</f>
        <v>7114.1202608467602</v>
      </c>
      <c r="H205" s="656">
        <f t="shared" ref="H205:K205" si="148">H191+H200+H202+H203+H204</f>
        <v>7396.0928227753648</v>
      </c>
      <c r="I205" s="656">
        <f t="shared" si="148"/>
        <v>7674.4175522603218</v>
      </c>
      <c r="J205" s="656">
        <f t="shared" si="148"/>
        <v>7949.562759239956</v>
      </c>
      <c r="K205" s="826">
        <f t="shared" si="148"/>
        <v>8221.2254607803879</v>
      </c>
      <c r="L205" s="100"/>
      <c r="M205" s="52"/>
      <c r="N205" s="52"/>
      <c r="O205" s="52"/>
      <c r="P205" s="52"/>
      <c r="Q205" s="52"/>
      <c r="R205" s="52"/>
      <c r="S205" s="52"/>
      <c r="T205" s="655" t="s">
        <v>652</v>
      </c>
      <c r="U205" s="100">
        <f>U191+U200+U202+U203+U204</f>
        <v>6404</v>
      </c>
      <c r="V205" s="100">
        <f t="shared" ref="V205:Y205" si="149">V191+V200+V202+V203+V204</f>
        <v>6672</v>
      </c>
      <c r="W205" s="100">
        <f t="shared" si="149"/>
        <v>6260</v>
      </c>
      <c r="X205" s="100">
        <f t="shared" si="149"/>
        <v>6577</v>
      </c>
      <c r="Y205" s="445">
        <f t="shared" si="149"/>
        <v>6828</v>
      </c>
      <c r="Z205" s="656">
        <v>7175.5642065389402</v>
      </c>
      <c r="AA205" s="656">
        <v>7499.0552773953004</v>
      </c>
      <c r="AB205" s="656">
        <v>7799.8411348838981</v>
      </c>
      <c r="AC205" s="656">
        <v>8079.3697673519891</v>
      </c>
      <c r="AD205" s="826">
        <v>8338.0852450659004</v>
      </c>
      <c r="AE205" s="52"/>
      <c r="AF205" s="52"/>
      <c r="AG205" s="52"/>
      <c r="AH205" s="52"/>
      <c r="AI205" s="52"/>
      <c r="AJ205" s="52"/>
      <c r="AK205" s="52"/>
      <c r="AL205" s="52"/>
      <c r="AM205" s="52"/>
      <c r="AN205" s="52"/>
      <c r="AO205" s="52"/>
    </row>
    <row r="206" spans="1:41">
      <c r="A206" s="465"/>
      <c r="B206" s="52"/>
      <c r="C206" s="52"/>
      <c r="D206" s="52"/>
      <c r="E206" s="52"/>
      <c r="F206" s="369"/>
      <c r="G206" s="657"/>
      <c r="H206" s="657"/>
      <c r="I206" s="657"/>
      <c r="J206" s="657"/>
      <c r="K206" s="827"/>
      <c r="L206" s="52"/>
      <c r="M206" s="370"/>
      <c r="N206" s="370"/>
      <c r="O206" s="370"/>
      <c r="P206" s="370"/>
      <c r="Q206" s="370"/>
      <c r="R206" s="370"/>
      <c r="S206" s="370"/>
      <c r="T206" s="465"/>
      <c r="U206" s="52"/>
      <c r="V206" s="52"/>
      <c r="W206" s="52"/>
      <c r="X206" s="52"/>
      <c r="Y206" s="369"/>
      <c r="Z206" s="657"/>
      <c r="AA206" s="657"/>
      <c r="AB206" s="657"/>
      <c r="AC206" s="657"/>
      <c r="AD206" s="827"/>
      <c r="AE206" s="52"/>
      <c r="AF206" s="52"/>
      <c r="AG206" s="52"/>
      <c r="AH206" s="52"/>
      <c r="AI206" s="52"/>
      <c r="AJ206" s="52"/>
      <c r="AK206" s="52"/>
      <c r="AL206" s="52"/>
      <c r="AM206" s="52"/>
      <c r="AN206" s="52"/>
      <c r="AO206" s="52"/>
    </row>
    <row r="207" spans="1:41">
      <c r="A207" s="658" t="s">
        <v>338</v>
      </c>
      <c r="B207" s="377">
        <f>'Reorganised Statements'!D35</f>
        <v>-3259</v>
      </c>
      <c r="C207" s="377">
        <f>'Reorganised Statements'!E35</f>
        <v>-3279</v>
      </c>
      <c r="D207" s="377">
        <f>'Reorganised Statements'!F35</f>
        <v>-3013</v>
      </c>
      <c r="E207" s="377">
        <f>'Reorganised Statements'!G35</f>
        <v>-3523</v>
      </c>
      <c r="F207" s="444">
        <f>'Reorganised Statements'!H35</f>
        <v>-3651</v>
      </c>
      <c r="G207" s="502">
        <f>-G147</f>
        <v>-3786.9434454205243</v>
      </c>
      <c r="H207" s="502">
        <f>-H147</f>
        <v>-3941.1384882434118</v>
      </c>
      <c r="I207" s="502">
        <f>-I147</f>
        <v>-4128.7701167236673</v>
      </c>
      <c r="J207" s="502">
        <f>-J147</f>
        <v>-4358.511267488414</v>
      </c>
      <c r="K207" s="828">
        <f>-K147</f>
        <v>-4627.383372678979</v>
      </c>
      <c r="L207" s="100"/>
      <c r="M207" s="370"/>
      <c r="N207" s="370"/>
      <c r="O207" s="370"/>
      <c r="P207" s="370"/>
      <c r="Q207" s="370"/>
      <c r="R207" s="370"/>
      <c r="S207" s="370"/>
      <c r="T207" s="658" t="s">
        <v>338</v>
      </c>
      <c r="U207" s="377">
        <f>B207</f>
        <v>-3259</v>
      </c>
      <c r="V207" s="377">
        <f t="shared" ref="V207:Y207" si="150">C207</f>
        <v>-3279</v>
      </c>
      <c r="W207" s="377">
        <f t="shared" si="150"/>
        <v>-3013</v>
      </c>
      <c r="X207" s="377">
        <f t="shared" si="150"/>
        <v>-3523</v>
      </c>
      <c r="Y207" s="444">
        <f t="shared" si="150"/>
        <v>-3651</v>
      </c>
      <c r="Z207" s="502">
        <v>-3786.9434454205243</v>
      </c>
      <c r="AA207" s="502">
        <v>-3941.1384882434118</v>
      </c>
      <c r="AB207" s="502">
        <v>-4128.7701167236673</v>
      </c>
      <c r="AC207" s="502">
        <v>-4358.511267488414</v>
      </c>
      <c r="AD207" s="828">
        <v>-4627.383372678979</v>
      </c>
      <c r="AE207" s="52"/>
      <c r="AF207" s="52"/>
      <c r="AG207" s="52"/>
      <c r="AH207" s="52"/>
      <c r="AI207" s="52"/>
      <c r="AJ207" s="52"/>
      <c r="AK207" s="52"/>
      <c r="AL207" s="52"/>
      <c r="AM207" s="52"/>
      <c r="AN207" s="52"/>
      <c r="AO207" s="52"/>
    </row>
    <row r="208" spans="1:41">
      <c r="A208" s="465"/>
      <c r="B208" s="52"/>
      <c r="C208" s="52"/>
      <c r="D208" s="52"/>
      <c r="E208" s="52"/>
      <c r="F208" s="369"/>
      <c r="G208" s="657"/>
      <c r="H208" s="657"/>
      <c r="I208" s="657"/>
      <c r="J208" s="657"/>
      <c r="K208" s="827"/>
      <c r="L208" s="52"/>
      <c r="M208" s="612"/>
      <c r="N208" s="612"/>
      <c r="O208" s="612"/>
      <c r="P208" s="612"/>
      <c r="Q208" s="612"/>
      <c r="R208" s="612"/>
      <c r="S208" s="612"/>
      <c r="T208" s="465"/>
      <c r="U208" s="52"/>
      <c r="V208" s="52"/>
      <c r="W208" s="52"/>
      <c r="X208" s="52"/>
      <c r="Y208" s="369"/>
      <c r="Z208" s="657"/>
      <c r="AA208" s="657"/>
      <c r="AB208" s="657"/>
      <c r="AC208" s="657"/>
      <c r="AD208" s="827"/>
      <c r="AE208" s="52"/>
      <c r="AF208" s="52"/>
      <c r="AG208" s="52"/>
      <c r="AH208" s="52"/>
      <c r="AI208" s="52"/>
      <c r="AJ208" s="52"/>
      <c r="AK208" s="52"/>
      <c r="AL208" s="52"/>
      <c r="AM208" s="52"/>
      <c r="AN208" s="52"/>
      <c r="AO208" s="52"/>
    </row>
    <row r="209" spans="1:41">
      <c r="A209" s="465" t="s">
        <v>653</v>
      </c>
      <c r="B209" s="657">
        <f t="shared" ref="B209:K209" si="151">B99</f>
        <v>-3781</v>
      </c>
      <c r="C209" s="657">
        <f t="shared" si="151"/>
        <v>-3795</v>
      </c>
      <c r="D209" s="657">
        <f t="shared" si="151"/>
        <v>-3938</v>
      </c>
      <c r="E209" s="657">
        <f t="shared" si="151"/>
        <v>-3678</v>
      </c>
      <c r="F209" s="482">
        <f t="shared" si="151"/>
        <v>-3611</v>
      </c>
      <c r="G209" s="657">
        <f t="shared" si="151"/>
        <v>-3851.4393811435498</v>
      </c>
      <c r="H209" s="657">
        <f t="shared" si="151"/>
        <v>-3978.5442191171983</v>
      </c>
      <c r="I209" s="657">
        <f t="shared" si="151"/>
        <v>-4109.8437589250243</v>
      </c>
      <c r="J209" s="657">
        <f t="shared" si="151"/>
        <v>-4245.4764337199913</v>
      </c>
      <c r="K209" s="827">
        <f t="shared" si="151"/>
        <v>-4388.8739353367855</v>
      </c>
      <c r="L209" s="52"/>
      <c r="M209" s="612"/>
      <c r="N209" s="612"/>
      <c r="O209" s="612"/>
      <c r="P209" s="612"/>
      <c r="Q209" s="612"/>
      <c r="R209" s="612"/>
      <c r="S209" s="612"/>
      <c r="T209" s="465" t="s">
        <v>653</v>
      </c>
      <c r="U209" s="657">
        <f>B209</f>
        <v>-3781</v>
      </c>
      <c r="V209" s="657">
        <f t="shared" ref="V209:Y210" si="152">C209</f>
        <v>-3795</v>
      </c>
      <c r="W209" s="657">
        <f t="shared" si="152"/>
        <v>-3938</v>
      </c>
      <c r="X209" s="657">
        <f t="shared" si="152"/>
        <v>-3678</v>
      </c>
      <c r="Y209" s="482">
        <f t="shared" si="152"/>
        <v>-3611</v>
      </c>
      <c r="Z209" s="657">
        <v>-3851.4393811435498</v>
      </c>
      <c r="AA209" s="657">
        <v>-3978.5442191171983</v>
      </c>
      <c r="AB209" s="657">
        <v>-4109.8437589250243</v>
      </c>
      <c r="AC209" s="657">
        <v>-4245.4764337199913</v>
      </c>
      <c r="AD209" s="827">
        <v>-4388.8739353367855</v>
      </c>
      <c r="AE209" s="52"/>
      <c r="AF209" s="52"/>
      <c r="AG209" s="52"/>
      <c r="AH209" s="52"/>
      <c r="AI209" s="52"/>
      <c r="AJ209" s="52"/>
      <c r="AK209" s="52"/>
      <c r="AL209" s="52"/>
      <c r="AM209" s="52"/>
      <c r="AN209" s="52"/>
      <c r="AO209" s="52"/>
    </row>
    <row r="210" spans="1:41">
      <c r="A210" s="659" t="s">
        <v>654</v>
      </c>
      <c r="B210" s="101">
        <f>'Reorganised Statements'!D41</f>
        <v>636</v>
      </c>
      <c r="C210" s="101">
        <f>'Reorganised Statements'!E41</f>
        <v>402</v>
      </c>
      <c r="D210" s="101">
        <f>'Reorganised Statements'!F41</f>
        <v>691</v>
      </c>
      <c r="E210" s="101">
        <f>'Reorganised Statements'!G41</f>
        <v>624</v>
      </c>
      <c r="F210" s="99">
        <f>'Reorganised Statements'!H41</f>
        <v>434</v>
      </c>
      <c r="G210" s="469">
        <f>G252</f>
        <v>524.26256571731392</v>
      </c>
      <c r="H210" s="469">
        <f t="shared" ref="H210:K210" si="153">H252</f>
        <v>523.58988458524345</v>
      </c>
      <c r="I210" s="469">
        <f t="shared" si="153"/>
        <v>564.19632338836846</v>
      </c>
      <c r="J210" s="469">
        <f t="shared" si="153"/>
        <v>654.4249419684478</v>
      </c>
      <c r="K210" s="829">
        <f t="shared" si="153"/>
        <v>795.03184723537606</v>
      </c>
      <c r="L210" s="52"/>
      <c r="M210" s="52"/>
      <c r="N210" s="52"/>
      <c r="O210" s="52"/>
      <c r="P210" s="52"/>
      <c r="Q210" s="52"/>
      <c r="R210" s="52"/>
      <c r="S210" s="52"/>
      <c r="T210" s="659" t="s">
        <v>654</v>
      </c>
      <c r="U210" s="101">
        <f>B210</f>
        <v>636</v>
      </c>
      <c r="V210" s="101">
        <f t="shared" si="152"/>
        <v>402</v>
      </c>
      <c r="W210" s="101">
        <f t="shared" si="152"/>
        <v>691</v>
      </c>
      <c r="X210" s="101">
        <f t="shared" si="152"/>
        <v>624</v>
      </c>
      <c r="Y210" s="99">
        <f t="shared" si="152"/>
        <v>434</v>
      </c>
      <c r="Z210" s="469">
        <v>463.22581692270336</v>
      </c>
      <c r="AA210" s="469">
        <v>421.36265672502634</v>
      </c>
      <c r="AB210" s="469">
        <v>439.63200911969892</v>
      </c>
      <c r="AC210" s="469">
        <v>525.34169999140954</v>
      </c>
      <c r="AD210" s="829">
        <v>678.56445154004837</v>
      </c>
      <c r="AE210" s="52"/>
      <c r="AF210" s="52"/>
      <c r="AG210" s="52"/>
      <c r="AH210" s="52"/>
      <c r="AI210" s="52"/>
      <c r="AJ210" s="52"/>
      <c r="AK210" s="52"/>
      <c r="AL210" s="52"/>
      <c r="AM210" s="52"/>
      <c r="AN210" s="52"/>
      <c r="AO210" s="52"/>
    </row>
    <row r="211" spans="1:41">
      <c r="A211" s="655" t="s">
        <v>655</v>
      </c>
      <c r="B211" s="100">
        <f t="shared" ref="B211:G211" si="154">B209+B210</f>
        <v>-3145</v>
      </c>
      <c r="C211" s="100">
        <f t="shared" si="154"/>
        <v>-3393</v>
      </c>
      <c r="D211" s="100">
        <f t="shared" si="154"/>
        <v>-3247</v>
      </c>
      <c r="E211" s="100">
        <f t="shared" si="154"/>
        <v>-3054</v>
      </c>
      <c r="F211" s="445">
        <f t="shared" si="154"/>
        <v>-3177</v>
      </c>
      <c r="G211" s="656">
        <f t="shared" si="154"/>
        <v>-3327.1768154262359</v>
      </c>
      <c r="H211" s="656">
        <f t="shared" ref="H211:K211" si="155">H209+H210</f>
        <v>-3454.9543345319548</v>
      </c>
      <c r="I211" s="656">
        <f t="shared" si="155"/>
        <v>-3545.6474355366558</v>
      </c>
      <c r="J211" s="656">
        <f t="shared" si="155"/>
        <v>-3591.0514917515434</v>
      </c>
      <c r="K211" s="826">
        <f t="shared" si="155"/>
        <v>-3593.8420881014094</v>
      </c>
      <c r="L211" s="100"/>
      <c r="M211" s="52"/>
      <c r="N211" s="52"/>
      <c r="O211" s="612"/>
      <c r="P211" s="52"/>
      <c r="Q211" s="52"/>
      <c r="R211" s="52"/>
      <c r="S211" s="52"/>
      <c r="T211" s="655" t="s">
        <v>655</v>
      </c>
      <c r="U211" s="100">
        <f t="shared" ref="U211:Y211" si="156">U209+U210</f>
        <v>-3145</v>
      </c>
      <c r="V211" s="100">
        <f t="shared" si="156"/>
        <v>-3393</v>
      </c>
      <c r="W211" s="100">
        <f t="shared" si="156"/>
        <v>-3247</v>
      </c>
      <c r="X211" s="100">
        <f t="shared" si="156"/>
        <v>-3054</v>
      </c>
      <c r="Y211" s="445">
        <f t="shared" si="156"/>
        <v>-3177</v>
      </c>
      <c r="Z211" s="656">
        <v>-3388.2135642208464</v>
      </c>
      <c r="AA211" s="656">
        <v>-3557.1815623921721</v>
      </c>
      <c r="AB211" s="656">
        <v>-3670.2117498053253</v>
      </c>
      <c r="AC211" s="656">
        <v>-3720.1347337285815</v>
      </c>
      <c r="AD211" s="826">
        <v>-3710.3094837967374</v>
      </c>
      <c r="AE211" s="52"/>
      <c r="AF211" s="52"/>
      <c r="AG211" s="52"/>
      <c r="AH211" s="52"/>
      <c r="AI211" s="52"/>
      <c r="AJ211" s="52"/>
      <c r="AK211" s="52"/>
      <c r="AL211" s="52"/>
      <c r="AM211" s="52"/>
      <c r="AN211" s="52"/>
      <c r="AO211" s="52"/>
    </row>
    <row r="212" spans="1:41">
      <c r="A212" s="465"/>
      <c r="B212" s="52"/>
      <c r="C212" s="52"/>
      <c r="D212" s="52"/>
      <c r="E212" s="52"/>
      <c r="F212" s="369"/>
      <c r="G212" s="657"/>
      <c r="H212" s="657"/>
      <c r="I212" s="657"/>
      <c r="J212" s="657"/>
      <c r="K212" s="827"/>
      <c r="L212" s="52"/>
      <c r="M212" s="52"/>
      <c r="N212" s="52"/>
      <c r="O212" s="52"/>
      <c r="P212" s="52"/>
      <c r="Q212" s="52"/>
      <c r="R212" s="52"/>
      <c r="S212" s="52"/>
      <c r="T212" s="465"/>
      <c r="U212" s="52"/>
      <c r="V212" s="52"/>
      <c r="W212" s="52"/>
      <c r="X212" s="52"/>
      <c r="Y212" s="369"/>
      <c r="Z212" s="657"/>
      <c r="AA212" s="657"/>
      <c r="AB212" s="657"/>
      <c r="AC212" s="657"/>
      <c r="AD212" s="827"/>
      <c r="AE212" s="52"/>
      <c r="AF212" s="52"/>
      <c r="AG212" s="52"/>
      <c r="AH212" s="52"/>
      <c r="AI212" s="52"/>
      <c r="AJ212" s="52"/>
      <c r="AK212" s="52"/>
      <c r="AL212" s="52"/>
      <c r="AM212" s="52"/>
      <c r="AN212" s="52"/>
      <c r="AO212" s="52"/>
    </row>
    <row r="213" spans="1:41" ht="15" thickBot="1">
      <c r="A213" s="670" t="s">
        <v>656</v>
      </c>
      <c r="B213" s="671">
        <f>B207+B211</f>
        <v>-6404</v>
      </c>
      <c r="C213" s="671">
        <f t="shared" ref="C213:F213" si="157">C207+C211</f>
        <v>-6672</v>
      </c>
      <c r="D213" s="671">
        <f t="shared" si="157"/>
        <v>-6260</v>
      </c>
      <c r="E213" s="671">
        <f t="shared" si="157"/>
        <v>-6577</v>
      </c>
      <c r="F213" s="672">
        <f t="shared" si="157"/>
        <v>-6828</v>
      </c>
      <c r="G213" s="813">
        <f>G207+G211</f>
        <v>-7114.1202608467602</v>
      </c>
      <c r="H213" s="813">
        <f t="shared" ref="H213:K213" si="158">H207+H211</f>
        <v>-7396.0928227753666</v>
      </c>
      <c r="I213" s="813">
        <f t="shared" si="158"/>
        <v>-7674.4175522603236</v>
      </c>
      <c r="J213" s="813">
        <f t="shared" si="158"/>
        <v>-7949.5627592399578</v>
      </c>
      <c r="K213" s="831">
        <f t="shared" si="158"/>
        <v>-8221.2254607803879</v>
      </c>
      <c r="L213" s="52"/>
      <c r="M213" s="52"/>
      <c r="N213" s="52"/>
      <c r="O213" s="52"/>
      <c r="P213" s="52"/>
      <c r="Q213" s="52"/>
      <c r="R213" s="52"/>
      <c r="S213" s="52"/>
      <c r="T213" s="670" t="s">
        <v>656</v>
      </c>
      <c r="U213" s="671">
        <f>U207+U211</f>
        <v>-6404</v>
      </c>
      <c r="V213" s="671">
        <f t="shared" ref="V213:Y213" si="159">V207+V211</f>
        <v>-6672</v>
      </c>
      <c r="W213" s="671">
        <f t="shared" si="159"/>
        <v>-6260</v>
      </c>
      <c r="X213" s="671">
        <f t="shared" si="159"/>
        <v>-6577</v>
      </c>
      <c r="Y213" s="672">
        <f t="shared" si="159"/>
        <v>-6828</v>
      </c>
      <c r="Z213" s="813">
        <v>-7175.1570096413707</v>
      </c>
      <c r="AA213" s="813">
        <v>-7498.3200506355843</v>
      </c>
      <c r="AB213" s="813">
        <v>-7798.9818665289931</v>
      </c>
      <c r="AC213" s="813">
        <v>-8078.6460012169955</v>
      </c>
      <c r="AD213" s="831">
        <v>-8337.6928564757163</v>
      </c>
      <c r="AE213" s="52"/>
      <c r="AF213" s="52"/>
      <c r="AG213" s="52"/>
      <c r="AH213" s="52"/>
      <c r="AI213" s="52"/>
      <c r="AJ213" s="52"/>
      <c r="AK213" s="52"/>
      <c r="AL213" s="52"/>
      <c r="AM213" s="52"/>
      <c r="AN213" s="52"/>
      <c r="AO213" s="52"/>
    </row>
    <row r="214" spans="1:4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808"/>
      <c r="AB214" s="808"/>
      <c r="AC214" s="809"/>
      <c r="AD214" s="809"/>
      <c r="AE214" s="52"/>
      <c r="AF214" s="52"/>
      <c r="AG214" s="52"/>
      <c r="AH214" s="52"/>
      <c r="AI214" s="52"/>
      <c r="AJ214" s="52"/>
      <c r="AK214" s="52"/>
      <c r="AL214" s="52"/>
      <c r="AM214" s="52"/>
      <c r="AN214" s="52"/>
      <c r="AO214" s="52"/>
    </row>
    <row r="215" spans="1:41" ht="15" thickBot="1">
      <c r="A215" s="52"/>
      <c r="B215" s="52"/>
      <c r="C215" s="611"/>
      <c r="D215" s="611"/>
      <c r="E215" s="611"/>
      <c r="F215" s="611"/>
      <c r="G215" s="611"/>
      <c r="H215" s="611"/>
      <c r="I215" s="611"/>
      <c r="J215" s="611"/>
      <c r="K215" s="611"/>
      <c r="L215" s="52"/>
      <c r="M215" s="52"/>
      <c r="N215" s="52"/>
      <c r="O215" s="52"/>
      <c r="P215" s="52"/>
      <c r="Q215" s="52"/>
      <c r="R215" s="52"/>
      <c r="S215" s="52"/>
      <c r="T215" s="52"/>
      <c r="U215" s="52"/>
      <c r="V215" s="52"/>
      <c r="W215" s="52"/>
      <c r="X215" s="52"/>
      <c r="Y215" s="52"/>
      <c r="Z215" s="52"/>
      <c r="AA215" s="810"/>
      <c r="AB215" s="810"/>
      <c r="AC215" s="809"/>
      <c r="AD215" s="809"/>
      <c r="AE215" s="52"/>
      <c r="AF215" s="52"/>
      <c r="AG215" s="52"/>
      <c r="AH215" s="52"/>
      <c r="AI215" s="52"/>
      <c r="AJ215" s="52"/>
      <c r="AK215" s="52"/>
      <c r="AL215" s="52"/>
      <c r="AM215" s="52"/>
      <c r="AN215" s="52"/>
      <c r="AO215" s="52"/>
    </row>
    <row r="216" spans="1:41">
      <c r="A216" s="673" t="s">
        <v>657</v>
      </c>
      <c r="B216" s="662"/>
      <c r="C216" s="817"/>
      <c r="D216" s="817"/>
      <c r="E216" s="817"/>
      <c r="F216" s="819"/>
      <c r="G216" s="817" t="s">
        <v>714</v>
      </c>
      <c r="H216" s="817"/>
      <c r="I216" s="817"/>
      <c r="J216" s="817"/>
      <c r="K216" s="818"/>
      <c r="L216" s="370"/>
      <c r="M216" s="370"/>
      <c r="N216" s="370"/>
      <c r="O216" s="370"/>
      <c r="P216" s="370"/>
      <c r="Q216" s="370"/>
      <c r="R216" s="370"/>
      <c r="S216" s="370"/>
      <c r="T216" s="673" t="s">
        <v>657</v>
      </c>
      <c r="U216" s="662"/>
      <c r="V216" s="817"/>
      <c r="W216" s="817"/>
      <c r="X216" s="817"/>
      <c r="Y216" s="819"/>
      <c r="Z216" s="817" t="s">
        <v>714</v>
      </c>
      <c r="AA216" s="817"/>
      <c r="AB216" s="817"/>
      <c r="AC216" s="817"/>
      <c r="AD216" s="818"/>
      <c r="AE216" s="52"/>
      <c r="AF216" s="52"/>
      <c r="AG216" s="52"/>
      <c r="AH216" s="52"/>
      <c r="AI216" s="52"/>
      <c r="AJ216" s="52"/>
      <c r="AK216" s="52"/>
      <c r="AL216" s="52"/>
      <c r="AM216" s="52"/>
      <c r="AN216" s="52"/>
      <c r="AO216" s="52"/>
    </row>
    <row r="217" spans="1:41" ht="15" thickBot="1">
      <c r="A217" s="669"/>
      <c r="B217" s="665">
        <v>2015</v>
      </c>
      <c r="C217" s="820">
        <v>2016</v>
      </c>
      <c r="D217" s="820">
        <v>2017</v>
      </c>
      <c r="E217" s="820">
        <v>2018</v>
      </c>
      <c r="F217" s="821">
        <v>2019</v>
      </c>
      <c r="G217" s="820">
        <v>2020</v>
      </c>
      <c r="H217" s="820">
        <v>2021</v>
      </c>
      <c r="I217" s="820">
        <v>2022</v>
      </c>
      <c r="J217" s="820">
        <v>2023</v>
      </c>
      <c r="K217" s="832">
        <v>2024</v>
      </c>
      <c r="L217" s="52"/>
      <c r="M217" s="52"/>
      <c r="N217" s="52"/>
      <c r="O217" s="52"/>
      <c r="P217" s="52"/>
      <c r="Q217" s="52"/>
      <c r="R217" s="52"/>
      <c r="S217" s="52"/>
      <c r="T217" s="669"/>
      <c r="U217" s="665">
        <v>2015</v>
      </c>
      <c r="V217" s="820">
        <v>2016</v>
      </c>
      <c r="W217" s="820">
        <v>2017</v>
      </c>
      <c r="X217" s="820">
        <v>2018</v>
      </c>
      <c r="Y217" s="821">
        <v>2019</v>
      </c>
      <c r="Z217" s="820">
        <v>2020</v>
      </c>
      <c r="AA217" s="820">
        <v>2021</v>
      </c>
      <c r="AB217" s="820">
        <v>2022</v>
      </c>
      <c r="AC217" s="820">
        <v>2023</v>
      </c>
      <c r="AD217" s="832">
        <v>2024</v>
      </c>
      <c r="AE217" s="52"/>
      <c r="AF217" s="52"/>
      <c r="AG217" s="52"/>
      <c r="AH217" s="52"/>
      <c r="AI217" s="52"/>
      <c r="AJ217" s="52"/>
      <c r="AK217" s="52"/>
      <c r="AL217" s="52"/>
      <c r="AM217" s="52"/>
      <c r="AN217" s="52"/>
      <c r="AO217" s="52"/>
    </row>
    <row r="218" spans="1:41">
      <c r="A218" s="465"/>
      <c r="B218" s="52"/>
      <c r="C218" s="52"/>
      <c r="D218" s="52"/>
      <c r="E218" s="52"/>
      <c r="F218" s="443"/>
      <c r="G218" s="52"/>
      <c r="H218" s="52"/>
      <c r="I218" s="52"/>
      <c r="J218" s="52"/>
      <c r="K218" s="280"/>
      <c r="L218" s="52"/>
      <c r="M218" s="52"/>
      <c r="N218" s="52"/>
      <c r="O218" s="52"/>
      <c r="P218" s="52"/>
      <c r="Q218" s="52"/>
      <c r="R218" s="52"/>
      <c r="S218" s="52"/>
      <c r="T218" s="465"/>
      <c r="U218" s="842"/>
      <c r="V218" s="282"/>
      <c r="W218" s="282"/>
      <c r="X218" s="282"/>
      <c r="Y218" s="443"/>
      <c r="Z218" s="52"/>
      <c r="AA218" s="52"/>
      <c r="AB218" s="52"/>
      <c r="AC218" s="52"/>
      <c r="AD218" s="280"/>
      <c r="AE218" s="52"/>
      <c r="AF218" s="52"/>
      <c r="AG218" s="52"/>
      <c r="AH218" s="52"/>
      <c r="AI218" s="52"/>
      <c r="AJ218" s="52"/>
      <c r="AK218" s="52"/>
      <c r="AL218" s="52"/>
      <c r="AM218" s="52"/>
      <c r="AN218" s="52"/>
      <c r="AO218" s="52"/>
    </row>
    <row r="219" spans="1:41">
      <c r="A219" s="465" t="s">
        <v>303</v>
      </c>
      <c r="B219" s="52"/>
      <c r="C219" s="657">
        <f t="shared" ref="C219:K219" si="160">C172</f>
        <v>443</v>
      </c>
      <c r="D219" s="657">
        <f t="shared" si="160"/>
        <v>710</v>
      </c>
      <c r="E219" s="657">
        <f t="shared" si="160"/>
        <v>588</v>
      </c>
      <c r="F219" s="482">
        <f t="shared" si="160"/>
        <v>687</v>
      </c>
      <c r="G219" s="657">
        <f t="shared" si="160"/>
        <v>646.49225759199862</v>
      </c>
      <c r="H219" s="657">
        <f t="shared" si="160"/>
        <v>702.43756038992751</v>
      </c>
      <c r="I219" s="657">
        <f t="shared" si="160"/>
        <v>762.86299647697422</v>
      </c>
      <c r="J219" s="657">
        <f t="shared" si="160"/>
        <v>827.97165433180885</v>
      </c>
      <c r="K219" s="827">
        <f t="shared" si="160"/>
        <v>897.9826634711784</v>
      </c>
      <c r="L219" s="52"/>
      <c r="M219" s="52"/>
      <c r="N219" s="52"/>
      <c r="O219" s="52"/>
      <c r="P219" s="52"/>
      <c r="Q219" s="52"/>
      <c r="R219" s="52"/>
      <c r="S219" s="52"/>
      <c r="T219" s="465" t="s">
        <v>303</v>
      </c>
      <c r="U219" s="467"/>
      <c r="V219" s="657">
        <f>C219</f>
        <v>443</v>
      </c>
      <c r="W219" s="657">
        <f t="shared" ref="W219:Y219" si="161">D219</f>
        <v>710</v>
      </c>
      <c r="X219" s="657">
        <f t="shared" si="161"/>
        <v>588</v>
      </c>
      <c r="Y219" s="482">
        <f t="shared" si="161"/>
        <v>687</v>
      </c>
      <c r="Z219" s="657">
        <v>707.93620328417876</v>
      </c>
      <c r="AA219" s="657">
        <v>743.95606931768202</v>
      </c>
      <c r="AB219" s="657">
        <v>785.324124480617</v>
      </c>
      <c r="AC219" s="657">
        <v>832.35507982026468</v>
      </c>
      <c r="AD219" s="827">
        <v>885.03543964465916</v>
      </c>
      <c r="AE219" s="52"/>
      <c r="AF219" s="52"/>
      <c r="AG219" s="52"/>
      <c r="AH219" s="52"/>
      <c r="AI219" s="52"/>
      <c r="AJ219" s="52"/>
      <c r="AK219" s="52"/>
      <c r="AL219" s="52"/>
      <c r="AM219" s="52"/>
      <c r="AN219" s="52"/>
      <c r="AO219" s="52"/>
    </row>
    <row r="220" spans="1:41">
      <c r="A220" s="833" t="s">
        <v>252</v>
      </c>
      <c r="B220" s="52"/>
      <c r="C220" s="657">
        <f t="shared" ref="C220:K220" si="162">C178</f>
        <v>-122</v>
      </c>
      <c r="D220" s="657">
        <f t="shared" si="162"/>
        <v>-192</v>
      </c>
      <c r="E220" s="657">
        <f t="shared" si="162"/>
        <v>-157</v>
      </c>
      <c r="F220" s="482">
        <f t="shared" si="162"/>
        <v>-189</v>
      </c>
      <c r="G220" s="657">
        <f t="shared" si="162"/>
        <v>-155.90793168904943</v>
      </c>
      <c r="H220" s="657">
        <f t="shared" si="162"/>
        <v>-168.57000989867888</v>
      </c>
      <c r="I220" s="657">
        <f t="shared" si="162"/>
        <v>-186.50520266040101</v>
      </c>
      <c r="J220" s="657">
        <f t="shared" si="162"/>
        <v>-207.65616276375474</v>
      </c>
      <c r="K220" s="827">
        <f t="shared" si="162"/>
        <v>-228.32710494158204</v>
      </c>
      <c r="L220" s="52"/>
      <c r="M220" s="52"/>
      <c r="N220" s="52"/>
      <c r="O220" s="52"/>
      <c r="P220" s="52"/>
      <c r="Q220" s="52"/>
      <c r="R220" s="52"/>
      <c r="S220" s="52"/>
      <c r="T220" s="833" t="s">
        <v>252</v>
      </c>
      <c r="U220" s="467"/>
      <c r="V220" s="657">
        <f t="shared" ref="V220:V221" si="163">C220</f>
        <v>-122</v>
      </c>
      <c r="W220" s="657">
        <f t="shared" ref="W220:W221" si="164">D220</f>
        <v>-192</v>
      </c>
      <c r="X220" s="657">
        <f t="shared" ref="X220:X221" si="165">E220</f>
        <v>-157</v>
      </c>
      <c r="Y220" s="482">
        <f t="shared" ref="Y220:Y221" si="166">F220</f>
        <v>-189</v>
      </c>
      <c r="Z220" s="657">
        <v>-171.63268286035998</v>
      </c>
      <c r="AA220" s="657">
        <v>-180.8280860807362</v>
      </c>
      <c r="AB220" s="657">
        <v>-191.48744584047896</v>
      </c>
      <c r="AC220" s="657">
        <v>-203.6976362565552</v>
      </c>
      <c r="AD220" s="827">
        <v>-217.43183119969342</v>
      </c>
      <c r="AE220" s="52"/>
      <c r="AF220" s="52"/>
      <c r="AG220" s="52"/>
      <c r="AH220" s="52"/>
      <c r="AI220" s="52"/>
      <c r="AJ220" s="52"/>
      <c r="AK220" s="52"/>
      <c r="AL220" s="52"/>
      <c r="AM220" s="52"/>
      <c r="AN220" s="52"/>
      <c r="AO220" s="52"/>
    </row>
    <row r="221" spans="1:41">
      <c r="A221" s="659" t="s">
        <v>376</v>
      </c>
      <c r="B221" s="101"/>
      <c r="C221" s="469">
        <f t="shared" ref="C221:K221" si="167">-(C220/C176)*C175</f>
        <v>-39.814371257485028</v>
      </c>
      <c r="D221" s="469">
        <f t="shared" si="167"/>
        <v>-44.666666666666664</v>
      </c>
      <c r="E221" s="469">
        <f t="shared" si="167"/>
        <v>-31.400000000000002</v>
      </c>
      <c r="F221" s="470">
        <f t="shared" si="167"/>
        <v>-34.481927710843372</v>
      </c>
      <c r="G221" s="469">
        <f t="shared" si="167"/>
        <v>-29.182808403670457</v>
      </c>
      <c r="H221" s="469">
        <f t="shared" si="167"/>
        <v>-32.729006390658689</v>
      </c>
      <c r="I221" s="469">
        <f t="shared" si="167"/>
        <v>-31.331657671045356</v>
      </c>
      <c r="J221" s="469">
        <f t="shared" si="167"/>
        <v>-27.647101108101289</v>
      </c>
      <c r="K221" s="829">
        <f t="shared" si="167"/>
        <v>-26.233867677709359</v>
      </c>
      <c r="L221" s="52"/>
      <c r="M221" s="52"/>
      <c r="N221" s="52"/>
      <c r="O221" s="52"/>
      <c r="P221" s="52"/>
      <c r="Q221" s="52"/>
      <c r="R221" s="52"/>
      <c r="S221" s="52"/>
      <c r="T221" s="659" t="s">
        <v>376</v>
      </c>
      <c r="U221" s="376"/>
      <c r="V221" s="469">
        <f t="shared" si="163"/>
        <v>-39.814371257485028</v>
      </c>
      <c r="W221" s="469">
        <f t="shared" si="164"/>
        <v>-44.666666666666664</v>
      </c>
      <c r="X221" s="469">
        <f t="shared" si="165"/>
        <v>-31.400000000000002</v>
      </c>
      <c r="Y221" s="470">
        <f t="shared" si="166"/>
        <v>-34.481927710843372</v>
      </c>
      <c r="Z221" s="469">
        <v>-30.84305335979348</v>
      </c>
      <c r="AA221" s="469">
        <v>-31.84531150702696</v>
      </c>
      <c r="AB221" s="469">
        <v>-32.876437878573547</v>
      </c>
      <c r="AC221" s="469">
        <v>-33.93786850375642</v>
      </c>
      <c r="AD221" s="829">
        <v>-35.05843441441592</v>
      </c>
      <c r="AE221" s="52"/>
      <c r="AF221" s="52"/>
      <c r="AG221" s="52"/>
      <c r="AH221" s="52"/>
      <c r="AI221" s="52"/>
      <c r="AJ221" s="52"/>
      <c r="AK221" s="52"/>
      <c r="AL221" s="52"/>
      <c r="AM221" s="52"/>
      <c r="AN221" s="52"/>
      <c r="AO221" s="52"/>
    </row>
    <row r="222" spans="1:41">
      <c r="A222" s="484" t="s">
        <v>348</v>
      </c>
      <c r="B222" s="52"/>
      <c r="C222" s="657">
        <f>C219+C220+C221</f>
        <v>281.18562874251495</v>
      </c>
      <c r="D222" s="657">
        <f t="shared" ref="D222:K222" si="168">D219+D220+D221</f>
        <v>473.33333333333331</v>
      </c>
      <c r="E222" s="657">
        <f t="shared" si="168"/>
        <v>399.6</v>
      </c>
      <c r="F222" s="822">
        <f t="shared" si="168"/>
        <v>463.51807228915663</v>
      </c>
      <c r="G222" s="657">
        <f t="shared" si="168"/>
        <v>461.40151749927878</v>
      </c>
      <c r="H222" s="657">
        <f t="shared" si="168"/>
        <v>501.13854410058991</v>
      </c>
      <c r="I222" s="657">
        <f t="shared" si="168"/>
        <v>545.02613614552786</v>
      </c>
      <c r="J222" s="657">
        <f t="shared" si="168"/>
        <v>592.66839045995278</v>
      </c>
      <c r="K222" s="827">
        <f t="shared" si="168"/>
        <v>643.42169085188709</v>
      </c>
      <c r="L222" s="52"/>
      <c r="M222" s="52"/>
      <c r="N222" s="52"/>
      <c r="O222" s="52"/>
      <c r="P222" s="52"/>
      <c r="Q222" s="52"/>
      <c r="R222" s="52"/>
      <c r="S222" s="52"/>
      <c r="T222" s="484" t="s">
        <v>348</v>
      </c>
      <c r="U222" s="52"/>
      <c r="V222" s="657">
        <f>V219+V220+V221</f>
        <v>281.18562874251495</v>
      </c>
      <c r="W222" s="657">
        <f t="shared" ref="W222:Y222" si="169">W219+W220+W221</f>
        <v>473.33333333333331</v>
      </c>
      <c r="X222" s="657">
        <f t="shared" si="169"/>
        <v>399.6</v>
      </c>
      <c r="Y222" s="482">
        <f t="shared" si="169"/>
        <v>463.51807228915663</v>
      </c>
      <c r="Z222" s="657">
        <v>505.46046706402529</v>
      </c>
      <c r="AA222" s="657">
        <v>531.28267172991889</v>
      </c>
      <c r="AB222" s="657">
        <v>560.96024076156448</v>
      </c>
      <c r="AC222" s="657">
        <v>594.71957505995306</v>
      </c>
      <c r="AD222" s="827">
        <v>632.54517403054979</v>
      </c>
      <c r="AE222" s="52"/>
      <c r="AF222" s="52"/>
      <c r="AG222" s="52"/>
      <c r="AH222" s="52"/>
      <c r="AI222" s="52"/>
      <c r="AJ222" s="52"/>
      <c r="AK222" s="52"/>
      <c r="AL222" s="52"/>
      <c r="AM222" s="52"/>
      <c r="AN222" s="52"/>
      <c r="AO222" s="52"/>
    </row>
    <row r="223" spans="1:41">
      <c r="A223" s="484"/>
      <c r="B223" s="52"/>
      <c r="C223" s="52"/>
      <c r="D223" s="52"/>
      <c r="E223" s="52"/>
      <c r="F223" s="369"/>
      <c r="G223" s="52"/>
      <c r="H223" s="52"/>
      <c r="I223" s="52"/>
      <c r="J223" s="52"/>
      <c r="K223" s="278"/>
      <c r="L223" s="612"/>
      <c r="M223" s="612"/>
      <c r="N223" s="612"/>
      <c r="O223" s="612"/>
      <c r="P223" s="612"/>
      <c r="Q223" s="612"/>
      <c r="R223" s="612"/>
      <c r="S223" s="612"/>
      <c r="T223" s="484"/>
      <c r="U223" s="52"/>
      <c r="V223" s="52"/>
      <c r="W223" s="52"/>
      <c r="X223" s="52"/>
      <c r="Y223" s="369"/>
      <c r="Z223" s="52"/>
      <c r="AA223" s="52"/>
      <c r="AB223" s="52"/>
      <c r="AC223" s="52"/>
      <c r="AD223" s="278"/>
      <c r="AE223" s="52"/>
      <c r="AF223" s="52"/>
      <c r="AG223" s="52"/>
      <c r="AH223" s="52"/>
      <c r="AI223" s="52"/>
      <c r="AJ223" s="52"/>
      <c r="AK223" s="52"/>
      <c r="AL223" s="52"/>
      <c r="AM223" s="52"/>
      <c r="AN223" s="52"/>
      <c r="AO223" s="52"/>
    </row>
    <row r="224" spans="1:41">
      <c r="A224" s="465" t="s">
        <v>370</v>
      </c>
      <c r="B224" s="52"/>
      <c r="C224" s="52">
        <f>B193-C193</f>
        <v>25</v>
      </c>
      <c r="D224" s="52">
        <f t="shared" ref="D224:F224" si="170">C193-D193</f>
        <v>12</v>
      </c>
      <c r="E224" s="52">
        <f t="shared" si="170"/>
        <v>-40</v>
      </c>
      <c r="F224" s="369">
        <f t="shared" si="170"/>
        <v>3</v>
      </c>
      <c r="G224" s="52"/>
      <c r="H224" s="52"/>
      <c r="I224" s="52"/>
      <c r="J224" s="52"/>
      <c r="K224" s="278"/>
      <c r="L224" s="52"/>
      <c r="M224" s="612"/>
      <c r="N224" s="52"/>
      <c r="O224" s="612"/>
      <c r="P224" s="612"/>
      <c r="Q224" s="52"/>
      <c r="R224" s="612"/>
      <c r="S224" s="612"/>
      <c r="T224" s="465" t="s">
        <v>370</v>
      </c>
      <c r="U224" s="52"/>
      <c r="V224" s="52">
        <f>C224</f>
        <v>25</v>
      </c>
      <c r="W224" s="52">
        <f t="shared" ref="W224:Y227" si="171">D224</f>
        <v>12</v>
      </c>
      <c r="X224" s="52">
        <f t="shared" si="171"/>
        <v>-40</v>
      </c>
      <c r="Y224" s="369">
        <f t="shared" si="171"/>
        <v>3</v>
      </c>
      <c r="Z224" s="52"/>
      <c r="AA224" s="52"/>
      <c r="AB224" s="52"/>
      <c r="AC224" s="52"/>
      <c r="AD224" s="278"/>
      <c r="AE224" s="52"/>
      <c r="AF224" s="52"/>
      <c r="AG224" s="52"/>
      <c r="AH224" s="52"/>
      <c r="AI224" s="52"/>
      <c r="AJ224" s="52"/>
      <c r="AK224" s="52"/>
      <c r="AL224" s="52"/>
      <c r="AM224" s="52"/>
      <c r="AN224" s="52"/>
      <c r="AO224" s="52"/>
    </row>
    <row r="225" spans="1:41">
      <c r="A225" s="465" t="s">
        <v>349</v>
      </c>
      <c r="B225" s="52"/>
      <c r="C225" s="52">
        <f>B194-C194</f>
        <v>-336</v>
      </c>
      <c r="D225" s="52">
        <f t="shared" ref="D225:F225" si="172">C194-D194</f>
        <v>150</v>
      </c>
      <c r="E225" s="52">
        <f t="shared" si="172"/>
        <v>-110</v>
      </c>
      <c r="F225" s="369">
        <f t="shared" si="172"/>
        <v>-71</v>
      </c>
      <c r="G225" s="52"/>
      <c r="H225" s="52"/>
      <c r="I225" s="52"/>
      <c r="J225" s="52"/>
      <c r="K225" s="278"/>
      <c r="L225" s="52"/>
      <c r="M225" s="52"/>
      <c r="N225" s="52"/>
      <c r="O225" s="52"/>
      <c r="P225" s="52"/>
      <c r="Q225" s="52"/>
      <c r="R225" s="52"/>
      <c r="S225" s="52"/>
      <c r="T225" s="465" t="s">
        <v>349</v>
      </c>
      <c r="U225" s="52"/>
      <c r="V225" s="52">
        <f t="shared" ref="V225:V230" si="173">C225</f>
        <v>-336</v>
      </c>
      <c r="W225" s="52">
        <f t="shared" si="171"/>
        <v>150</v>
      </c>
      <c r="X225" s="52">
        <f t="shared" si="171"/>
        <v>-110</v>
      </c>
      <c r="Y225" s="369">
        <f t="shared" si="171"/>
        <v>-71</v>
      </c>
      <c r="Z225" s="52"/>
      <c r="AA225" s="52"/>
      <c r="AB225" s="52"/>
      <c r="AC225" s="52"/>
      <c r="AD225" s="278"/>
      <c r="AE225" s="52"/>
      <c r="AF225" s="52"/>
      <c r="AG225" s="52"/>
      <c r="AH225" s="52"/>
      <c r="AI225" s="52"/>
      <c r="AJ225" s="52"/>
      <c r="AK225" s="52"/>
      <c r="AL225" s="52"/>
      <c r="AM225" s="52"/>
      <c r="AN225" s="52"/>
      <c r="AO225" s="52"/>
    </row>
    <row r="226" spans="1:41">
      <c r="A226" s="465" t="s">
        <v>369</v>
      </c>
      <c r="B226" s="52"/>
      <c r="C226" s="52">
        <f>B195-C195</f>
        <v>214</v>
      </c>
      <c r="D226" s="52">
        <f t="shared" ref="D226:F226" si="174">C195-D195</f>
        <v>-3</v>
      </c>
      <c r="E226" s="52">
        <f t="shared" si="174"/>
        <v>32</v>
      </c>
      <c r="F226" s="369">
        <f t="shared" si="174"/>
        <v>68</v>
      </c>
      <c r="G226" s="52"/>
      <c r="H226" s="52"/>
      <c r="I226" s="52"/>
      <c r="J226" s="52"/>
      <c r="K226" s="278"/>
      <c r="L226" s="52"/>
      <c r="M226" s="612"/>
      <c r="N226" s="52"/>
      <c r="O226" s="612"/>
      <c r="P226" s="612"/>
      <c r="Q226" s="52"/>
      <c r="R226" s="612"/>
      <c r="S226" s="612"/>
      <c r="T226" s="465" t="s">
        <v>369</v>
      </c>
      <c r="U226" s="52"/>
      <c r="V226" s="52">
        <f t="shared" si="173"/>
        <v>214</v>
      </c>
      <c r="W226" s="52">
        <f t="shared" si="171"/>
        <v>-3</v>
      </c>
      <c r="X226" s="52">
        <f t="shared" si="171"/>
        <v>32</v>
      </c>
      <c r="Y226" s="369">
        <f t="shared" si="171"/>
        <v>68</v>
      </c>
      <c r="Z226" s="52"/>
      <c r="AA226" s="52"/>
      <c r="AB226" s="52"/>
      <c r="AC226" s="52"/>
      <c r="AD226" s="278"/>
      <c r="AE226" s="52"/>
      <c r="AF226" s="52"/>
      <c r="AG226" s="52"/>
      <c r="AH226" s="52"/>
      <c r="AI226" s="52"/>
      <c r="AJ226" s="52"/>
      <c r="AK226" s="52"/>
      <c r="AL226" s="52"/>
      <c r="AM226" s="52"/>
      <c r="AN226" s="52"/>
      <c r="AO226" s="52"/>
    </row>
    <row r="227" spans="1:41">
      <c r="A227" s="465" t="s">
        <v>371</v>
      </c>
      <c r="B227" s="52"/>
      <c r="C227" s="52">
        <f>SUM(C224:C226)</f>
        <v>-97</v>
      </c>
      <c r="D227" s="52">
        <f t="shared" ref="D227:F227" si="175">SUM(D224:D226)</f>
        <v>159</v>
      </c>
      <c r="E227" s="52">
        <f t="shared" si="175"/>
        <v>-118</v>
      </c>
      <c r="F227" s="369">
        <f t="shared" si="175"/>
        <v>0</v>
      </c>
      <c r="G227" s="52"/>
      <c r="H227" s="52"/>
      <c r="I227" s="52"/>
      <c r="J227" s="52"/>
      <c r="K227" s="278"/>
      <c r="L227" s="52"/>
      <c r="M227" s="52"/>
      <c r="N227" s="52"/>
      <c r="O227" s="52"/>
      <c r="P227" s="52"/>
      <c r="Q227" s="52"/>
      <c r="R227" s="52"/>
      <c r="S227" s="52"/>
      <c r="T227" s="465" t="s">
        <v>371</v>
      </c>
      <c r="U227" s="52"/>
      <c r="V227" s="52">
        <f t="shared" si="173"/>
        <v>-97</v>
      </c>
      <c r="W227" s="52">
        <f t="shared" si="171"/>
        <v>159</v>
      </c>
      <c r="X227" s="52">
        <f t="shared" si="171"/>
        <v>-118</v>
      </c>
      <c r="Y227" s="369">
        <f t="shared" si="171"/>
        <v>0</v>
      </c>
      <c r="Z227" s="52"/>
      <c r="AA227" s="52"/>
      <c r="AB227" s="52"/>
      <c r="AC227" s="52"/>
      <c r="AD227" s="278"/>
      <c r="AE227" s="52"/>
      <c r="AF227" s="52"/>
      <c r="AG227" s="52"/>
      <c r="AH227" s="52"/>
      <c r="AI227" s="52"/>
      <c r="AJ227" s="52"/>
      <c r="AK227" s="52"/>
      <c r="AL227" s="52"/>
      <c r="AM227" s="52"/>
      <c r="AN227" s="52"/>
      <c r="AO227" s="52"/>
    </row>
    <row r="228" spans="1:41">
      <c r="A228" s="465"/>
      <c r="B228" s="52"/>
      <c r="C228" s="52"/>
      <c r="D228" s="52"/>
      <c r="E228" s="52"/>
      <c r="F228" s="369"/>
      <c r="G228" s="52"/>
      <c r="H228" s="52"/>
      <c r="I228" s="52"/>
      <c r="J228" s="52"/>
      <c r="K228" s="278"/>
      <c r="L228" s="52"/>
      <c r="M228" s="52"/>
      <c r="N228" s="52"/>
      <c r="O228" s="52"/>
      <c r="P228" s="52"/>
      <c r="Q228" s="52"/>
      <c r="R228" s="52"/>
      <c r="S228" s="52"/>
      <c r="T228" s="465"/>
      <c r="U228" s="52"/>
      <c r="V228" s="52"/>
      <c r="W228" s="52"/>
      <c r="X228" s="52"/>
      <c r="Y228" s="369"/>
      <c r="Z228" s="52"/>
      <c r="AA228" s="52"/>
      <c r="AB228" s="52"/>
      <c r="AC228" s="52"/>
      <c r="AD228" s="278"/>
      <c r="AE228" s="52"/>
      <c r="AF228" s="52"/>
      <c r="AG228" s="52"/>
      <c r="AH228" s="52"/>
      <c r="AI228" s="52"/>
      <c r="AJ228" s="52"/>
      <c r="AK228" s="52"/>
      <c r="AL228" s="52"/>
      <c r="AM228" s="52"/>
      <c r="AN228" s="52"/>
      <c r="AO228" s="52"/>
    </row>
    <row r="229" spans="1:41">
      <c r="A229" s="465" t="s">
        <v>760</v>
      </c>
      <c r="B229" s="609"/>
      <c r="C229" s="52">
        <f>'Reorganised Statements'!D15-'Reorganised Statements'!E15</f>
        <v>-59</v>
      </c>
      <c r="D229" s="52">
        <f>'Reorganised Statements'!E15-'Reorganised Statements'!F15</f>
        <v>132</v>
      </c>
      <c r="E229" s="52">
        <f>'Reorganised Statements'!F15-'Reorganised Statements'!G15</f>
        <v>53</v>
      </c>
      <c r="F229" s="369">
        <f>'Reorganised Statements'!G15-'Reorganised Statements'!H15</f>
        <v>-155</v>
      </c>
      <c r="G229" s="52"/>
      <c r="H229" s="52"/>
      <c r="I229" s="52"/>
      <c r="J229" s="52"/>
      <c r="K229" s="278"/>
      <c r="L229" s="52"/>
      <c r="M229" s="1"/>
      <c r="N229" s="1"/>
      <c r="O229" s="1"/>
      <c r="P229" s="1"/>
      <c r="Q229" s="1"/>
      <c r="R229" s="1"/>
      <c r="S229" s="52"/>
      <c r="T229" s="465" t="s">
        <v>760</v>
      </c>
      <c r="U229" s="609"/>
      <c r="V229" s="52">
        <f t="shared" si="173"/>
        <v>-59</v>
      </c>
      <c r="W229" s="52">
        <f t="shared" ref="W229:W230" si="176">D229</f>
        <v>132</v>
      </c>
      <c r="X229" s="52">
        <f t="shared" ref="X229:X230" si="177">E229</f>
        <v>53</v>
      </c>
      <c r="Y229" s="369">
        <f t="shared" ref="Y229:Y230" si="178">F229</f>
        <v>-155</v>
      </c>
      <c r="Z229" s="52"/>
      <c r="AA229" s="52"/>
      <c r="AB229" s="52"/>
      <c r="AC229" s="52"/>
      <c r="AD229" s="278"/>
      <c r="AE229" s="52"/>
      <c r="AF229" s="52"/>
      <c r="AG229" s="52"/>
      <c r="AH229" s="52"/>
      <c r="AI229" s="52"/>
      <c r="AJ229" s="52"/>
      <c r="AK229" s="52"/>
      <c r="AL229" s="52"/>
      <c r="AM229" s="52"/>
      <c r="AN229" s="52"/>
      <c r="AO229" s="52"/>
    </row>
    <row r="230" spans="1:41">
      <c r="A230" s="659" t="s">
        <v>351</v>
      </c>
      <c r="B230" s="101"/>
      <c r="C230" s="101">
        <f>'Reorganised Statements'!D21-'Reorganised Statements'!E21</f>
        <v>210</v>
      </c>
      <c r="D230" s="101">
        <f>'Reorganised Statements'!E21-'Reorganised Statements'!F21</f>
        <v>-220</v>
      </c>
      <c r="E230" s="101">
        <f>'Reorganised Statements'!F21-'Reorganised Statements'!G21</f>
        <v>90</v>
      </c>
      <c r="F230" s="99">
        <f>'Reorganised Statements'!G21-'Reorganised Statements'!H21</f>
        <v>236</v>
      </c>
      <c r="G230" s="101"/>
      <c r="H230" s="101"/>
      <c r="I230" s="101"/>
      <c r="J230" s="101"/>
      <c r="K230" s="279"/>
      <c r="L230" s="52"/>
      <c r="M230" s="481"/>
      <c r="N230" s="1"/>
      <c r="O230" s="481"/>
      <c r="P230" s="481"/>
      <c r="Q230" s="1"/>
      <c r="R230" s="481"/>
      <c r="S230" s="657"/>
      <c r="T230" s="659" t="s">
        <v>351</v>
      </c>
      <c r="U230" s="376"/>
      <c r="V230" s="101">
        <f t="shared" si="173"/>
        <v>210</v>
      </c>
      <c r="W230" s="101">
        <f t="shared" si="176"/>
        <v>-220</v>
      </c>
      <c r="X230" s="101">
        <f t="shared" si="177"/>
        <v>90</v>
      </c>
      <c r="Y230" s="99">
        <f t="shared" si="178"/>
        <v>236</v>
      </c>
      <c r="Z230" s="101"/>
      <c r="AA230" s="101"/>
      <c r="AB230" s="101"/>
      <c r="AC230" s="101"/>
      <c r="AD230" s="279"/>
      <c r="AE230" s="52"/>
      <c r="AF230" s="52"/>
      <c r="AG230" s="52"/>
      <c r="AH230" s="52"/>
      <c r="AI230" s="52"/>
      <c r="AJ230" s="52"/>
      <c r="AK230" s="52"/>
      <c r="AL230" s="52"/>
      <c r="AM230" s="52"/>
      <c r="AN230" s="52"/>
      <c r="AO230" s="52"/>
    </row>
    <row r="231" spans="1:41">
      <c r="A231" s="465" t="s">
        <v>372</v>
      </c>
      <c r="B231" s="52"/>
      <c r="C231" s="657">
        <f>C227+C229+C230</f>
        <v>54</v>
      </c>
      <c r="D231" s="657">
        <f t="shared" ref="D231:F231" si="179">D227+D229+D230</f>
        <v>71</v>
      </c>
      <c r="E231" s="657">
        <f t="shared" si="179"/>
        <v>25</v>
      </c>
      <c r="F231" s="822">
        <f t="shared" si="179"/>
        <v>81</v>
      </c>
      <c r="G231" s="657">
        <f>F200-G200</f>
        <v>-24.89629364354272</v>
      </c>
      <c r="H231" s="657">
        <f t="shared" ref="H231:K231" si="180">G200-H200</f>
        <v>-25.600468902423472</v>
      </c>
      <c r="I231" s="657">
        <f t="shared" si="180"/>
        <v>-26.320274634131692</v>
      </c>
      <c r="J231" s="657">
        <f t="shared" si="180"/>
        <v>-27.056022942647473</v>
      </c>
      <c r="K231" s="834">
        <f t="shared" si="180"/>
        <v>-27.407044691468002</v>
      </c>
      <c r="L231" s="52"/>
      <c r="M231" s="468"/>
      <c r="N231" s="1"/>
      <c r="O231" s="468"/>
      <c r="P231" s="468"/>
      <c r="Q231" s="1"/>
      <c r="R231" s="468"/>
      <c r="S231" s="798"/>
      <c r="T231" s="465" t="s">
        <v>372</v>
      </c>
      <c r="U231" s="52"/>
      <c r="V231" s="657">
        <f>V227+V229+V230</f>
        <v>54</v>
      </c>
      <c r="W231" s="657">
        <f t="shared" ref="W231:Y231" si="181">W227+W229+W230</f>
        <v>71</v>
      </c>
      <c r="X231" s="657">
        <f t="shared" si="181"/>
        <v>25</v>
      </c>
      <c r="Y231" s="482">
        <f t="shared" si="181"/>
        <v>81</v>
      </c>
      <c r="Z231" s="657">
        <v>-24.89629364354272</v>
      </c>
      <c r="AA231" s="657">
        <v>-25.600468902423472</v>
      </c>
      <c r="AB231" s="657">
        <v>-26.320274634131692</v>
      </c>
      <c r="AC231" s="657">
        <v>-27.056022942647473</v>
      </c>
      <c r="AD231" s="834">
        <v>-27.407044691468002</v>
      </c>
      <c r="AE231" s="52"/>
      <c r="AF231" s="52"/>
      <c r="AG231" s="52"/>
      <c r="AH231" s="52"/>
      <c r="AI231" s="52"/>
      <c r="AJ231" s="52"/>
      <c r="AK231" s="52"/>
      <c r="AL231" s="52"/>
      <c r="AM231" s="52"/>
      <c r="AN231" s="52"/>
      <c r="AO231" s="52"/>
    </row>
    <row r="232" spans="1:41">
      <c r="A232" s="465"/>
      <c r="B232" s="52"/>
      <c r="C232" s="657"/>
      <c r="D232" s="657"/>
      <c r="E232" s="657"/>
      <c r="F232" s="482"/>
      <c r="G232" s="657"/>
      <c r="H232" s="657"/>
      <c r="I232" s="657"/>
      <c r="J232" s="657"/>
      <c r="K232" s="827"/>
      <c r="L232" s="52"/>
      <c r="M232" s="1"/>
      <c r="N232" s="1"/>
      <c r="O232" s="1"/>
      <c r="P232" s="1"/>
      <c r="Q232" s="1"/>
      <c r="R232" s="1"/>
      <c r="S232" s="52"/>
      <c r="T232" s="465"/>
      <c r="U232" s="52"/>
      <c r="V232" s="657"/>
      <c r="W232" s="657"/>
      <c r="X232" s="657"/>
      <c r="Y232" s="482"/>
      <c r="Z232" s="657"/>
      <c r="AA232" s="657"/>
      <c r="AB232" s="657"/>
      <c r="AC232" s="657"/>
      <c r="AD232" s="827"/>
      <c r="AE232" s="612"/>
      <c r="AF232" s="52"/>
      <c r="AG232" s="52"/>
      <c r="AH232" s="52"/>
      <c r="AI232" s="52"/>
      <c r="AJ232" s="52"/>
      <c r="AK232" s="52"/>
      <c r="AL232" s="52"/>
      <c r="AM232" s="52"/>
      <c r="AN232" s="52"/>
      <c r="AO232" s="52"/>
    </row>
    <row r="233" spans="1:41">
      <c r="A233" s="465" t="s">
        <v>352</v>
      </c>
      <c r="B233" s="52"/>
      <c r="C233" s="657">
        <f t="shared" ref="C233:K233" si="182">B188+B189-C188-C189 +C170</f>
        <v>-1066</v>
      </c>
      <c r="D233" s="657">
        <f t="shared" si="182"/>
        <v>-80</v>
      </c>
      <c r="E233" s="657">
        <f t="shared" si="182"/>
        <v>-1076</v>
      </c>
      <c r="F233" s="482">
        <f t="shared" si="182"/>
        <v>-837</v>
      </c>
      <c r="G233" s="657">
        <f t="shared" si="182"/>
        <v>-868.52763987521871</v>
      </c>
      <c r="H233" s="657">
        <f t="shared" si="182"/>
        <v>-881.69675803745099</v>
      </c>
      <c r="I233" s="657">
        <f t="shared" si="182"/>
        <v>-895.06555398218359</v>
      </c>
      <c r="J233" s="657">
        <f t="shared" si="182"/>
        <v>-908.63705533938719</v>
      </c>
      <c r="K233" s="827">
        <f t="shared" si="182"/>
        <v>-922.0729927657602</v>
      </c>
      <c r="L233" s="52"/>
      <c r="M233" s="1"/>
      <c r="N233" s="1"/>
      <c r="O233" s="1"/>
      <c r="P233" s="1"/>
      <c r="Q233" s="1"/>
      <c r="R233" s="1"/>
      <c r="S233" s="52"/>
      <c r="T233" s="465" t="s">
        <v>352</v>
      </c>
      <c r="U233" s="52"/>
      <c r="V233" s="657">
        <f>C233</f>
        <v>-1066</v>
      </c>
      <c r="W233" s="657">
        <f t="shared" ref="W233:Y238" si="183">D233</f>
        <v>-80</v>
      </c>
      <c r="X233" s="657">
        <f t="shared" si="183"/>
        <v>-1076</v>
      </c>
      <c r="Y233" s="482">
        <f t="shared" si="183"/>
        <v>-837</v>
      </c>
      <c r="Z233" s="657">
        <v>-868.5276398752186</v>
      </c>
      <c r="AA233" s="657">
        <v>-881.69675803745031</v>
      </c>
      <c r="AB233" s="657">
        <v>-895.06555398218325</v>
      </c>
      <c r="AC233" s="657">
        <v>-908.6370553393873</v>
      </c>
      <c r="AD233" s="827">
        <v>-922.07299276575964</v>
      </c>
      <c r="AE233" s="52"/>
      <c r="AF233" s="52"/>
      <c r="AG233" s="52"/>
      <c r="AH233" s="52"/>
      <c r="AI233" s="52"/>
      <c r="AJ233" s="52"/>
      <c r="AK233" s="52"/>
      <c r="AL233" s="52"/>
      <c r="AM233" s="52"/>
      <c r="AN233" s="52"/>
      <c r="AO233" s="52"/>
    </row>
    <row r="234" spans="1:41">
      <c r="A234" s="465" t="s">
        <v>353</v>
      </c>
      <c r="B234" s="52"/>
      <c r="C234" s="657">
        <f t="shared" ref="C234:K234" si="184">-C170</f>
        <v>648</v>
      </c>
      <c r="D234" s="657">
        <f t="shared" si="184"/>
        <v>444</v>
      </c>
      <c r="E234" s="657">
        <f t="shared" si="184"/>
        <v>623</v>
      </c>
      <c r="F234" s="482">
        <f t="shared" si="184"/>
        <v>511</v>
      </c>
      <c r="G234" s="657">
        <f t="shared" si="184"/>
        <v>607.30367267200131</v>
      </c>
      <c r="H234" s="657">
        <f t="shared" si="184"/>
        <v>625.32466501126805</v>
      </c>
      <c r="I234" s="657">
        <f t="shared" si="184"/>
        <v>643.06109913135867</v>
      </c>
      <c r="J234" s="657">
        <f t="shared" si="184"/>
        <v>660.54787130240038</v>
      </c>
      <c r="K234" s="827">
        <f t="shared" si="184"/>
        <v>677.81733591679711</v>
      </c>
      <c r="L234" s="52"/>
      <c r="M234" s="481"/>
      <c r="N234" s="1"/>
      <c r="O234" s="481"/>
      <c r="P234" s="481"/>
      <c r="Q234" s="1"/>
      <c r="R234" s="481"/>
      <c r="S234" s="657"/>
      <c r="T234" s="465" t="s">
        <v>353</v>
      </c>
      <c r="U234" s="52"/>
      <c r="V234" s="657">
        <f t="shared" ref="V234:V238" si="185">C234</f>
        <v>648</v>
      </c>
      <c r="W234" s="657">
        <f t="shared" si="183"/>
        <v>444</v>
      </c>
      <c r="X234" s="657">
        <f t="shared" si="183"/>
        <v>623</v>
      </c>
      <c r="Y234" s="482">
        <f t="shared" si="183"/>
        <v>511</v>
      </c>
      <c r="Z234" s="657">
        <v>545.85972697982118</v>
      </c>
      <c r="AA234" s="657">
        <v>583.80615608351354</v>
      </c>
      <c r="AB234" s="657">
        <v>620.59997112771589</v>
      </c>
      <c r="AC234" s="657">
        <v>656.16444581394455</v>
      </c>
      <c r="AD234" s="827">
        <v>690.76455974331634</v>
      </c>
      <c r="AE234" s="52"/>
      <c r="AF234" s="52"/>
      <c r="AG234" s="52"/>
      <c r="AH234" s="52"/>
      <c r="AI234" s="52"/>
      <c r="AJ234" s="52"/>
      <c r="AK234" s="52"/>
      <c r="AL234" s="52"/>
      <c r="AM234" s="52"/>
      <c r="AN234" s="52"/>
      <c r="AO234" s="52"/>
    </row>
    <row r="235" spans="1:41">
      <c r="A235" s="465" t="s">
        <v>354</v>
      </c>
      <c r="B235" s="52"/>
      <c r="C235" s="657">
        <f t="shared" ref="C235:K235" si="186">B86-C86</f>
        <v>95</v>
      </c>
      <c r="D235" s="657">
        <f t="shared" si="186"/>
        <v>-46</v>
      </c>
      <c r="E235" s="657">
        <f t="shared" si="186"/>
        <v>17</v>
      </c>
      <c r="F235" s="482">
        <f t="shared" si="186"/>
        <v>34</v>
      </c>
      <c r="G235" s="657">
        <f t="shared" si="186"/>
        <v>0</v>
      </c>
      <c r="H235" s="657">
        <f t="shared" si="186"/>
        <v>0</v>
      </c>
      <c r="I235" s="657">
        <f t="shared" si="186"/>
        <v>0</v>
      </c>
      <c r="J235" s="657">
        <f t="shared" si="186"/>
        <v>0</v>
      </c>
      <c r="K235" s="827">
        <f t="shared" si="186"/>
        <v>0</v>
      </c>
      <c r="L235" s="52"/>
      <c r="M235" s="415"/>
      <c r="N235" s="1"/>
      <c r="O235" s="415"/>
      <c r="P235" s="415"/>
      <c r="Q235" s="1"/>
      <c r="R235" s="415"/>
      <c r="S235" s="610"/>
      <c r="T235" s="465" t="s">
        <v>354</v>
      </c>
      <c r="U235" s="52"/>
      <c r="V235" s="657">
        <f t="shared" si="185"/>
        <v>95</v>
      </c>
      <c r="W235" s="657">
        <f t="shared" si="183"/>
        <v>-46</v>
      </c>
      <c r="X235" s="657">
        <f t="shared" si="183"/>
        <v>17</v>
      </c>
      <c r="Y235" s="482">
        <f t="shared" si="183"/>
        <v>34</v>
      </c>
      <c r="Z235" s="657">
        <v>0</v>
      </c>
      <c r="AA235" s="657">
        <v>0</v>
      </c>
      <c r="AB235" s="657">
        <v>0</v>
      </c>
      <c r="AC235" s="657">
        <v>0</v>
      </c>
      <c r="AD235" s="827">
        <v>0</v>
      </c>
      <c r="AE235" s="52"/>
      <c r="AF235" s="52"/>
      <c r="AG235" s="52"/>
      <c r="AH235" s="52"/>
      <c r="AI235" s="52"/>
      <c r="AJ235" s="52"/>
      <c r="AK235" s="52"/>
      <c r="AL235" s="52"/>
      <c r="AM235" s="52"/>
      <c r="AN235" s="52"/>
      <c r="AO235" s="52"/>
    </row>
    <row r="236" spans="1:41">
      <c r="A236" s="465" t="s">
        <v>355</v>
      </c>
      <c r="B236" s="52"/>
      <c r="C236" s="657">
        <f>B203-C203</f>
        <v>33</v>
      </c>
      <c r="D236" s="657">
        <f t="shared" ref="D236:F236" si="187">C203-D203</f>
        <v>-46</v>
      </c>
      <c r="E236" s="657">
        <f t="shared" si="187"/>
        <v>-5</v>
      </c>
      <c r="F236" s="482">
        <f t="shared" si="187"/>
        <v>-7</v>
      </c>
      <c r="G236" s="657">
        <f t="shared" ref="G236:K236" si="188">F203-G203</f>
        <v>0</v>
      </c>
      <c r="H236" s="657">
        <f t="shared" si="188"/>
        <v>0</v>
      </c>
      <c r="I236" s="657">
        <f t="shared" si="188"/>
        <v>0</v>
      </c>
      <c r="J236" s="657">
        <f t="shared" si="188"/>
        <v>0</v>
      </c>
      <c r="K236" s="827">
        <f t="shared" si="188"/>
        <v>0</v>
      </c>
      <c r="L236" s="52"/>
      <c r="M236" s="1"/>
      <c r="N236" s="1"/>
      <c r="O236" s="1"/>
      <c r="P236" s="1"/>
      <c r="Q236" s="1"/>
      <c r="R236" s="1"/>
      <c r="S236" s="52"/>
      <c r="T236" s="465" t="s">
        <v>355</v>
      </c>
      <c r="U236" s="52"/>
      <c r="V236" s="657">
        <f t="shared" si="185"/>
        <v>33</v>
      </c>
      <c r="W236" s="657">
        <f t="shared" si="183"/>
        <v>-46</v>
      </c>
      <c r="X236" s="657">
        <f t="shared" si="183"/>
        <v>-5</v>
      </c>
      <c r="Y236" s="482">
        <f t="shared" si="183"/>
        <v>-7</v>
      </c>
      <c r="Z236" s="657">
        <v>0</v>
      </c>
      <c r="AA236" s="657">
        <v>0</v>
      </c>
      <c r="AB236" s="657">
        <v>0</v>
      </c>
      <c r="AC236" s="657">
        <v>0</v>
      </c>
      <c r="AD236" s="827">
        <v>0</v>
      </c>
      <c r="AE236" s="52"/>
      <c r="AF236" s="52"/>
      <c r="AG236" s="52"/>
      <c r="AH236" s="52"/>
      <c r="AI236" s="52"/>
      <c r="AJ236" s="52"/>
      <c r="AK236" s="52"/>
      <c r="AL236" s="52"/>
      <c r="AM236" s="52"/>
      <c r="AN236" s="52"/>
      <c r="AO236" s="52"/>
    </row>
    <row r="237" spans="1:41">
      <c r="A237" s="465" t="s">
        <v>368</v>
      </c>
      <c r="B237" s="52"/>
      <c r="C237" s="657">
        <f>B202-C202</f>
        <v>-33</v>
      </c>
      <c r="D237" s="657">
        <f t="shared" ref="D237:F237" si="189">C202-D202</f>
        <v>40</v>
      </c>
      <c r="E237" s="657">
        <f t="shared" si="189"/>
        <v>37</v>
      </c>
      <c r="F237" s="482">
        <f t="shared" si="189"/>
        <v>-13</v>
      </c>
      <c r="G237" s="657">
        <f t="shared" ref="G237:K237" si="190">F202-G202</f>
        <v>0</v>
      </c>
      <c r="H237" s="657">
        <f t="shared" si="190"/>
        <v>0</v>
      </c>
      <c r="I237" s="657">
        <f t="shared" si="190"/>
        <v>0</v>
      </c>
      <c r="J237" s="657">
        <f t="shared" si="190"/>
        <v>0</v>
      </c>
      <c r="K237" s="827">
        <f t="shared" si="190"/>
        <v>0</v>
      </c>
      <c r="L237" s="52"/>
      <c r="M237" s="1"/>
      <c r="N237" s="1"/>
      <c r="O237" s="1"/>
      <c r="P237" s="1"/>
      <c r="Q237" s="1"/>
      <c r="R237" s="1"/>
      <c r="S237" s="52"/>
      <c r="T237" s="465" t="s">
        <v>368</v>
      </c>
      <c r="U237" s="52"/>
      <c r="V237" s="657">
        <f t="shared" si="185"/>
        <v>-33</v>
      </c>
      <c r="W237" s="657">
        <f t="shared" si="183"/>
        <v>40</v>
      </c>
      <c r="X237" s="657">
        <f t="shared" si="183"/>
        <v>37</v>
      </c>
      <c r="Y237" s="482">
        <f t="shared" si="183"/>
        <v>-13</v>
      </c>
      <c r="Z237" s="657">
        <v>0</v>
      </c>
      <c r="AA237" s="657">
        <v>0</v>
      </c>
      <c r="AB237" s="657">
        <v>0</v>
      </c>
      <c r="AC237" s="657">
        <v>0</v>
      </c>
      <c r="AD237" s="827">
        <v>0</v>
      </c>
      <c r="AE237" s="52"/>
      <c r="AF237" s="52"/>
      <c r="AG237" s="52"/>
      <c r="AH237" s="52"/>
      <c r="AI237" s="52"/>
      <c r="AJ237" s="52"/>
      <c r="AK237" s="52"/>
      <c r="AL237" s="52"/>
      <c r="AM237" s="52"/>
      <c r="AN237" s="52"/>
      <c r="AO237" s="52"/>
    </row>
    <row r="238" spans="1:41">
      <c r="A238" s="659" t="s">
        <v>356</v>
      </c>
      <c r="B238" s="101"/>
      <c r="C238" s="469">
        <f>'Reorganised Statements'!D140</f>
        <v>20</v>
      </c>
      <c r="D238" s="469">
        <f>'Reorganised Statements'!E140</f>
        <v>-91</v>
      </c>
      <c r="E238" s="469">
        <f>'Reorganised Statements'!F140</f>
        <v>11</v>
      </c>
      <c r="F238" s="470">
        <f>'Reorganised Statements'!G140</f>
        <v>-3</v>
      </c>
      <c r="G238" s="469">
        <v>-3.9753045894325085</v>
      </c>
      <c r="H238" s="469">
        <v>-4.2924410555657548</v>
      </c>
      <c r="I238" s="469">
        <v>-4.7729269176391718</v>
      </c>
      <c r="J238" s="469">
        <v>-5.3497872540639371</v>
      </c>
      <c r="K238" s="829">
        <v>-5.9029515610100454</v>
      </c>
      <c r="L238" s="612"/>
      <c r="M238" s="446"/>
      <c r="N238" s="446"/>
      <c r="O238" s="446"/>
      <c r="P238" s="446"/>
      <c r="Q238" s="446"/>
      <c r="R238" s="446"/>
      <c r="S238" s="612"/>
      <c r="T238" s="659" t="s">
        <v>356</v>
      </c>
      <c r="U238" s="376"/>
      <c r="V238" s="469">
        <f t="shared" si="185"/>
        <v>20</v>
      </c>
      <c r="W238" s="469">
        <f t="shared" si="183"/>
        <v>-91</v>
      </c>
      <c r="X238" s="469">
        <f t="shared" si="183"/>
        <v>11</v>
      </c>
      <c r="Y238" s="470">
        <f t="shared" si="183"/>
        <v>-3</v>
      </c>
      <c r="Z238" s="469">
        <v>-3.9753045894325085</v>
      </c>
      <c r="AA238" s="469">
        <v>-4.2924410555657548</v>
      </c>
      <c r="AB238" s="469">
        <v>-4.7729269176391718</v>
      </c>
      <c r="AC238" s="469">
        <v>-5.3497872540639371</v>
      </c>
      <c r="AD238" s="829">
        <v>-5.9029515610100454</v>
      </c>
      <c r="AE238" s="52"/>
      <c r="AF238" s="52"/>
      <c r="AG238" s="52"/>
      <c r="AH238" s="52"/>
      <c r="AI238" s="52"/>
      <c r="AJ238" s="52"/>
      <c r="AK238" s="52"/>
      <c r="AL238" s="52"/>
      <c r="AM238" s="52"/>
      <c r="AN238" s="52"/>
      <c r="AO238" s="52"/>
    </row>
    <row r="239" spans="1:41">
      <c r="A239" s="465" t="s">
        <v>357</v>
      </c>
      <c r="B239" s="52"/>
      <c r="C239" s="657">
        <f>C222+C231+C233+C234+C235+C236+C237+C238</f>
        <v>32.18562874251495</v>
      </c>
      <c r="D239" s="657">
        <f t="shared" ref="D239:K239" si="191">D222+D231+D233+D234+D235+D236+D237+D238</f>
        <v>765.33333333333326</v>
      </c>
      <c r="E239" s="657">
        <f t="shared" si="191"/>
        <v>31.600000000000023</v>
      </c>
      <c r="F239" s="482">
        <f t="shared" si="191"/>
        <v>229.51807228915663</v>
      </c>
      <c r="G239" s="657">
        <f t="shared" si="191"/>
        <v>171.30595206308615</v>
      </c>
      <c r="H239" s="657">
        <f t="shared" si="191"/>
        <v>214.87354111641775</v>
      </c>
      <c r="I239" s="657">
        <f t="shared" si="191"/>
        <v>261.9284797429321</v>
      </c>
      <c r="J239" s="657">
        <f t="shared" si="191"/>
        <v>312.17339622625457</v>
      </c>
      <c r="K239" s="834">
        <f t="shared" si="191"/>
        <v>365.85603775044586</v>
      </c>
      <c r="L239" s="52"/>
      <c r="M239" s="1"/>
      <c r="N239" s="1"/>
      <c r="O239" s="1"/>
      <c r="P239" s="1"/>
      <c r="Q239" s="1"/>
      <c r="R239" s="1"/>
      <c r="S239" s="52"/>
      <c r="T239" s="465" t="s">
        <v>357</v>
      </c>
      <c r="U239" s="52"/>
      <c r="V239" s="657">
        <f>V222+V231+V233+V234+V235+V236+V237+V238</f>
        <v>32.18562874251495</v>
      </c>
      <c r="W239" s="657">
        <f t="shared" ref="W239:Y239" si="192">W222+W231+W233+W234+W235+W236+W237+W238</f>
        <v>765.33333333333326</v>
      </c>
      <c r="X239" s="657">
        <f t="shared" si="192"/>
        <v>31.600000000000023</v>
      </c>
      <c r="Y239" s="482">
        <f t="shared" si="192"/>
        <v>229.51807228915663</v>
      </c>
      <c r="Z239" s="657">
        <v>153.92095593565264</v>
      </c>
      <c r="AA239" s="657">
        <v>203.4991598179929</v>
      </c>
      <c r="AB239" s="657">
        <v>255.40145635532625</v>
      </c>
      <c r="AC239" s="657">
        <v>309.84115533779891</v>
      </c>
      <c r="AD239" s="834">
        <v>367.92674475562848</v>
      </c>
      <c r="AE239" s="52"/>
      <c r="AF239" s="52"/>
      <c r="AG239" s="52"/>
      <c r="AH239" s="52"/>
      <c r="AI239" s="52"/>
      <c r="AJ239" s="52"/>
      <c r="AK239" s="52"/>
      <c r="AL239" s="52"/>
      <c r="AM239" s="52"/>
      <c r="AN239" s="52"/>
      <c r="AO239" s="52"/>
    </row>
    <row r="240" spans="1:41">
      <c r="A240" s="465"/>
      <c r="B240" s="52"/>
      <c r="C240" s="657"/>
      <c r="D240" s="657"/>
      <c r="E240" s="657"/>
      <c r="F240" s="482"/>
      <c r="G240" s="657"/>
      <c r="H240" s="657"/>
      <c r="I240" s="657"/>
      <c r="J240" s="657"/>
      <c r="K240" s="827"/>
      <c r="L240" s="370"/>
      <c r="M240" s="371"/>
      <c r="N240" s="371"/>
      <c r="O240" s="371"/>
      <c r="P240" s="371"/>
      <c r="Q240" s="371"/>
      <c r="R240" s="371"/>
      <c r="S240" s="370"/>
      <c r="T240" s="465"/>
      <c r="U240" s="52"/>
      <c r="V240" s="657"/>
      <c r="W240" s="657"/>
      <c r="X240" s="657"/>
      <c r="Y240" s="482"/>
      <c r="Z240" s="657"/>
      <c r="AA240" s="657"/>
      <c r="AB240" s="657"/>
      <c r="AC240" s="657"/>
      <c r="AD240" s="827"/>
      <c r="AE240" s="52"/>
      <c r="AF240" s="52"/>
      <c r="AG240" s="52"/>
      <c r="AH240" s="52"/>
      <c r="AI240" s="52"/>
      <c r="AJ240" s="52"/>
      <c r="AK240" s="52"/>
      <c r="AL240" s="52"/>
      <c r="AM240" s="52"/>
      <c r="AN240" s="52"/>
      <c r="AO240" s="52"/>
    </row>
    <row r="241" spans="1:41">
      <c r="A241" s="465" t="s">
        <v>359</v>
      </c>
      <c r="B241" s="52"/>
      <c r="C241" s="657">
        <f>C175 + B190-C190</f>
        <v>-108</v>
      </c>
      <c r="D241" s="657">
        <f>D175 + C190-D190</f>
        <v>-105</v>
      </c>
      <c r="E241" s="657">
        <f>E175 + D190-E190</f>
        <v>-36</v>
      </c>
      <c r="F241" s="482">
        <f>F175 + E190-F190</f>
        <v>-126</v>
      </c>
      <c r="G241" s="657">
        <f>G175+F190-G190</f>
        <v>-101.93086741299238</v>
      </c>
      <c r="H241" s="657">
        <f>H175+G190-H190</f>
        <v>-114.20862270879553</v>
      </c>
      <c r="I241" s="657">
        <f>I175+H190-I190</f>
        <v>-109.72322231947831</v>
      </c>
      <c r="J241" s="657">
        <f>J175+I190-J190</f>
        <v>-97.283036645083016</v>
      </c>
      <c r="K241" s="827">
        <f>K175+J190-K190</f>
        <v>-92.541909028653066</v>
      </c>
      <c r="L241" s="52"/>
      <c r="M241" s="1"/>
      <c r="N241" s="1"/>
      <c r="O241" s="1"/>
      <c r="P241" s="1"/>
      <c r="Q241" s="1"/>
      <c r="R241" s="1"/>
      <c r="S241" s="52"/>
      <c r="T241" s="465" t="s">
        <v>359</v>
      </c>
      <c r="U241" s="52"/>
      <c r="V241" s="657">
        <f>C241</f>
        <v>-108</v>
      </c>
      <c r="W241" s="657">
        <f t="shared" ref="W241:Y243" si="193">D241</f>
        <v>-105</v>
      </c>
      <c r="X241" s="657">
        <f t="shared" si="193"/>
        <v>-36</v>
      </c>
      <c r="Y241" s="482">
        <f t="shared" si="193"/>
        <v>-126</v>
      </c>
      <c r="Z241" s="657">
        <v>-107.83965773302464</v>
      </c>
      <c r="AA241" s="657">
        <v>-111.39857191207112</v>
      </c>
      <c r="AB241" s="657">
        <v>-115.07493704005491</v>
      </c>
      <c r="AC241" s="657">
        <v>-118.87262922207778</v>
      </c>
      <c r="AD241" s="827">
        <v>-122.88773525486037</v>
      </c>
      <c r="AE241" s="52"/>
      <c r="AF241" s="52"/>
      <c r="AG241" s="52"/>
      <c r="AH241" s="52"/>
      <c r="AI241" s="52"/>
      <c r="AJ241" s="52"/>
      <c r="AK241" s="52"/>
      <c r="AL241" s="52"/>
      <c r="AM241" s="52"/>
      <c r="AN241" s="52"/>
      <c r="AO241" s="52"/>
    </row>
    <row r="242" spans="1:41">
      <c r="A242" s="465" t="s">
        <v>360</v>
      </c>
      <c r="B242" s="52"/>
      <c r="C242" s="657">
        <f>B209-C209</f>
        <v>14</v>
      </c>
      <c r="D242" s="657">
        <f t="shared" ref="D242:F242" si="194">C209-D209</f>
        <v>143</v>
      </c>
      <c r="E242" s="657">
        <f t="shared" si="194"/>
        <v>-260</v>
      </c>
      <c r="F242" s="482">
        <f t="shared" si="194"/>
        <v>-67</v>
      </c>
      <c r="G242" s="657">
        <f>F209-G209</f>
        <v>240.43938114354978</v>
      </c>
      <c r="H242" s="657">
        <f t="shared" ref="H242:K242" si="195">G209-H209</f>
        <v>127.1048379736485</v>
      </c>
      <c r="I242" s="657">
        <f t="shared" si="195"/>
        <v>131.29953980782602</v>
      </c>
      <c r="J242" s="657">
        <f t="shared" si="195"/>
        <v>135.63267479496699</v>
      </c>
      <c r="K242" s="827">
        <f t="shared" si="195"/>
        <v>143.39750161679422</v>
      </c>
      <c r="L242" s="52"/>
      <c r="M242" s="1"/>
      <c r="N242" s="1"/>
      <c r="O242" s="1"/>
      <c r="P242" s="1"/>
      <c r="Q242" s="1"/>
      <c r="R242" s="1"/>
      <c r="S242" s="52"/>
      <c r="T242" s="465" t="s">
        <v>360</v>
      </c>
      <c r="U242" s="52"/>
      <c r="V242" s="657">
        <f t="shared" ref="V242:V243" si="196">C242</f>
        <v>14</v>
      </c>
      <c r="W242" s="657">
        <f t="shared" si="193"/>
        <v>143</v>
      </c>
      <c r="X242" s="657">
        <f t="shared" si="193"/>
        <v>-260</v>
      </c>
      <c r="Y242" s="482">
        <f t="shared" si="193"/>
        <v>-67</v>
      </c>
      <c r="Z242" s="657">
        <v>240.43938114354978</v>
      </c>
      <c r="AA242" s="657">
        <v>127.1048379736485</v>
      </c>
      <c r="AB242" s="657">
        <v>131.29953980782602</v>
      </c>
      <c r="AC242" s="657">
        <v>135.63267479496699</v>
      </c>
      <c r="AD242" s="827">
        <v>143.39750161679422</v>
      </c>
      <c r="AE242" s="52"/>
      <c r="AF242" s="52"/>
      <c r="AG242" s="52"/>
      <c r="AH242" s="52"/>
      <c r="AI242" s="52"/>
      <c r="AJ242" s="52"/>
      <c r="AK242" s="52"/>
      <c r="AL242" s="52"/>
      <c r="AM242" s="52"/>
      <c r="AN242" s="52"/>
      <c r="AO242" s="52"/>
    </row>
    <row r="243" spans="1:41">
      <c r="A243" s="659" t="s">
        <v>377</v>
      </c>
      <c r="B243" s="101"/>
      <c r="C243" s="469">
        <f>-C221</f>
        <v>39.814371257485028</v>
      </c>
      <c r="D243" s="469">
        <f t="shared" ref="D243:F243" si="197">-D221</f>
        <v>44.666666666666664</v>
      </c>
      <c r="E243" s="469">
        <f t="shared" si="197"/>
        <v>31.400000000000002</v>
      </c>
      <c r="F243" s="470">
        <f t="shared" si="197"/>
        <v>34.481927710843372</v>
      </c>
      <c r="G243" s="469">
        <f>-G221</f>
        <v>29.182808403670457</v>
      </c>
      <c r="H243" s="469">
        <f t="shared" ref="H243:K243" si="198">-H221</f>
        <v>32.729006390658689</v>
      </c>
      <c r="I243" s="469">
        <f t="shared" si="198"/>
        <v>31.331657671045356</v>
      </c>
      <c r="J243" s="469">
        <f t="shared" si="198"/>
        <v>27.647101108101289</v>
      </c>
      <c r="K243" s="829">
        <f t="shared" si="198"/>
        <v>26.233867677709359</v>
      </c>
      <c r="L243" s="52"/>
      <c r="M243" s="1"/>
      <c r="N243" s="1"/>
      <c r="O243" s="1"/>
      <c r="P243" s="1"/>
      <c r="Q243" s="1"/>
      <c r="R243" s="1"/>
      <c r="S243" s="52"/>
      <c r="T243" s="659" t="s">
        <v>377</v>
      </c>
      <c r="U243" s="376"/>
      <c r="V243" s="469">
        <f t="shared" si="196"/>
        <v>39.814371257485028</v>
      </c>
      <c r="W243" s="469">
        <f t="shared" si="193"/>
        <v>44.666666666666664</v>
      </c>
      <c r="X243" s="469">
        <f t="shared" si="193"/>
        <v>31.400000000000002</v>
      </c>
      <c r="Y243" s="470">
        <f t="shared" si="193"/>
        <v>34.481927710843372</v>
      </c>
      <c r="Z243" s="469">
        <v>30.84305335979348</v>
      </c>
      <c r="AA243" s="469">
        <v>31.84531150702696</v>
      </c>
      <c r="AB243" s="469">
        <v>32.876437878573547</v>
      </c>
      <c r="AC243" s="469">
        <v>33.93786850375642</v>
      </c>
      <c r="AD243" s="829">
        <v>35.05843441441592</v>
      </c>
      <c r="AE243" s="52"/>
      <c r="AF243" s="52"/>
      <c r="AG243" s="52"/>
      <c r="AH243" s="52"/>
      <c r="AI243" s="52"/>
      <c r="AJ243" s="52"/>
      <c r="AK243" s="52"/>
      <c r="AL243" s="52"/>
      <c r="AM243" s="52"/>
      <c r="AN243" s="52"/>
      <c r="AO243" s="52"/>
    </row>
    <row r="244" spans="1:41">
      <c r="A244" s="465" t="s">
        <v>361</v>
      </c>
      <c r="B244" s="52"/>
      <c r="C244" s="657">
        <f>C239+C241+C242+C243</f>
        <v>-22.000000000000021</v>
      </c>
      <c r="D244" s="657">
        <f t="shared" ref="D244:F244" si="199">D239+D241+D242+D243</f>
        <v>847.99999999999989</v>
      </c>
      <c r="E244" s="657">
        <f t="shared" si="199"/>
        <v>-232.99999999999997</v>
      </c>
      <c r="F244" s="482">
        <f t="shared" si="199"/>
        <v>71</v>
      </c>
      <c r="G244" s="657">
        <f>G239+G241+G242+G243</f>
        <v>338.99727419731397</v>
      </c>
      <c r="H244" s="657">
        <f t="shared" ref="H244:K244" si="200">H239+H241+H242+H243</f>
        <v>260.49876277192942</v>
      </c>
      <c r="I244" s="657">
        <f t="shared" si="200"/>
        <v>314.83645490232516</v>
      </c>
      <c r="J244" s="657">
        <f t="shared" si="200"/>
        <v>378.17013548423984</v>
      </c>
      <c r="K244" s="827">
        <f t="shared" si="200"/>
        <v>442.94549801629643</v>
      </c>
      <c r="L244" s="52"/>
      <c r="M244" s="1"/>
      <c r="N244" s="1"/>
      <c r="O244" s="1"/>
      <c r="P244" s="1"/>
      <c r="Q244" s="1"/>
      <c r="R244" s="1"/>
      <c r="S244" s="52"/>
      <c r="T244" s="465" t="s">
        <v>361</v>
      </c>
      <c r="U244" s="52"/>
      <c r="V244" s="657">
        <f>V239+V241+V242+V243</f>
        <v>-22.000000000000021</v>
      </c>
      <c r="W244" s="657">
        <f t="shared" ref="W244:Y244" si="201">W239+W241+W242+W243</f>
        <v>847.99999999999989</v>
      </c>
      <c r="X244" s="657">
        <f t="shared" si="201"/>
        <v>-232.99999999999997</v>
      </c>
      <c r="Y244" s="482">
        <f t="shared" si="201"/>
        <v>71</v>
      </c>
      <c r="Z244" s="657">
        <v>317.36373270597124</v>
      </c>
      <c r="AA244" s="657">
        <v>251.05073738659723</v>
      </c>
      <c r="AB244" s="657">
        <v>304.50249700167092</v>
      </c>
      <c r="AC244" s="657">
        <v>360.53906941444455</v>
      </c>
      <c r="AD244" s="827">
        <v>423.4949455319782</v>
      </c>
      <c r="AE244" s="52"/>
      <c r="AF244" s="52"/>
      <c r="AG244" s="52"/>
      <c r="AH244" s="52"/>
      <c r="AI244" s="52"/>
      <c r="AJ244" s="52"/>
      <c r="AK244" s="52"/>
      <c r="AL244" s="52"/>
      <c r="AM244" s="52"/>
      <c r="AN244" s="52"/>
      <c r="AO244" s="52"/>
    </row>
    <row r="245" spans="1:41">
      <c r="A245" s="465"/>
      <c r="B245" s="52"/>
      <c r="C245" s="657"/>
      <c r="D245" s="657"/>
      <c r="E245" s="657"/>
      <c r="F245" s="482"/>
      <c r="G245" s="657"/>
      <c r="H245" s="657"/>
      <c r="I245" s="657"/>
      <c r="J245" s="657"/>
      <c r="K245" s="827"/>
      <c r="L245" s="52"/>
      <c r="M245" s="1"/>
      <c r="N245" s="1"/>
      <c r="O245" s="1"/>
      <c r="P245" s="1"/>
      <c r="Q245" s="1"/>
      <c r="R245" s="1"/>
      <c r="S245" s="52"/>
      <c r="T245" s="465"/>
      <c r="U245" s="52"/>
      <c r="V245" s="657"/>
      <c r="W245" s="657"/>
      <c r="X245" s="657"/>
      <c r="Y245" s="482"/>
      <c r="Z245" s="657"/>
      <c r="AA245" s="657"/>
      <c r="AB245" s="657"/>
      <c r="AC245" s="657"/>
      <c r="AD245" s="827"/>
      <c r="AE245" s="52"/>
      <c r="AF245" s="52"/>
      <c r="AG245" s="52"/>
      <c r="AH245" s="52"/>
      <c r="AI245" s="52"/>
      <c r="AJ245" s="52"/>
      <c r="AK245" s="52"/>
      <c r="AL245" s="52"/>
      <c r="AM245" s="52"/>
      <c r="AN245" s="52"/>
      <c r="AO245" s="52"/>
    </row>
    <row r="246" spans="1:41">
      <c r="A246" s="465" t="s">
        <v>363</v>
      </c>
      <c r="B246" s="52"/>
      <c r="C246" s="657">
        <f t="shared" ref="C246:K246" si="202">B207-C207-C181</f>
        <v>-212</v>
      </c>
      <c r="D246" s="657">
        <f t="shared" si="202"/>
        <v>-559</v>
      </c>
      <c r="E246" s="657">
        <f t="shared" si="202"/>
        <v>166</v>
      </c>
      <c r="F246" s="482">
        <f t="shared" si="202"/>
        <v>-261</v>
      </c>
      <c r="G246" s="657">
        <f t="shared" si="202"/>
        <v>-248.73470848000005</v>
      </c>
      <c r="H246" s="657">
        <f t="shared" si="202"/>
        <v>-261.17144390399994</v>
      </c>
      <c r="I246" s="657">
        <f t="shared" si="202"/>
        <v>-274.23001609920021</v>
      </c>
      <c r="J246" s="657">
        <f t="shared" si="202"/>
        <v>-287.94151690416049</v>
      </c>
      <c r="K246" s="827">
        <f t="shared" si="202"/>
        <v>-302.33859274936822</v>
      </c>
      <c r="L246" s="52"/>
      <c r="M246" s="1"/>
      <c r="N246" s="1"/>
      <c r="O246" s="1"/>
      <c r="P246" s="1"/>
      <c r="Q246" s="1"/>
      <c r="R246" s="1"/>
      <c r="S246" s="52"/>
      <c r="T246" s="465" t="s">
        <v>363</v>
      </c>
      <c r="U246" s="52"/>
      <c r="V246" s="657">
        <f>C246</f>
        <v>-212</v>
      </c>
      <c r="W246" s="657">
        <f t="shared" ref="W246:Y247" si="203">D246</f>
        <v>-559</v>
      </c>
      <c r="X246" s="657">
        <f t="shared" si="203"/>
        <v>166</v>
      </c>
      <c r="Y246" s="482">
        <f t="shared" si="203"/>
        <v>-261</v>
      </c>
      <c r="Z246" s="657">
        <v>-288.13791578326789</v>
      </c>
      <c r="AA246" s="657">
        <v>-292.91389758427425</v>
      </c>
      <c r="AB246" s="657">
        <v>-286.23314460699834</v>
      </c>
      <c r="AC246" s="657">
        <v>-274.82937854273388</v>
      </c>
      <c r="AD246" s="827">
        <v>-270.27219398333932</v>
      </c>
      <c r="AE246" s="52"/>
      <c r="AF246" s="52"/>
      <c r="AG246" s="52"/>
      <c r="AH246" s="52"/>
      <c r="AI246" s="52"/>
      <c r="AJ246" s="52"/>
      <c r="AK246" s="52"/>
      <c r="AL246" s="52"/>
      <c r="AM246" s="52"/>
      <c r="AN246" s="52"/>
      <c r="AO246" s="52"/>
    </row>
    <row r="247" spans="1:41" ht="15" thickBot="1">
      <c r="A247" s="661" t="s">
        <v>364</v>
      </c>
      <c r="B247" s="379"/>
      <c r="C247" s="814">
        <f>C244+C246</f>
        <v>-234.00000000000003</v>
      </c>
      <c r="D247" s="814">
        <f>D244+D246</f>
        <v>288.99999999999989</v>
      </c>
      <c r="E247" s="814">
        <f>E244+E246</f>
        <v>-66.999999999999972</v>
      </c>
      <c r="F247" s="815">
        <f>F244+F246</f>
        <v>-190</v>
      </c>
      <c r="G247" s="814">
        <f>G244+G246</f>
        <v>90.262565717313919</v>
      </c>
      <c r="H247" s="814">
        <f t="shared" ref="H247:K247" si="204">H244+H246</f>
        <v>-0.67268113207052238</v>
      </c>
      <c r="I247" s="814">
        <f t="shared" si="204"/>
        <v>40.606438803124945</v>
      </c>
      <c r="J247" s="814">
        <f t="shared" si="204"/>
        <v>90.228618580079342</v>
      </c>
      <c r="K247" s="824">
        <f t="shared" si="204"/>
        <v>140.60690526692821</v>
      </c>
      <c r="L247" s="52"/>
      <c r="M247" s="1"/>
      <c r="N247" s="1"/>
      <c r="O247" s="1"/>
      <c r="P247" s="1"/>
      <c r="Q247" s="1"/>
      <c r="R247" s="1"/>
      <c r="S247" s="52"/>
      <c r="T247" s="661" t="s">
        <v>364</v>
      </c>
      <c r="U247" s="379"/>
      <c r="V247" s="814">
        <f>C247</f>
        <v>-234.00000000000003</v>
      </c>
      <c r="W247" s="814">
        <f t="shared" si="203"/>
        <v>288.99999999999989</v>
      </c>
      <c r="X247" s="814">
        <f t="shared" si="203"/>
        <v>-66.999999999999972</v>
      </c>
      <c r="Y247" s="815">
        <f t="shared" si="203"/>
        <v>-190</v>
      </c>
      <c r="Z247" s="814">
        <v>29.225816922703359</v>
      </c>
      <c r="AA247" s="814">
        <v>-41.863160197677018</v>
      </c>
      <c r="AB247" s="814">
        <v>18.26935239467258</v>
      </c>
      <c r="AC247" s="814">
        <v>85.709690871710677</v>
      </c>
      <c r="AD247" s="824">
        <v>153.22275154863888</v>
      </c>
      <c r="AE247" s="52"/>
      <c r="AF247" s="52"/>
      <c r="AG247" s="52"/>
      <c r="AH247" s="52"/>
      <c r="AI247" s="52"/>
      <c r="AJ247" s="52"/>
      <c r="AK247" s="52"/>
      <c r="AL247" s="52"/>
      <c r="AM247" s="52"/>
      <c r="AN247" s="52"/>
      <c r="AO247" s="52"/>
    </row>
    <row r="248" spans="1:41">
      <c r="A248" s="1"/>
      <c r="B248" s="1"/>
      <c r="C248" s="481"/>
      <c r="D248" s="481"/>
      <c r="E248" s="481"/>
      <c r="F248" s="481"/>
      <c r="G248" s="481"/>
      <c r="H248" s="481"/>
      <c r="I248" s="481"/>
      <c r="J248" s="481"/>
      <c r="K248" s="481"/>
      <c r="L248" s="52"/>
      <c r="M248" s="1"/>
      <c r="N248" s="1"/>
      <c r="O248" s="1"/>
      <c r="P248" s="1"/>
      <c r="Q248" s="1"/>
      <c r="R248" s="1"/>
      <c r="S248" s="52"/>
      <c r="T248" s="52"/>
      <c r="U248" s="52"/>
      <c r="V248" s="52"/>
      <c r="W248" s="52"/>
      <c r="X248" s="52"/>
      <c r="Y248" s="52"/>
      <c r="Z248" s="52"/>
      <c r="AA248" s="52"/>
      <c r="AB248" s="52"/>
      <c r="AC248" s="52"/>
      <c r="AD248" s="52"/>
      <c r="AE248" s="52"/>
      <c r="AF248" s="52"/>
      <c r="AG248" s="52"/>
      <c r="AH248" s="52"/>
      <c r="AI248" s="52"/>
      <c r="AJ248" s="52"/>
      <c r="AK248" s="52"/>
      <c r="AL248" s="52"/>
      <c r="AM248" s="52"/>
      <c r="AN248" s="52"/>
      <c r="AO248" s="52"/>
    </row>
    <row r="249" spans="1:41">
      <c r="A249" s="1"/>
      <c r="B249" s="1"/>
      <c r="C249" s="481"/>
      <c r="D249" s="481"/>
      <c r="E249" s="481"/>
      <c r="F249" s="481"/>
      <c r="G249" s="481"/>
      <c r="H249" s="481"/>
      <c r="I249" s="481"/>
      <c r="J249" s="481"/>
      <c r="K249" s="481"/>
      <c r="L249" s="52"/>
      <c r="M249" s="1"/>
      <c r="N249" s="1"/>
      <c r="O249" s="1"/>
      <c r="P249" s="1"/>
      <c r="Q249" s="1"/>
      <c r="R249" s="1"/>
      <c r="S249" s="52"/>
      <c r="T249" s="52"/>
      <c r="U249" s="52"/>
      <c r="V249" s="52"/>
      <c r="W249" s="52"/>
      <c r="X249" s="52"/>
      <c r="Y249" s="52"/>
      <c r="Z249" s="52"/>
      <c r="AA249" s="52"/>
      <c r="AB249" s="52"/>
      <c r="AC249" s="52"/>
      <c r="AD249" s="52"/>
      <c r="AE249" s="52"/>
      <c r="AF249" s="52"/>
      <c r="AG249" s="52"/>
      <c r="AH249" s="52"/>
      <c r="AI249" s="52"/>
      <c r="AJ249" s="52"/>
      <c r="AK249" s="52"/>
      <c r="AL249" s="52"/>
      <c r="AM249" s="52"/>
      <c r="AN249" s="52"/>
      <c r="AO249" s="52"/>
    </row>
    <row r="250" spans="1:41">
      <c r="A250" s="1"/>
      <c r="B250" s="1"/>
      <c r="C250" s="481"/>
      <c r="D250" s="481"/>
      <c r="E250" s="481"/>
      <c r="F250" s="481"/>
      <c r="G250" s="481"/>
      <c r="H250" s="481"/>
      <c r="I250" s="481"/>
      <c r="J250" s="481"/>
      <c r="K250" s="481"/>
      <c r="L250" s="52"/>
      <c r="M250" s="1"/>
      <c r="N250" s="1"/>
      <c r="O250" s="1"/>
      <c r="P250" s="1"/>
      <c r="Q250" s="1"/>
      <c r="R250" s="1"/>
      <c r="S250" s="52"/>
      <c r="T250" s="52"/>
      <c r="U250" s="52"/>
      <c r="V250" s="52"/>
      <c r="W250" s="52"/>
      <c r="X250" s="52"/>
      <c r="Y250" s="52"/>
      <c r="Z250" s="52"/>
      <c r="AA250" s="52"/>
      <c r="AB250" s="52"/>
      <c r="AC250" s="52"/>
      <c r="AD250" s="52"/>
      <c r="AE250" s="52"/>
      <c r="AF250" s="52"/>
      <c r="AG250" s="52"/>
      <c r="AH250" s="52"/>
      <c r="AI250" s="52"/>
      <c r="AJ250" s="52"/>
      <c r="AK250" s="52"/>
      <c r="AL250" s="52"/>
      <c r="AM250" s="52"/>
      <c r="AN250" s="52"/>
      <c r="AO250" s="52"/>
    </row>
    <row r="251" spans="1:41">
      <c r="A251" s="775" t="s">
        <v>758</v>
      </c>
      <c r="B251" s="103"/>
      <c r="C251" s="825">
        <v>636</v>
      </c>
      <c r="D251" s="825">
        <v>402</v>
      </c>
      <c r="E251" s="825">
        <v>691</v>
      </c>
      <c r="F251" s="822">
        <v>624</v>
      </c>
      <c r="G251" s="825">
        <v>434</v>
      </c>
      <c r="H251" s="825">
        <f>G252</f>
        <v>524.26256571731392</v>
      </c>
      <c r="I251" s="825">
        <f>H252</f>
        <v>523.58988458524345</v>
      </c>
      <c r="J251" s="825">
        <f>I252</f>
        <v>564.19632338836846</v>
      </c>
      <c r="K251" s="822">
        <f>J252</f>
        <v>654.4249419684478</v>
      </c>
      <c r="L251" s="52"/>
      <c r="M251" s="1"/>
      <c r="N251" s="1"/>
      <c r="O251" s="1"/>
      <c r="P251" s="1"/>
      <c r="Q251" s="1"/>
      <c r="R251" s="1"/>
      <c r="S251" s="52"/>
      <c r="T251" s="52"/>
      <c r="U251" s="52"/>
      <c r="V251" s="52"/>
      <c r="W251" s="52"/>
      <c r="X251" s="52"/>
      <c r="Y251" s="52"/>
      <c r="Z251" s="52"/>
      <c r="AA251" s="52"/>
      <c r="AB251" s="52"/>
      <c r="AC251" s="52"/>
      <c r="AD251" s="52"/>
      <c r="AE251" s="52"/>
      <c r="AF251" s="52"/>
      <c r="AG251" s="52"/>
      <c r="AH251" s="52"/>
      <c r="AI251" s="52"/>
      <c r="AJ251" s="52"/>
      <c r="AK251" s="52"/>
      <c r="AL251" s="52"/>
      <c r="AM251" s="52"/>
      <c r="AN251" s="52"/>
      <c r="AO251" s="52"/>
    </row>
    <row r="252" spans="1:41">
      <c r="A252" s="96" t="s">
        <v>759</v>
      </c>
      <c r="B252" s="101"/>
      <c r="C252" s="469">
        <v>402</v>
      </c>
      <c r="D252" s="469">
        <v>690.99999999999989</v>
      </c>
      <c r="E252" s="469">
        <v>624</v>
      </c>
      <c r="F252" s="470">
        <v>434</v>
      </c>
      <c r="G252" s="469">
        <f>G247+G251</f>
        <v>524.26256571731392</v>
      </c>
      <c r="H252" s="469">
        <f>H247+H251</f>
        <v>523.58988458524345</v>
      </c>
      <c r="I252" s="469">
        <f>I247+I251</f>
        <v>564.19632338836846</v>
      </c>
      <c r="J252" s="469">
        <f>J247+J251</f>
        <v>654.4249419684478</v>
      </c>
      <c r="K252" s="470">
        <f>K247+K251</f>
        <v>795.03184723537606</v>
      </c>
      <c r="L252" s="52"/>
      <c r="M252" s="1"/>
      <c r="N252" s="1"/>
      <c r="O252" s="1"/>
      <c r="P252" s="1"/>
      <c r="Q252" s="1"/>
      <c r="R252" s="1"/>
      <c r="S252" s="52"/>
      <c r="T252" s="52"/>
      <c r="U252" s="52"/>
      <c r="V252" s="52"/>
      <c r="W252" s="52"/>
      <c r="X252" s="52"/>
      <c r="Y252" s="52"/>
      <c r="Z252" s="52"/>
      <c r="AA252" s="52"/>
      <c r="AB252" s="52"/>
      <c r="AC252" s="52"/>
      <c r="AD252" s="52"/>
      <c r="AE252" s="52"/>
      <c r="AF252" s="52"/>
      <c r="AG252" s="52"/>
      <c r="AH252" s="52"/>
      <c r="AI252" s="52"/>
      <c r="AJ252" s="52"/>
      <c r="AK252" s="52"/>
      <c r="AL252" s="52"/>
      <c r="AM252" s="52"/>
      <c r="AN252" s="52"/>
      <c r="AO252" s="52"/>
    </row>
    <row r="253" spans="1:41">
      <c r="A253" s="1"/>
      <c r="B253" s="1"/>
      <c r="C253" s="1"/>
      <c r="D253" s="1"/>
      <c r="E253" s="1"/>
      <c r="F253" s="1"/>
      <c r="G253" s="1"/>
      <c r="H253" s="1"/>
      <c r="I253" s="1"/>
      <c r="J253" s="1"/>
      <c r="K253" s="1"/>
      <c r="L253" s="1"/>
      <c r="M253" s="1"/>
      <c r="N253" s="1"/>
      <c r="O253" s="1"/>
      <c r="P253" s="1"/>
      <c r="Q253" s="1"/>
      <c r="R253" s="1"/>
      <c r="S253" s="52"/>
      <c r="T253" s="52"/>
      <c r="U253" s="52"/>
      <c r="V253" s="52"/>
      <c r="W253" s="52"/>
      <c r="X253" s="52"/>
      <c r="Y253" s="52"/>
      <c r="Z253" s="52"/>
      <c r="AA253" s="52"/>
      <c r="AB253" s="52"/>
      <c r="AC253" s="52"/>
      <c r="AD253" s="52"/>
      <c r="AE253" s="52"/>
      <c r="AF253" s="52"/>
      <c r="AG253" s="52"/>
      <c r="AH253" s="52"/>
      <c r="AI253" s="52"/>
      <c r="AJ253" s="52"/>
      <c r="AK253" s="52"/>
      <c r="AL253" s="52"/>
      <c r="AM253" s="52"/>
      <c r="AN253" s="52"/>
      <c r="AO253" s="52"/>
    </row>
    <row r="254" spans="1:41">
      <c r="A254" s="1"/>
      <c r="B254" s="1"/>
      <c r="C254" s="1"/>
      <c r="D254" s="1"/>
      <c r="E254" s="1"/>
      <c r="F254" s="1"/>
      <c r="G254" s="1"/>
      <c r="H254" s="1"/>
      <c r="I254" s="1"/>
      <c r="J254" s="1"/>
      <c r="K254" s="1"/>
      <c r="L254" s="1"/>
      <c r="M254" s="1"/>
      <c r="N254" s="1"/>
      <c r="O254" s="1"/>
      <c r="P254" s="1"/>
      <c r="Q254" s="1"/>
      <c r="R254" s="1"/>
      <c r="S254" s="52"/>
      <c r="T254" s="52"/>
      <c r="U254" s="52"/>
      <c r="V254" s="52"/>
      <c r="W254" s="52"/>
      <c r="X254" s="52"/>
      <c r="Y254" s="52"/>
      <c r="Z254" s="52"/>
      <c r="AA254" s="52"/>
      <c r="AB254" s="52"/>
      <c r="AC254" s="52"/>
      <c r="AD254" s="52"/>
      <c r="AE254" s="52"/>
      <c r="AF254" s="52"/>
      <c r="AG254" s="52"/>
      <c r="AH254" s="52"/>
      <c r="AI254" s="52"/>
      <c r="AJ254" s="52"/>
      <c r="AK254" s="52"/>
      <c r="AL254" s="52"/>
      <c r="AM254" s="52"/>
      <c r="AN254" s="52"/>
      <c r="AO254" s="52"/>
    </row>
    <row r="255" spans="1:41">
      <c r="A255" s="1"/>
      <c r="B255" s="1"/>
      <c r="C255" s="1"/>
      <c r="D255" s="1"/>
      <c r="E255" s="1"/>
      <c r="F255" s="1"/>
      <c r="G255" s="1"/>
      <c r="H255" s="1"/>
      <c r="I255" s="1"/>
      <c r="J255" s="1"/>
      <c r="K255" s="1"/>
      <c r="L255" s="1"/>
      <c r="M255" s="1"/>
      <c r="N255" s="1"/>
      <c r="O255" s="1"/>
      <c r="P255" s="1"/>
      <c r="Q255" s="1"/>
      <c r="R255" s="1"/>
      <c r="S255" s="52"/>
      <c r="T255" s="52"/>
      <c r="U255" s="52"/>
      <c r="V255" s="52"/>
      <c r="W255" s="52"/>
      <c r="X255" s="52"/>
      <c r="Y255" s="52"/>
      <c r="Z255" s="52"/>
      <c r="AA255" s="52"/>
      <c r="AB255" s="52"/>
      <c r="AC255" s="52"/>
      <c r="AD255" s="52"/>
      <c r="AE255" s="52"/>
      <c r="AF255" s="52"/>
      <c r="AG255" s="52"/>
      <c r="AH255" s="52"/>
      <c r="AI255" s="52"/>
      <c r="AJ255" s="52"/>
      <c r="AK255" s="52"/>
      <c r="AL255" s="52"/>
      <c r="AM255" s="52"/>
      <c r="AN255" s="52"/>
      <c r="AO255" s="52"/>
    </row>
    <row r="256" spans="1:41">
      <c r="A256" s="1"/>
      <c r="B256" s="1"/>
      <c r="C256" s="1"/>
      <c r="D256" s="1"/>
      <c r="E256" s="1"/>
      <c r="F256" s="1"/>
      <c r="G256" s="1"/>
      <c r="H256" s="1"/>
      <c r="I256" s="1"/>
      <c r="J256" s="1"/>
      <c r="K256" s="1"/>
      <c r="L256" s="1"/>
      <c r="M256" s="1"/>
      <c r="N256" s="1"/>
      <c r="O256" s="1"/>
      <c r="P256" s="1"/>
      <c r="Q256" s="1"/>
      <c r="R256" s="1"/>
      <c r="S256" s="52"/>
      <c r="T256" s="52"/>
      <c r="U256" s="52"/>
      <c r="V256" s="52"/>
      <c r="W256" s="52"/>
      <c r="X256" s="52"/>
      <c r="Y256" s="52"/>
      <c r="Z256" s="52"/>
      <c r="AA256" s="52"/>
      <c r="AB256" s="52"/>
      <c r="AC256" s="52"/>
      <c r="AD256" s="52"/>
      <c r="AE256" s="52"/>
      <c r="AF256" s="52"/>
      <c r="AG256" s="52"/>
      <c r="AH256" s="52"/>
      <c r="AI256" s="52"/>
      <c r="AJ256" s="52"/>
      <c r="AK256" s="52"/>
      <c r="AL256" s="52"/>
      <c r="AM256" s="52"/>
      <c r="AN256" s="52"/>
      <c r="AO256" s="52"/>
    </row>
    <row r="257" spans="1:41">
      <c r="A257" s="1"/>
      <c r="B257" s="1"/>
      <c r="C257" s="1"/>
      <c r="D257" s="1"/>
      <c r="E257" s="1"/>
      <c r="F257" s="1"/>
      <c r="G257" s="1"/>
      <c r="H257" s="1"/>
      <c r="I257" s="1"/>
      <c r="J257" s="1"/>
      <c r="K257" s="1"/>
      <c r="L257" s="1"/>
      <c r="M257" s="1"/>
      <c r="N257" s="1"/>
      <c r="O257" s="1"/>
      <c r="P257" s="1"/>
      <c r="Q257" s="1"/>
      <c r="R257" s="1"/>
      <c r="S257" s="52"/>
      <c r="T257" s="52"/>
      <c r="U257" s="52"/>
      <c r="V257" s="52"/>
      <c r="W257" s="52"/>
      <c r="X257" s="52"/>
      <c r="Y257" s="52"/>
      <c r="Z257" s="52"/>
      <c r="AA257" s="52"/>
      <c r="AB257" s="52"/>
      <c r="AC257" s="52"/>
      <c r="AD257" s="52"/>
      <c r="AE257" s="52"/>
      <c r="AF257" s="52"/>
      <c r="AG257" s="52"/>
      <c r="AH257" s="52"/>
      <c r="AI257" s="52"/>
      <c r="AJ257" s="52"/>
      <c r="AK257" s="52"/>
      <c r="AL257" s="52"/>
      <c r="AM257" s="52"/>
      <c r="AN257" s="52"/>
      <c r="AO257" s="52"/>
    </row>
    <row r="258" spans="1:41">
      <c r="A258" s="1"/>
      <c r="B258" s="1"/>
      <c r="C258" s="1"/>
      <c r="D258" s="1"/>
      <c r="E258" s="1"/>
      <c r="F258" s="1"/>
      <c r="G258" s="1"/>
      <c r="H258" s="1"/>
      <c r="I258" s="1"/>
      <c r="J258" s="1"/>
      <c r="K258" s="1"/>
      <c r="L258" s="1"/>
      <c r="M258" s="1"/>
      <c r="N258" s="1"/>
      <c r="O258" s="1"/>
      <c r="P258" s="1"/>
      <c r="Q258" s="1"/>
      <c r="R258" s="1"/>
      <c r="S258" s="52"/>
      <c r="T258" s="52"/>
      <c r="U258" s="52"/>
      <c r="V258" s="52"/>
      <c r="W258" s="52"/>
      <c r="X258" s="52"/>
      <c r="Y258" s="52"/>
      <c r="Z258" s="52"/>
      <c r="AA258" s="52"/>
      <c r="AB258" s="52"/>
      <c r="AC258" s="52"/>
      <c r="AD258" s="52"/>
      <c r="AE258" s="52"/>
      <c r="AF258" s="52"/>
      <c r="AG258" s="52"/>
      <c r="AH258" s="52"/>
      <c r="AI258" s="52"/>
      <c r="AJ258" s="52"/>
      <c r="AK258" s="52"/>
      <c r="AL258" s="52"/>
      <c r="AM258" s="52"/>
      <c r="AN258" s="52"/>
      <c r="AO258" s="52"/>
    </row>
    <row r="259" spans="1:41">
      <c r="A259" s="1"/>
      <c r="B259" s="1"/>
      <c r="C259" s="1"/>
      <c r="D259" s="1"/>
      <c r="E259" s="1"/>
      <c r="F259" s="1"/>
      <c r="G259" s="1"/>
      <c r="H259" s="1"/>
      <c r="I259" s="1"/>
      <c r="J259" s="1"/>
      <c r="K259" s="1"/>
      <c r="L259" s="1"/>
      <c r="M259" s="1"/>
      <c r="N259" s="1"/>
      <c r="O259" s="1"/>
      <c r="P259" s="1"/>
      <c r="Q259" s="1"/>
      <c r="R259" s="1"/>
      <c r="S259" s="52"/>
      <c r="T259" s="52"/>
      <c r="U259" s="52"/>
      <c r="V259" s="52"/>
      <c r="W259" s="52"/>
      <c r="X259" s="52"/>
      <c r="Y259" s="52"/>
      <c r="Z259" s="52"/>
      <c r="AA259" s="52"/>
      <c r="AB259" s="52"/>
      <c r="AC259" s="52"/>
      <c r="AD259" s="52"/>
      <c r="AE259" s="52"/>
      <c r="AF259" s="52"/>
      <c r="AG259" s="52"/>
      <c r="AH259" s="52"/>
      <c r="AI259" s="52"/>
      <c r="AJ259" s="52"/>
      <c r="AK259" s="52"/>
      <c r="AL259" s="52"/>
      <c r="AM259" s="52"/>
      <c r="AN259" s="52"/>
      <c r="AO259" s="52"/>
    </row>
    <row r="260" spans="1:41">
      <c r="A260" s="1"/>
      <c r="B260" s="1"/>
      <c r="C260" s="1"/>
      <c r="D260" s="1"/>
      <c r="E260" s="1"/>
      <c r="F260" s="1"/>
      <c r="G260" s="1"/>
      <c r="H260" s="1"/>
      <c r="I260" s="1"/>
      <c r="J260" s="1"/>
      <c r="K260" s="1"/>
      <c r="L260" s="1"/>
      <c r="M260" s="1"/>
      <c r="N260" s="1"/>
      <c r="O260" s="1"/>
      <c r="P260" s="1"/>
      <c r="Q260" s="1"/>
      <c r="R260" s="1"/>
      <c r="S260" s="52"/>
      <c r="T260" s="52"/>
      <c r="U260" s="52"/>
      <c r="V260" s="52"/>
      <c r="W260" s="52"/>
      <c r="X260" s="52"/>
      <c r="Y260" s="52"/>
      <c r="Z260" s="52"/>
      <c r="AA260" s="52"/>
      <c r="AB260" s="52"/>
      <c r="AC260" s="52"/>
      <c r="AD260" s="52"/>
      <c r="AE260" s="52"/>
      <c r="AF260" s="52"/>
      <c r="AG260" s="52"/>
      <c r="AH260" s="52"/>
      <c r="AI260" s="52"/>
      <c r="AJ260" s="52"/>
      <c r="AK260" s="52"/>
      <c r="AL260" s="52"/>
      <c r="AM260" s="52"/>
      <c r="AN260" s="52"/>
      <c r="AO260" s="52"/>
    </row>
    <row r="261" spans="1:41">
      <c r="A261" s="1"/>
      <c r="B261" s="1"/>
      <c r="C261" s="1"/>
      <c r="D261" s="1"/>
      <c r="E261" s="1"/>
      <c r="F261" s="1"/>
      <c r="G261" s="1"/>
      <c r="H261" s="1"/>
      <c r="I261" s="1"/>
      <c r="J261" s="1"/>
      <c r="K261" s="1"/>
      <c r="L261" s="1"/>
      <c r="M261" s="1"/>
      <c r="N261" s="1"/>
      <c r="O261" s="1"/>
      <c r="P261" s="1"/>
      <c r="Q261" s="1"/>
      <c r="R261" s="1"/>
      <c r="S261" s="52"/>
      <c r="T261" s="52"/>
      <c r="U261" s="52"/>
      <c r="V261" s="52"/>
      <c r="W261" s="52"/>
      <c r="X261" s="52"/>
      <c r="Y261" s="52"/>
      <c r="Z261" s="52"/>
      <c r="AA261" s="52"/>
      <c r="AB261" s="52"/>
      <c r="AC261" s="52"/>
      <c r="AD261" s="52"/>
      <c r="AE261" s="52"/>
      <c r="AF261" s="52"/>
      <c r="AG261" s="52"/>
      <c r="AH261" s="52"/>
      <c r="AI261" s="52"/>
      <c r="AJ261" s="52"/>
      <c r="AK261" s="52"/>
      <c r="AL261" s="52"/>
      <c r="AM261" s="52"/>
      <c r="AN261" s="52"/>
      <c r="AO261" s="52"/>
    </row>
    <row r="262" spans="1:41">
      <c r="A262" s="1"/>
      <c r="B262" s="1"/>
      <c r="C262" s="1"/>
      <c r="D262" s="1"/>
      <c r="E262" s="1"/>
      <c r="F262" s="1"/>
      <c r="G262" s="1"/>
      <c r="H262" s="1"/>
      <c r="I262" s="1"/>
      <c r="J262" s="1"/>
      <c r="K262" s="1"/>
      <c r="L262" s="1"/>
      <c r="M262" s="1"/>
      <c r="N262" s="1"/>
      <c r="O262" s="1"/>
      <c r="P262" s="1"/>
      <c r="Q262" s="1"/>
      <c r="R262" s="1"/>
      <c r="S262" s="52"/>
      <c r="T262" s="52"/>
      <c r="U262" s="52"/>
      <c r="V262" s="52"/>
      <c r="W262" s="52"/>
      <c r="X262" s="52"/>
      <c r="Y262" s="52"/>
      <c r="Z262" s="52"/>
      <c r="AA262" s="52"/>
      <c r="AB262" s="52"/>
      <c r="AC262" s="52"/>
      <c r="AD262" s="52"/>
      <c r="AE262" s="52"/>
      <c r="AF262" s="52"/>
      <c r="AG262" s="52"/>
      <c r="AH262" s="52"/>
      <c r="AI262" s="52"/>
      <c r="AJ262" s="52"/>
      <c r="AK262" s="52"/>
      <c r="AL262" s="52"/>
      <c r="AM262" s="52"/>
      <c r="AN262" s="52"/>
      <c r="AO262" s="52"/>
    </row>
    <row r="263" spans="1:41">
      <c r="A263" s="1"/>
      <c r="B263" s="1"/>
      <c r="C263" s="1"/>
      <c r="D263" s="1"/>
      <c r="E263" s="1"/>
      <c r="F263" s="1"/>
      <c r="G263" s="1"/>
      <c r="H263" s="1"/>
      <c r="I263" s="1"/>
      <c r="J263" s="1"/>
      <c r="K263" s="1"/>
      <c r="L263" s="1"/>
      <c r="M263" s="1"/>
      <c r="N263" s="1"/>
      <c r="O263" s="1"/>
      <c r="P263" s="1"/>
      <c r="Q263" s="1"/>
      <c r="R263" s="1"/>
      <c r="S263" s="52"/>
      <c r="T263" s="52"/>
      <c r="U263" s="52"/>
      <c r="V263" s="52"/>
      <c r="W263" s="52"/>
      <c r="X263" s="52"/>
      <c r="Y263" s="52"/>
      <c r="Z263" s="52"/>
      <c r="AA263" s="52"/>
      <c r="AB263" s="52"/>
      <c r="AC263" s="52"/>
      <c r="AD263" s="52"/>
      <c r="AE263" s="52"/>
      <c r="AF263" s="52"/>
      <c r="AG263" s="52"/>
      <c r="AH263" s="52"/>
      <c r="AI263" s="52"/>
      <c r="AJ263" s="52"/>
      <c r="AK263" s="52"/>
      <c r="AL263" s="52"/>
      <c r="AM263" s="52"/>
      <c r="AN263" s="52"/>
      <c r="AO263" s="52"/>
    </row>
    <row r="264" spans="1:41">
      <c r="A264" s="1"/>
      <c r="B264" s="1"/>
      <c r="C264" s="1"/>
      <c r="D264" s="1"/>
      <c r="E264" s="1"/>
      <c r="F264" s="1"/>
      <c r="G264" s="1"/>
      <c r="H264" s="1"/>
      <c r="I264" s="1"/>
      <c r="J264" s="1"/>
      <c r="K264" s="1"/>
      <c r="L264" s="1"/>
      <c r="M264" s="1"/>
      <c r="N264" s="1"/>
      <c r="O264" s="1"/>
      <c r="P264" s="1"/>
      <c r="Q264" s="1"/>
      <c r="R264" s="1"/>
      <c r="S264" s="52"/>
      <c r="T264" s="52"/>
      <c r="U264" s="52"/>
      <c r="V264" s="52"/>
      <c r="W264" s="52"/>
      <c r="X264" s="52"/>
      <c r="Y264" s="52"/>
      <c r="Z264" s="52"/>
      <c r="AA264" s="52"/>
      <c r="AB264" s="52"/>
      <c r="AC264" s="52"/>
      <c r="AD264" s="52"/>
      <c r="AE264" s="52"/>
      <c r="AF264" s="52"/>
      <c r="AG264" s="52"/>
      <c r="AH264" s="52"/>
      <c r="AI264" s="52"/>
      <c r="AJ264" s="52"/>
      <c r="AK264" s="52"/>
      <c r="AL264" s="52"/>
      <c r="AM264" s="52"/>
      <c r="AN264" s="52"/>
      <c r="AO264" s="52"/>
    </row>
    <row r="265" spans="1:41">
      <c r="A265" s="1"/>
      <c r="B265" s="1"/>
      <c r="C265" s="1"/>
      <c r="D265" s="1"/>
      <c r="E265" s="1"/>
      <c r="F265" s="1"/>
      <c r="G265" s="1"/>
      <c r="H265" s="1"/>
      <c r="I265" s="1"/>
      <c r="J265" s="1"/>
      <c r="K265" s="1"/>
      <c r="L265" s="1"/>
      <c r="M265" s="1"/>
      <c r="N265" s="1"/>
      <c r="O265" s="1"/>
      <c r="P265" s="1"/>
      <c r="Q265" s="1"/>
      <c r="R265" s="1"/>
      <c r="S265" s="52"/>
      <c r="T265" s="52"/>
      <c r="U265" s="52"/>
      <c r="V265" s="52"/>
      <c r="W265" s="52"/>
      <c r="X265" s="52"/>
      <c r="Y265" s="52"/>
      <c r="Z265" s="52"/>
      <c r="AA265" s="52"/>
      <c r="AB265" s="52"/>
      <c r="AC265" s="52"/>
      <c r="AD265" s="52"/>
      <c r="AE265" s="52"/>
      <c r="AF265" s="52"/>
      <c r="AG265" s="52"/>
      <c r="AH265" s="52"/>
      <c r="AI265" s="52"/>
      <c r="AJ265" s="52"/>
      <c r="AK265" s="52"/>
      <c r="AL265" s="52"/>
      <c r="AM265" s="52"/>
      <c r="AN265" s="52"/>
      <c r="AO265" s="52"/>
    </row>
    <row r="266" spans="1:41">
      <c r="A266" s="1"/>
      <c r="B266" s="1"/>
      <c r="C266" s="1"/>
      <c r="D266" s="1"/>
      <c r="E266" s="1"/>
      <c r="F266" s="1"/>
      <c r="G266" s="1"/>
      <c r="H266" s="1"/>
      <c r="I266" s="1"/>
      <c r="J266" s="1"/>
      <c r="K266" s="1"/>
      <c r="L266" s="1"/>
      <c r="M266" s="1"/>
      <c r="N266" s="1"/>
      <c r="O266" s="1"/>
      <c r="P266" s="1"/>
      <c r="Q266" s="1"/>
      <c r="R266" s="1"/>
      <c r="S266" s="52"/>
      <c r="T266" s="52"/>
      <c r="U266" s="52"/>
      <c r="V266" s="52"/>
      <c r="W266" s="52"/>
      <c r="X266" s="52"/>
      <c r="Y266" s="52"/>
      <c r="Z266" s="52"/>
      <c r="AA266" s="52"/>
      <c r="AB266" s="52"/>
      <c r="AC266" s="52"/>
      <c r="AD266" s="52"/>
      <c r="AE266" s="52"/>
      <c r="AF266" s="52"/>
      <c r="AG266" s="52"/>
      <c r="AH266" s="52"/>
      <c r="AI266" s="52"/>
      <c r="AJ266" s="52"/>
      <c r="AK266" s="52"/>
      <c r="AL266" s="52"/>
      <c r="AM266" s="52"/>
      <c r="AN266" s="52"/>
      <c r="AO266" s="52"/>
    </row>
    <row r="267" spans="1:41">
      <c r="A267" s="1"/>
      <c r="B267" s="1"/>
      <c r="C267" s="1"/>
      <c r="D267" s="1"/>
      <c r="E267" s="1"/>
      <c r="F267" s="1"/>
      <c r="G267" s="1"/>
      <c r="H267" s="1"/>
      <c r="I267" s="1"/>
      <c r="J267" s="1"/>
      <c r="K267" s="1"/>
      <c r="L267" s="1"/>
      <c r="M267" s="1"/>
      <c r="N267" s="1"/>
      <c r="O267" s="1"/>
      <c r="P267" s="1"/>
      <c r="Q267" s="1"/>
      <c r="R267" s="1"/>
      <c r="S267" s="52"/>
      <c r="T267" s="52"/>
      <c r="U267" s="52"/>
      <c r="V267" s="52"/>
      <c r="W267" s="52"/>
      <c r="X267" s="52"/>
      <c r="Y267" s="52"/>
      <c r="Z267" s="52"/>
      <c r="AA267" s="52"/>
      <c r="AB267" s="52"/>
      <c r="AC267" s="52"/>
      <c r="AD267" s="52"/>
      <c r="AE267" s="52"/>
      <c r="AF267" s="52"/>
      <c r="AG267" s="52"/>
      <c r="AH267" s="52"/>
      <c r="AI267" s="52"/>
      <c r="AJ267" s="52"/>
      <c r="AK267" s="52"/>
      <c r="AL267" s="52"/>
      <c r="AM267" s="52"/>
      <c r="AN267" s="52"/>
      <c r="AO267" s="52"/>
    </row>
    <row r="268" spans="1:41">
      <c r="A268" s="1"/>
      <c r="B268" s="1"/>
      <c r="C268" s="1"/>
      <c r="D268" s="1"/>
      <c r="E268" s="1"/>
      <c r="F268" s="1"/>
      <c r="G268" s="1"/>
      <c r="H268" s="1"/>
      <c r="I268" s="1"/>
      <c r="J268" s="1"/>
      <c r="K268" s="1"/>
      <c r="L268" s="1"/>
      <c r="M268" s="1"/>
      <c r="N268" s="1"/>
      <c r="O268" s="1"/>
      <c r="P268" s="1"/>
      <c r="Q268" s="1"/>
      <c r="R268" s="1"/>
      <c r="S268" s="52"/>
      <c r="T268" s="52"/>
      <c r="U268" s="52"/>
      <c r="V268" s="52"/>
      <c r="W268" s="52"/>
      <c r="X268" s="52"/>
      <c r="Y268" s="52"/>
      <c r="Z268" s="52"/>
      <c r="AA268" s="52"/>
      <c r="AB268" s="52"/>
      <c r="AC268" s="52"/>
      <c r="AD268" s="52"/>
      <c r="AE268" s="52"/>
      <c r="AF268" s="52"/>
      <c r="AG268" s="52"/>
      <c r="AH268" s="52"/>
      <c r="AI268" s="52"/>
      <c r="AJ268" s="52"/>
      <c r="AK268" s="52"/>
      <c r="AL268" s="52"/>
      <c r="AM268" s="52"/>
      <c r="AN268" s="52"/>
      <c r="AO268" s="52"/>
    </row>
    <row r="269" spans="1:41">
      <c r="A269" s="1"/>
      <c r="B269" s="52"/>
      <c r="C269" s="1"/>
      <c r="D269" s="1"/>
      <c r="E269" s="1"/>
      <c r="F269" s="1"/>
      <c r="G269" s="1"/>
      <c r="H269" s="1"/>
      <c r="I269" s="1"/>
      <c r="J269" s="1"/>
      <c r="K269" s="1"/>
      <c r="L269" s="1"/>
      <c r="M269" s="1"/>
      <c r="N269" s="1"/>
      <c r="O269" s="1"/>
      <c r="P269" s="1"/>
      <c r="Q269" s="1"/>
      <c r="R269" s="1"/>
      <c r="S269" s="52"/>
      <c r="T269" s="52"/>
      <c r="U269" s="52"/>
      <c r="V269" s="52"/>
      <c r="W269" s="52"/>
      <c r="X269" s="52"/>
      <c r="Y269" s="52"/>
      <c r="Z269" s="52"/>
      <c r="AA269" s="52"/>
      <c r="AB269" s="52"/>
      <c r="AC269" s="52"/>
      <c r="AD269" s="52"/>
      <c r="AE269" s="52"/>
      <c r="AF269" s="52"/>
      <c r="AG269" s="52"/>
      <c r="AH269" s="52"/>
      <c r="AI269" s="52"/>
      <c r="AJ269" s="52"/>
      <c r="AK269" s="52"/>
      <c r="AL269" s="52"/>
      <c r="AM269" s="52"/>
      <c r="AN269" s="52"/>
      <c r="AO269" s="52"/>
    </row>
    <row r="270" spans="1:41">
      <c r="A270" s="1"/>
      <c r="B270" s="52"/>
      <c r="C270" s="1"/>
      <c r="D270" s="1"/>
      <c r="E270" s="1"/>
      <c r="F270" s="1"/>
      <c r="G270" s="1"/>
      <c r="H270" s="1"/>
      <c r="I270" s="1"/>
      <c r="J270" s="1"/>
      <c r="K270" s="1"/>
      <c r="L270" s="1"/>
      <c r="M270" s="1"/>
      <c r="N270" s="1"/>
      <c r="O270" s="1"/>
      <c r="P270" s="1"/>
      <c r="Q270" s="1"/>
      <c r="R270" s="1"/>
      <c r="S270" s="52"/>
      <c r="T270" s="52"/>
      <c r="U270" s="52"/>
      <c r="V270" s="52"/>
      <c r="W270" s="52"/>
      <c r="X270" s="52"/>
      <c r="Y270" s="52"/>
      <c r="Z270" s="52"/>
      <c r="AA270" s="52"/>
      <c r="AB270" s="52"/>
      <c r="AC270" s="52"/>
      <c r="AD270" s="52"/>
      <c r="AE270" s="52"/>
      <c r="AF270" s="52"/>
      <c r="AG270" s="52"/>
      <c r="AH270" s="52"/>
      <c r="AI270" s="52"/>
      <c r="AJ270" s="52"/>
      <c r="AK270" s="52"/>
      <c r="AL270" s="52"/>
      <c r="AM270" s="52"/>
      <c r="AN270" s="52"/>
      <c r="AO270" s="52"/>
    </row>
    <row r="271" spans="1:41">
      <c r="A271" s="1"/>
      <c r="B271" s="52"/>
      <c r="C271" s="1"/>
      <c r="D271" s="1"/>
      <c r="E271" s="1"/>
      <c r="F271" s="1"/>
      <c r="G271" s="1"/>
      <c r="H271" s="1"/>
      <c r="I271" s="1"/>
      <c r="J271" s="1"/>
      <c r="K271" s="1"/>
      <c r="L271" s="1"/>
      <c r="M271" s="1"/>
      <c r="N271" s="1"/>
      <c r="O271" s="1"/>
      <c r="P271" s="1"/>
      <c r="Q271" s="1"/>
      <c r="R271" s="1"/>
      <c r="S271" s="52"/>
      <c r="T271" s="52"/>
      <c r="U271" s="52"/>
      <c r="V271" s="52"/>
      <c r="W271" s="52"/>
      <c r="X271" s="52"/>
      <c r="Y271" s="52"/>
      <c r="Z271" s="52"/>
      <c r="AA271" s="52"/>
      <c r="AB271" s="52"/>
      <c r="AC271" s="52"/>
      <c r="AD271" s="52"/>
      <c r="AE271" s="52"/>
      <c r="AF271" s="52"/>
      <c r="AG271" s="52"/>
      <c r="AH271" s="52"/>
      <c r="AI271" s="52"/>
      <c r="AJ271" s="52"/>
      <c r="AK271" s="52"/>
      <c r="AL271" s="52"/>
      <c r="AM271" s="52"/>
      <c r="AN271" s="52"/>
      <c r="AO271" s="52"/>
    </row>
    <row r="272" spans="1:41">
      <c r="A272" s="1"/>
      <c r="B272" s="52"/>
      <c r="C272" s="1"/>
      <c r="D272" s="1"/>
      <c r="E272" s="1"/>
      <c r="F272" s="1"/>
      <c r="G272" s="1"/>
      <c r="H272" s="1"/>
      <c r="I272" s="1"/>
      <c r="J272" s="1"/>
      <c r="K272" s="1"/>
      <c r="L272" s="1"/>
      <c r="M272" s="1"/>
      <c r="N272" s="1"/>
      <c r="O272" s="1"/>
      <c r="P272" s="1"/>
      <c r="Q272" s="1"/>
      <c r="R272" s="1"/>
      <c r="S272" s="52"/>
      <c r="T272" s="52"/>
      <c r="U272" s="52"/>
      <c r="V272" s="52"/>
      <c r="W272" s="52"/>
      <c r="X272" s="52"/>
      <c r="Y272" s="52"/>
      <c r="Z272" s="52"/>
      <c r="AA272" s="52"/>
      <c r="AB272" s="52"/>
      <c r="AC272" s="52"/>
      <c r="AD272" s="52"/>
      <c r="AE272" s="52"/>
      <c r="AF272" s="52"/>
      <c r="AG272" s="52"/>
      <c r="AH272" s="52"/>
      <c r="AI272" s="52"/>
      <c r="AJ272" s="52"/>
      <c r="AK272" s="52"/>
      <c r="AL272" s="52"/>
      <c r="AM272" s="52"/>
      <c r="AN272" s="52"/>
      <c r="AO272" s="52"/>
    </row>
    <row r="273" spans="1:41">
      <c r="A273" s="1"/>
      <c r="B273" s="52"/>
      <c r="C273" s="1"/>
      <c r="D273" s="1"/>
      <c r="E273" s="1"/>
      <c r="F273" s="1"/>
      <c r="G273" s="1"/>
      <c r="H273" s="1"/>
      <c r="I273" s="1"/>
      <c r="J273" s="1"/>
      <c r="K273" s="1"/>
      <c r="L273" s="1"/>
      <c r="M273" s="1"/>
      <c r="N273" s="1"/>
      <c r="O273" s="1"/>
      <c r="P273" s="1"/>
      <c r="Q273" s="1"/>
      <c r="R273" s="1"/>
      <c r="S273" s="52"/>
      <c r="T273" s="52"/>
      <c r="U273" s="52"/>
      <c r="V273" s="52"/>
      <c r="W273" s="52"/>
      <c r="X273" s="52"/>
      <c r="Y273" s="52"/>
      <c r="Z273" s="52"/>
      <c r="AA273" s="52"/>
      <c r="AB273" s="52"/>
      <c r="AC273" s="52"/>
      <c r="AD273" s="52"/>
      <c r="AE273" s="52"/>
      <c r="AF273" s="52"/>
      <c r="AG273" s="52"/>
      <c r="AH273" s="52"/>
      <c r="AI273" s="52"/>
      <c r="AJ273" s="52"/>
      <c r="AK273" s="52"/>
      <c r="AL273" s="52"/>
      <c r="AM273" s="52"/>
      <c r="AN273" s="52"/>
      <c r="AO273" s="52"/>
    </row>
    <row r="274" spans="1:41">
      <c r="A274" s="1"/>
      <c r="B274" s="52"/>
      <c r="C274" s="1"/>
      <c r="D274" s="1"/>
      <c r="E274" s="1"/>
      <c r="F274" s="1"/>
      <c r="G274" s="1"/>
      <c r="H274" s="1"/>
      <c r="I274" s="1"/>
      <c r="J274" s="1"/>
      <c r="K274" s="1"/>
      <c r="L274" s="1"/>
      <c r="M274" s="1"/>
      <c r="N274" s="1"/>
      <c r="O274" s="1"/>
      <c r="P274" s="1"/>
      <c r="Q274" s="1"/>
      <c r="R274" s="1"/>
      <c r="S274" s="52"/>
      <c r="T274" s="52"/>
      <c r="U274" s="52"/>
      <c r="V274" s="52"/>
      <c r="W274" s="52"/>
      <c r="X274" s="52"/>
      <c r="Y274" s="52"/>
      <c r="Z274" s="52"/>
      <c r="AA274" s="52"/>
      <c r="AB274" s="52"/>
      <c r="AC274" s="52"/>
      <c r="AD274" s="52"/>
      <c r="AE274" s="52"/>
      <c r="AF274" s="52"/>
      <c r="AG274" s="52"/>
      <c r="AH274" s="52"/>
      <c r="AI274" s="52"/>
      <c r="AJ274" s="52"/>
      <c r="AK274" s="52"/>
      <c r="AL274" s="52"/>
      <c r="AM274" s="52"/>
      <c r="AN274" s="52"/>
      <c r="AO274" s="52"/>
    </row>
    <row r="275" spans="1:41">
      <c r="A275" s="1"/>
      <c r="B275" s="52"/>
      <c r="C275" s="1"/>
      <c r="D275" s="1"/>
      <c r="E275" s="1"/>
      <c r="F275" s="1"/>
      <c r="G275" s="1"/>
      <c r="H275" s="1"/>
      <c r="I275" s="1"/>
      <c r="J275" s="1"/>
      <c r="K275" s="1"/>
      <c r="L275" s="1"/>
      <c r="M275" s="1"/>
      <c r="N275" s="1"/>
      <c r="O275" s="1"/>
      <c r="P275" s="1"/>
      <c r="Q275" s="1"/>
      <c r="R275" s="1"/>
      <c r="S275" s="52"/>
      <c r="T275" s="52"/>
      <c r="U275" s="52"/>
      <c r="V275" s="52"/>
      <c r="W275" s="52"/>
      <c r="X275" s="52"/>
      <c r="Y275" s="52"/>
      <c r="Z275" s="52"/>
      <c r="AA275" s="52"/>
      <c r="AB275" s="52"/>
      <c r="AC275" s="52"/>
      <c r="AD275" s="52"/>
      <c r="AE275" s="52"/>
      <c r="AF275" s="52"/>
      <c r="AG275" s="52"/>
      <c r="AH275" s="52"/>
      <c r="AI275" s="52"/>
      <c r="AJ275" s="52"/>
      <c r="AK275" s="52"/>
      <c r="AL275" s="52"/>
      <c r="AM275" s="52"/>
      <c r="AN275" s="52"/>
      <c r="AO275" s="52"/>
    </row>
    <row r="276" spans="1:41">
      <c r="A276" s="1"/>
      <c r="B276" s="52"/>
      <c r="C276" s="1"/>
      <c r="D276" s="1"/>
      <c r="E276" s="1"/>
      <c r="F276" s="1"/>
      <c r="G276" s="1"/>
      <c r="H276" s="1"/>
      <c r="I276" s="1"/>
      <c r="J276" s="1"/>
      <c r="K276" s="1"/>
      <c r="L276" s="1"/>
      <c r="M276" s="1"/>
      <c r="N276" s="1"/>
      <c r="O276" s="1"/>
      <c r="P276" s="1"/>
      <c r="Q276" s="1"/>
      <c r="R276" s="1"/>
      <c r="S276" s="52"/>
      <c r="T276" s="52"/>
      <c r="U276" s="52"/>
      <c r="V276" s="52"/>
      <c r="W276" s="52"/>
      <c r="X276" s="52"/>
      <c r="Y276" s="52"/>
      <c r="Z276" s="52"/>
      <c r="AA276" s="52"/>
      <c r="AB276" s="52"/>
      <c r="AC276" s="52"/>
      <c r="AD276" s="52"/>
      <c r="AE276" s="52"/>
      <c r="AF276" s="52"/>
      <c r="AG276" s="52"/>
      <c r="AH276" s="52"/>
      <c r="AI276" s="52"/>
      <c r="AJ276" s="52"/>
      <c r="AK276" s="52"/>
      <c r="AL276" s="52"/>
      <c r="AM276" s="52"/>
      <c r="AN276" s="52"/>
      <c r="AO276" s="52"/>
    </row>
    <row r="277" spans="1:41">
      <c r="A277" s="1"/>
      <c r="B277" s="52"/>
      <c r="C277" s="1"/>
      <c r="D277" s="1"/>
      <c r="E277" s="1"/>
      <c r="F277" s="1"/>
      <c r="G277" s="1"/>
      <c r="H277" s="1"/>
      <c r="I277" s="1"/>
      <c r="J277" s="1"/>
      <c r="K277" s="1"/>
      <c r="L277" s="1"/>
      <c r="M277" s="1"/>
      <c r="N277" s="1"/>
      <c r="O277" s="1"/>
      <c r="P277" s="1"/>
      <c r="Q277" s="1"/>
      <c r="R277" s="1"/>
      <c r="S277" s="52"/>
      <c r="T277" s="52"/>
      <c r="U277" s="52"/>
      <c r="V277" s="52"/>
      <c r="W277" s="52"/>
      <c r="X277" s="52"/>
      <c r="Y277" s="52"/>
      <c r="Z277" s="52"/>
      <c r="AA277" s="52"/>
      <c r="AB277" s="52"/>
      <c r="AC277" s="52"/>
      <c r="AD277" s="52"/>
      <c r="AE277" s="52"/>
      <c r="AF277" s="52"/>
      <c r="AG277" s="52"/>
      <c r="AH277" s="52"/>
      <c r="AI277" s="52"/>
      <c r="AJ277" s="52"/>
      <c r="AK277" s="52"/>
      <c r="AL277" s="52"/>
      <c r="AM277" s="52"/>
      <c r="AN277" s="52"/>
      <c r="AO277" s="52"/>
    </row>
    <row r="278" spans="1:41">
      <c r="A278" s="1"/>
      <c r="B278" s="52"/>
      <c r="C278" s="1"/>
      <c r="D278" s="1"/>
      <c r="E278" s="1"/>
      <c r="F278" s="1"/>
      <c r="G278" s="1"/>
      <c r="H278" s="1"/>
      <c r="I278" s="1"/>
      <c r="J278" s="1"/>
      <c r="K278" s="1"/>
      <c r="L278" s="1"/>
      <c r="M278" s="1"/>
      <c r="N278" s="1"/>
      <c r="O278" s="1"/>
      <c r="P278" s="1"/>
      <c r="Q278" s="1"/>
      <c r="R278" s="1"/>
      <c r="S278" s="52"/>
      <c r="T278" s="52"/>
      <c r="U278" s="52"/>
      <c r="V278" s="52"/>
      <c r="W278" s="52"/>
      <c r="X278" s="52"/>
      <c r="Y278" s="52"/>
      <c r="Z278" s="52"/>
      <c r="AA278" s="52"/>
      <c r="AB278" s="52"/>
      <c r="AC278" s="52"/>
      <c r="AD278" s="52"/>
      <c r="AE278" s="52"/>
      <c r="AF278" s="52"/>
      <c r="AG278" s="52"/>
      <c r="AH278" s="52"/>
      <c r="AI278" s="52"/>
      <c r="AJ278" s="52"/>
      <c r="AK278" s="52"/>
      <c r="AL278" s="52"/>
      <c r="AM278" s="52"/>
      <c r="AN278" s="52"/>
      <c r="AO278" s="52"/>
    </row>
    <row r="279" spans="1:41">
      <c r="A279" s="1"/>
      <c r="B279" s="52"/>
      <c r="C279" s="1"/>
      <c r="D279" s="1"/>
      <c r="E279" s="1"/>
      <c r="F279" s="1"/>
      <c r="G279" s="1"/>
      <c r="H279" s="1"/>
      <c r="I279" s="1"/>
      <c r="J279" s="1"/>
      <c r="K279" s="1"/>
      <c r="L279" s="1"/>
      <c r="M279" s="1"/>
      <c r="N279" s="1"/>
      <c r="O279" s="1"/>
      <c r="P279" s="1"/>
      <c r="Q279" s="1"/>
      <c r="R279" s="1"/>
      <c r="S279" s="52"/>
      <c r="T279" s="52"/>
      <c r="U279" s="52"/>
      <c r="V279" s="52"/>
      <c r="W279" s="52"/>
      <c r="X279" s="52"/>
      <c r="Y279" s="52"/>
      <c r="Z279" s="52"/>
      <c r="AA279" s="52"/>
      <c r="AB279" s="52"/>
      <c r="AC279" s="52"/>
      <c r="AD279" s="52"/>
      <c r="AE279" s="52"/>
      <c r="AF279" s="52"/>
      <c r="AG279" s="52"/>
      <c r="AH279" s="52"/>
      <c r="AI279" s="52"/>
      <c r="AJ279" s="52"/>
      <c r="AK279" s="52"/>
      <c r="AL279" s="52"/>
      <c r="AM279" s="52"/>
      <c r="AN279" s="52"/>
      <c r="AO279" s="52"/>
    </row>
    <row r="280" spans="1:41">
      <c r="A280" s="1"/>
      <c r="B280" s="52"/>
      <c r="C280" s="1"/>
      <c r="D280" s="1"/>
      <c r="E280" s="1"/>
      <c r="F280" s="1"/>
      <c r="G280" s="1"/>
      <c r="H280" s="1"/>
      <c r="I280" s="1"/>
      <c r="J280" s="1"/>
      <c r="K280" s="1"/>
      <c r="L280" s="1"/>
      <c r="M280" s="1"/>
      <c r="N280" s="1"/>
      <c r="O280" s="1"/>
      <c r="P280" s="1"/>
      <c r="Q280" s="1"/>
      <c r="R280" s="1"/>
      <c r="S280" s="52"/>
      <c r="T280" s="52"/>
      <c r="U280" s="52"/>
      <c r="V280" s="52"/>
      <c r="W280" s="52"/>
      <c r="X280" s="52"/>
      <c r="Y280" s="52"/>
      <c r="Z280" s="52"/>
      <c r="AA280" s="52"/>
      <c r="AB280" s="52"/>
      <c r="AC280" s="52"/>
      <c r="AD280" s="52"/>
      <c r="AE280" s="52"/>
      <c r="AF280" s="52"/>
      <c r="AG280" s="52"/>
      <c r="AH280" s="52"/>
      <c r="AI280" s="52"/>
      <c r="AJ280" s="52"/>
      <c r="AK280" s="52"/>
      <c r="AL280" s="52"/>
      <c r="AM280" s="52"/>
      <c r="AN280" s="52"/>
      <c r="AO280" s="52"/>
    </row>
    <row r="281" spans="1:41">
      <c r="A281" s="1"/>
      <c r="B281" s="52"/>
      <c r="C281" s="1"/>
      <c r="D281" s="1"/>
      <c r="E281" s="1"/>
      <c r="F281" s="1"/>
      <c r="G281" s="1"/>
      <c r="H281" s="1"/>
      <c r="I281" s="1"/>
      <c r="J281" s="1"/>
      <c r="K281" s="1"/>
      <c r="L281" s="1"/>
      <c r="M281" s="1"/>
      <c r="N281" s="1"/>
      <c r="O281" s="1"/>
      <c r="P281" s="1"/>
      <c r="Q281" s="1"/>
      <c r="R281" s="1"/>
      <c r="S281" s="52"/>
      <c r="T281" s="52"/>
      <c r="U281" s="52"/>
      <c r="V281" s="52"/>
      <c r="W281" s="52"/>
      <c r="X281" s="52"/>
      <c r="Y281" s="52"/>
      <c r="Z281" s="52"/>
      <c r="AA281" s="52"/>
      <c r="AB281" s="52"/>
      <c r="AC281" s="52"/>
      <c r="AD281" s="52"/>
      <c r="AE281" s="52"/>
      <c r="AF281" s="52"/>
      <c r="AG281" s="52"/>
      <c r="AH281" s="52"/>
      <c r="AI281" s="52"/>
      <c r="AJ281" s="52"/>
      <c r="AK281" s="52"/>
      <c r="AL281" s="52"/>
      <c r="AM281" s="52"/>
      <c r="AN281" s="52"/>
      <c r="AO281" s="52"/>
    </row>
    <row r="282" spans="1:41">
      <c r="A282" s="1"/>
      <c r="B282" s="52"/>
      <c r="C282" s="1"/>
      <c r="D282" s="1"/>
      <c r="E282" s="1"/>
      <c r="F282" s="1"/>
      <c r="G282" s="1"/>
      <c r="H282" s="1"/>
      <c r="I282" s="1"/>
      <c r="J282" s="1"/>
      <c r="K282" s="1"/>
      <c r="L282" s="1"/>
      <c r="M282" s="1"/>
      <c r="N282" s="1"/>
      <c r="O282" s="1"/>
      <c r="P282" s="1"/>
      <c r="Q282" s="1"/>
      <c r="R282" s="1"/>
      <c r="S282" s="52"/>
      <c r="T282" s="52"/>
      <c r="U282" s="52"/>
      <c r="V282" s="52"/>
      <c r="W282" s="52"/>
      <c r="X282" s="52"/>
      <c r="Y282" s="52"/>
      <c r="Z282" s="52"/>
      <c r="AA282" s="52"/>
      <c r="AB282" s="52"/>
      <c r="AC282" s="52"/>
      <c r="AD282" s="52"/>
      <c r="AE282" s="52"/>
      <c r="AF282" s="52"/>
      <c r="AG282" s="52"/>
      <c r="AH282" s="52"/>
      <c r="AI282" s="52"/>
      <c r="AJ282" s="52"/>
      <c r="AK282" s="52"/>
      <c r="AL282" s="52"/>
      <c r="AM282" s="52"/>
      <c r="AN282" s="52"/>
      <c r="AO282" s="52"/>
    </row>
    <row r="283" spans="1:41">
      <c r="A283" s="1"/>
      <c r="B283" s="52"/>
      <c r="C283" s="1"/>
      <c r="D283" s="1"/>
      <c r="E283" s="1"/>
      <c r="F283" s="1"/>
      <c r="G283" s="1"/>
      <c r="H283" s="1"/>
      <c r="I283" s="1"/>
      <c r="J283" s="1"/>
      <c r="K283" s="1"/>
      <c r="L283" s="1"/>
      <c r="M283" s="1"/>
      <c r="N283" s="1"/>
      <c r="O283" s="1"/>
      <c r="P283" s="1"/>
      <c r="Q283" s="1"/>
      <c r="R283" s="1"/>
      <c r="S283" s="52"/>
      <c r="T283" s="52"/>
      <c r="U283" s="52"/>
      <c r="V283" s="52"/>
      <c r="W283" s="52"/>
      <c r="X283" s="52"/>
      <c r="Y283" s="52"/>
      <c r="Z283" s="52"/>
      <c r="AA283" s="52"/>
      <c r="AB283" s="52"/>
      <c r="AC283" s="52"/>
      <c r="AD283" s="52"/>
      <c r="AE283" s="52"/>
      <c r="AF283" s="52"/>
      <c r="AG283" s="52"/>
      <c r="AH283" s="52"/>
      <c r="AI283" s="52"/>
      <c r="AJ283" s="52"/>
      <c r="AK283" s="52"/>
      <c r="AL283" s="52"/>
      <c r="AM283" s="52"/>
      <c r="AN283" s="52"/>
      <c r="AO283" s="52"/>
    </row>
    <row r="284" spans="1:41">
      <c r="A284" s="1"/>
      <c r="B284" s="52"/>
      <c r="C284" s="1"/>
      <c r="D284" s="1"/>
      <c r="E284" s="1"/>
      <c r="F284" s="1"/>
      <c r="G284" s="1"/>
      <c r="H284" s="1"/>
      <c r="I284" s="1"/>
      <c r="J284" s="1"/>
      <c r="K284" s="1"/>
      <c r="L284" s="1"/>
      <c r="M284" s="1"/>
      <c r="N284" s="1"/>
      <c r="O284" s="1"/>
      <c r="P284" s="1"/>
      <c r="Q284" s="1"/>
      <c r="R284" s="1"/>
      <c r="S284" s="52"/>
      <c r="T284" s="52"/>
      <c r="U284" s="52"/>
      <c r="V284" s="52"/>
      <c r="W284" s="52"/>
      <c r="X284" s="52"/>
      <c r="Y284" s="52"/>
      <c r="Z284" s="52"/>
      <c r="AA284" s="52"/>
      <c r="AB284" s="52"/>
      <c r="AC284" s="52"/>
      <c r="AD284" s="52"/>
      <c r="AE284" s="52"/>
      <c r="AF284" s="52"/>
      <c r="AG284" s="52"/>
      <c r="AH284" s="52"/>
      <c r="AI284" s="52"/>
      <c r="AJ284" s="52"/>
      <c r="AK284" s="52"/>
      <c r="AL284" s="52"/>
      <c r="AM284" s="52"/>
      <c r="AN284" s="52"/>
      <c r="AO284" s="52"/>
    </row>
    <row r="285" spans="1:41">
      <c r="A285" s="1"/>
      <c r="B285" s="52"/>
      <c r="C285" s="1"/>
      <c r="D285" s="1"/>
      <c r="E285" s="1"/>
      <c r="F285" s="1"/>
      <c r="G285" s="1"/>
      <c r="H285" s="1"/>
      <c r="I285" s="1"/>
      <c r="J285" s="1"/>
      <c r="K285" s="1"/>
      <c r="L285" s="1"/>
      <c r="M285" s="1"/>
      <c r="N285" s="1"/>
      <c r="O285" s="1"/>
      <c r="P285" s="1"/>
      <c r="Q285" s="1"/>
      <c r="R285" s="1"/>
      <c r="S285" s="52"/>
      <c r="T285" s="52"/>
      <c r="U285" s="52"/>
      <c r="V285" s="52"/>
      <c r="W285" s="52"/>
      <c r="X285" s="52"/>
      <c r="Y285" s="52"/>
      <c r="Z285" s="52"/>
      <c r="AA285" s="52"/>
      <c r="AB285" s="52"/>
      <c r="AC285" s="52"/>
      <c r="AD285" s="52"/>
      <c r="AE285" s="52"/>
      <c r="AF285" s="52"/>
      <c r="AG285" s="52"/>
      <c r="AH285" s="52"/>
      <c r="AI285" s="52"/>
      <c r="AJ285" s="52"/>
      <c r="AK285" s="52"/>
      <c r="AL285" s="52"/>
      <c r="AM285" s="52"/>
      <c r="AN285" s="52"/>
      <c r="AO285" s="52"/>
    </row>
    <row r="286" spans="1:41">
      <c r="A286" s="1"/>
      <c r="B286" s="52"/>
      <c r="C286" s="1"/>
      <c r="D286" s="1"/>
      <c r="E286" s="1"/>
      <c r="F286" s="1"/>
      <c r="G286" s="1"/>
      <c r="H286" s="1"/>
      <c r="I286" s="1"/>
      <c r="J286" s="1"/>
      <c r="K286" s="1"/>
      <c r="L286" s="1"/>
      <c r="M286" s="1"/>
      <c r="N286" s="1"/>
      <c r="O286" s="1"/>
      <c r="P286" s="1"/>
      <c r="Q286" s="1"/>
      <c r="R286" s="1"/>
      <c r="S286" s="52"/>
      <c r="T286" s="52"/>
      <c r="U286" s="52"/>
      <c r="V286" s="52"/>
      <c r="W286" s="52"/>
      <c r="X286" s="52"/>
      <c r="Y286" s="52"/>
      <c r="Z286" s="52"/>
      <c r="AA286" s="52"/>
      <c r="AB286" s="52"/>
      <c r="AC286" s="52"/>
      <c r="AD286" s="52"/>
      <c r="AE286" s="52"/>
      <c r="AF286" s="52"/>
      <c r="AG286" s="52"/>
      <c r="AH286" s="52"/>
      <c r="AI286" s="52"/>
      <c r="AJ286" s="52"/>
      <c r="AK286" s="52"/>
      <c r="AL286" s="52"/>
      <c r="AM286" s="52"/>
      <c r="AN286" s="52"/>
      <c r="AO286" s="52"/>
    </row>
    <row r="287" spans="1:41">
      <c r="A287" s="1"/>
      <c r="B287" s="52"/>
      <c r="C287" s="1"/>
      <c r="D287" s="1"/>
      <c r="E287" s="1"/>
      <c r="F287" s="1"/>
      <c r="G287" s="1"/>
      <c r="H287" s="1"/>
      <c r="I287" s="1"/>
      <c r="J287" s="1"/>
      <c r="K287" s="1"/>
      <c r="L287" s="1"/>
      <c r="M287" s="1"/>
      <c r="N287" s="1"/>
      <c r="O287" s="1"/>
      <c r="P287" s="1"/>
      <c r="Q287" s="1"/>
      <c r="R287" s="1"/>
      <c r="S287" s="52"/>
      <c r="T287" s="52"/>
      <c r="U287" s="52"/>
      <c r="V287" s="52"/>
      <c r="W287" s="52"/>
      <c r="X287" s="52"/>
      <c r="Y287" s="52"/>
      <c r="Z287" s="52"/>
      <c r="AA287" s="52"/>
      <c r="AB287" s="52"/>
      <c r="AC287" s="52"/>
      <c r="AD287" s="52"/>
      <c r="AE287" s="52"/>
      <c r="AF287" s="52"/>
      <c r="AG287" s="52"/>
      <c r="AH287" s="52"/>
      <c r="AI287" s="52"/>
      <c r="AJ287" s="52"/>
      <c r="AK287" s="52"/>
      <c r="AL287" s="52"/>
      <c r="AM287" s="52"/>
      <c r="AN287" s="52"/>
      <c r="AO287" s="52"/>
    </row>
    <row r="288" spans="1:41">
      <c r="A288" s="1"/>
      <c r="B288" s="52"/>
      <c r="C288" s="1"/>
      <c r="D288" s="1"/>
      <c r="E288" s="1"/>
      <c r="F288" s="1"/>
      <c r="G288" s="1"/>
      <c r="H288" s="1"/>
      <c r="I288" s="1"/>
      <c r="J288" s="1"/>
      <c r="K288" s="1"/>
      <c r="L288" s="1"/>
      <c r="M288" s="1"/>
      <c r="N288" s="1"/>
      <c r="O288" s="1"/>
      <c r="P288" s="1"/>
      <c r="Q288" s="1"/>
      <c r="R288" s="1"/>
      <c r="S288" s="52"/>
      <c r="T288" s="52"/>
      <c r="U288" s="52"/>
      <c r="V288" s="52"/>
      <c r="W288" s="52"/>
      <c r="X288" s="52"/>
      <c r="Y288" s="52"/>
      <c r="Z288" s="52"/>
      <c r="AA288" s="52"/>
      <c r="AB288" s="52"/>
      <c r="AC288" s="52"/>
      <c r="AD288" s="52"/>
      <c r="AE288" s="52"/>
      <c r="AF288" s="52"/>
      <c r="AG288" s="52"/>
      <c r="AH288" s="52"/>
      <c r="AI288" s="52"/>
      <c r="AJ288" s="52"/>
      <c r="AK288" s="52"/>
      <c r="AL288" s="52"/>
      <c r="AM288" s="52"/>
      <c r="AN288" s="52"/>
      <c r="AO288" s="52"/>
    </row>
    <row r="289" spans="1:41">
      <c r="A289" s="1"/>
      <c r="B289" s="52"/>
      <c r="C289" s="1"/>
      <c r="D289" s="1"/>
      <c r="E289" s="1"/>
      <c r="F289" s="1"/>
      <c r="G289" s="1"/>
      <c r="H289" s="1"/>
      <c r="I289" s="1"/>
      <c r="J289" s="1"/>
      <c r="K289" s="1"/>
      <c r="L289" s="1"/>
      <c r="M289" s="1"/>
      <c r="N289" s="1"/>
      <c r="O289" s="1"/>
      <c r="P289" s="1"/>
      <c r="Q289" s="1"/>
      <c r="R289" s="1"/>
      <c r="S289" s="52"/>
      <c r="T289" s="52"/>
      <c r="U289" s="52"/>
      <c r="V289" s="52"/>
      <c r="W289" s="52"/>
      <c r="X289" s="52"/>
      <c r="Y289" s="52"/>
      <c r="Z289" s="52"/>
      <c r="AA289" s="52"/>
      <c r="AB289" s="52"/>
      <c r="AC289" s="52"/>
      <c r="AD289" s="52"/>
      <c r="AE289" s="52"/>
      <c r="AF289" s="52"/>
      <c r="AG289" s="52"/>
      <c r="AH289" s="52"/>
      <c r="AI289" s="52"/>
      <c r="AJ289" s="52"/>
      <c r="AK289" s="52"/>
      <c r="AL289" s="52"/>
      <c r="AM289" s="52"/>
      <c r="AN289" s="52"/>
      <c r="AO289" s="52"/>
    </row>
    <row r="290" spans="1:41">
      <c r="A290" s="1"/>
      <c r="B290" s="52"/>
      <c r="C290" s="1"/>
      <c r="D290" s="1"/>
      <c r="E290" s="1"/>
      <c r="F290" s="1"/>
      <c r="G290" s="1"/>
      <c r="H290" s="1"/>
      <c r="I290" s="1"/>
      <c r="J290" s="1"/>
      <c r="K290" s="1"/>
      <c r="L290" s="1"/>
      <c r="M290" s="1"/>
      <c r="N290" s="1"/>
      <c r="O290" s="1"/>
      <c r="P290" s="1"/>
      <c r="Q290" s="1"/>
      <c r="R290" s="1"/>
      <c r="S290" s="52"/>
      <c r="T290" s="52"/>
      <c r="U290" s="52"/>
      <c r="V290" s="52"/>
      <c r="W290" s="52"/>
      <c r="X290" s="52"/>
      <c r="Y290" s="52"/>
      <c r="Z290" s="52"/>
      <c r="AA290" s="52"/>
      <c r="AB290" s="52"/>
      <c r="AC290" s="52"/>
      <c r="AD290" s="52"/>
      <c r="AE290" s="52"/>
      <c r="AF290" s="52"/>
      <c r="AG290" s="52"/>
      <c r="AH290" s="52"/>
      <c r="AI290" s="52"/>
      <c r="AJ290" s="52"/>
      <c r="AK290" s="52"/>
      <c r="AL290" s="52"/>
      <c r="AM290" s="52"/>
      <c r="AN290" s="52"/>
      <c r="AO290" s="52"/>
    </row>
    <row r="291" spans="1:41">
      <c r="A291" s="1"/>
      <c r="B291" s="52"/>
      <c r="C291" s="1"/>
      <c r="D291" s="1"/>
      <c r="E291" s="1"/>
      <c r="F291" s="1"/>
      <c r="G291" s="1"/>
      <c r="H291" s="1"/>
      <c r="I291" s="1"/>
      <c r="J291" s="1"/>
      <c r="K291" s="1"/>
      <c r="L291" s="1"/>
      <c r="M291" s="1"/>
      <c r="N291" s="1"/>
      <c r="O291" s="1"/>
      <c r="P291" s="1"/>
      <c r="Q291" s="1"/>
      <c r="R291" s="1"/>
      <c r="S291" s="52"/>
      <c r="T291" s="52"/>
      <c r="U291" s="52"/>
      <c r="V291" s="52"/>
      <c r="W291" s="52"/>
      <c r="X291" s="52"/>
      <c r="Y291" s="52"/>
      <c r="Z291" s="52"/>
      <c r="AA291" s="52"/>
      <c r="AB291" s="52"/>
      <c r="AC291" s="52"/>
      <c r="AD291" s="52"/>
      <c r="AE291" s="52"/>
      <c r="AF291" s="52"/>
      <c r="AG291" s="52"/>
      <c r="AH291" s="52"/>
      <c r="AI291" s="52"/>
      <c r="AJ291" s="52"/>
      <c r="AK291" s="52"/>
      <c r="AL291" s="52"/>
      <c r="AM291" s="52"/>
      <c r="AN291" s="52"/>
      <c r="AO291" s="52"/>
    </row>
    <row r="292" spans="1:41">
      <c r="A292" s="1"/>
      <c r="B292" s="52"/>
      <c r="C292" s="1"/>
      <c r="D292" s="1"/>
      <c r="E292" s="1"/>
      <c r="F292" s="1"/>
      <c r="G292" s="1"/>
      <c r="H292" s="1"/>
      <c r="I292" s="1"/>
      <c r="J292" s="1"/>
      <c r="K292" s="1"/>
      <c r="L292" s="1"/>
      <c r="M292" s="1"/>
      <c r="N292" s="1"/>
      <c r="O292" s="1"/>
      <c r="P292" s="1"/>
      <c r="Q292" s="1"/>
      <c r="R292" s="1"/>
      <c r="S292" s="52"/>
      <c r="T292" s="52"/>
      <c r="U292" s="52"/>
      <c r="V292" s="52"/>
      <c r="W292" s="52"/>
      <c r="X292" s="52"/>
      <c r="Y292" s="52"/>
      <c r="Z292" s="52"/>
      <c r="AA292" s="52"/>
      <c r="AB292" s="52"/>
      <c r="AC292" s="52"/>
      <c r="AD292" s="52"/>
      <c r="AE292" s="52"/>
      <c r="AF292" s="52"/>
      <c r="AG292" s="52"/>
      <c r="AH292" s="52"/>
      <c r="AI292" s="52"/>
      <c r="AJ292" s="52"/>
      <c r="AK292" s="52"/>
      <c r="AL292" s="52"/>
      <c r="AM292" s="52"/>
      <c r="AN292" s="52"/>
      <c r="AO292" s="52"/>
    </row>
    <row r="293" spans="1:41">
      <c r="A293" s="1"/>
      <c r="B293" s="52"/>
      <c r="C293" s="1"/>
      <c r="D293" s="1"/>
      <c r="E293" s="1"/>
      <c r="F293" s="1"/>
      <c r="G293" s="1"/>
      <c r="H293" s="1"/>
      <c r="I293" s="1"/>
      <c r="J293" s="1"/>
      <c r="K293" s="1"/>
      <c r="L293" s="1"/>
      <c r="M293" s="1"/>
      <c r="N293" s="1"/>
      <c r="O293" s="1"/>
      <c r="P293" s="1"/>
      <c r="Q293" s="1"/>
      <c r="R293" s="1"/>
      <c r="S293" s="52"/>
      <c r="T293" s="52"/>
      <c r="U293" s="52"/>
      <c r="V293" s="52"/>
      <c r="W293" s="52"/>
      <c r="X293" s="52"/>
      <c r="Y293" s="52"/>
      <c r="Z293" s="52"/>
      <c r="AA293" s="52"/>
      <c r="AB293" s="52"/>
      <c r="AC293" s="52"/>
      <c r="AD293" s="52"/>
      <c r="AE293" s="52"/>
      <c r="AF293" s="52"/>
      <c r="AG293" s="52"/>
      <c r="AH293" s="52"/>
      <c r="AI293" s="52"/>
      <c r="AJ293" s="52"/>
      <c r="AK293" s="52"/>
      <c r="AL293" s="52"/>
      <c r="AM293" s="52"/>
      <c r="AN293" s="52"/>
      <c r="AO293" s="52"/>
    </row>
    <row r="294" spans="1:41">
      <c r="A294" s="1"/>
      <c r="B294" s="52"/>
      <c r="C294" s="1"/>
      <c r="D294" s="1"/>
      <c r="E294" s="1"/>
      <c r="F294" s="1"/>
      <c r="G294" s="1"/>
      <c r="H294" s="1"/>
      <c r="I294" s="1"/>
      <c r="J294" s="1"/>
      <c r="K294" s="1"/>
      <c r="L294" s="1"/>
      <c r="M294" s="1"/>
      <c r="N294" s="1"/>
      <c r="O294" s="1"/>
      <c r="P294" s="1"/>
      <c r="Q294" s="1"/>
      <c r="R294" s="1"/>
      <c r="S294" s="52"/>
      <c r="T294" s="52"/>
      <c r="U294" s="52"/>
      <c r="V294" s="52"/>
      <c r="W294" s="52"/>
      <c r="X294" s="52"/>
      <c r="Y294" s="52"/>
      <c r="Z294" s="52"/>
      <c r="AA294" s="52"/>
      <c r="AB294" s="52"/>
      <c r="AC294" s="52"/>
      <c r="AD294" s="52"/>
      <c r="AE294" s="52"/>
      <c r="AF294" s="52"/>
      <c r="AG294" s="52"/>
      <c r="AH294" s="52"/>
      <c r="AI294" s="52"/>
      <c r="AJ294" s="52"/>
      <c r="AK294" s="52"/>
      <c r="AL294" s="52"/>
      <c r="AM294" s="52"/>
      <c r="AN294" s="52"/>
      <c r="AO294" s="52"/>
    </row>
    <row r="295" spans="1:41">
      <c r="A295" s="1"/>
      <c r="B295" s="52"/>
      <c r="C295" s="1"/>
      <c r="D295" s="1"/>
      <c r="E295" s="1"/>
      <c r="F295" s="1"/>
      <c r="G295" s="1"/>
      <c r="H295" s="1"/>
      <c r="I295" s="1"/>
      <c r="J295" s="1"/>
      <c r="K295" s="1"/>
      <c r="L295" s="1"/>
      <c r="M295" s="1"/>
      <c r="N295" s="1"/>
      <c r="O295" s="1"/>
      <c r="P295" s="1"/>
      <c r="Q295" s="1"/>
      <c r="R295" s="1"/>
      <c r="S295" s="52"/>
      <c r="T295" s="52"/>
      <c r="U295" s="52"/>
      <c r="V295" s="52"/>
      <c r="W295" s="52"/>
      <c r="X295" s="52"/>
      <c r="Y295" s="52"/>
      <c r="Z295" s="52"/>
      <c r="AA295" s="52"/>
      <c r="AB295" s="52"/>
      <c r="AC295" s="52"/>
      <c r="AD295" s="52"/>
      <c r="AE295" s="52"/>
      <c r="AF295" s="52"/>
      <c r="AG295" s="52"/>
      <c r="AH295" s="52"/>
      <c r="AI295" s="52"/>
      <c r="AJ295" s="52"/>
      <c r="AK295" s="52"/>
      <c r="AL295" s="52"/>
      <c r="AM295" s="52"/>
      <c r="AN295" s="52"/>
      <c r="AO295" s="52"/>
    </row>
    <row r="296" spans="1:41">
      <c r="A296" s="1"/>
      <c r="B296" s="52"/>
      <c r="C296" s="1"/>
      <c r="D296" s="1"/>
      <c r="E296" s="1"/>
      <c r="F296" s="1"/>
      <c r="G296" s="1"/>
      <c r="H296" s="1"/>
      <c r="I296" s="1"/>
      <c r="J296" s="1"/>
      <c r="K296" s="1"/>
      <c r="L296" s="1"/>
      <c r="M296" s="1"/>
      <c r="N296" s="1"/>
      <c r="O296" s="1"/>
      <c r="P296" s="1"/>
      <c r="Q296" s="1"/>
      <c r="R296" s="1"/>
      <c r="S296" s="52"/>
      <c r="T296" s="52"/>
      <c r="U296" s="52"/>
      <c r="V296" s="52"/>
      <c r="W296" s="52"/>
      <c r="X296" s="52"/>
      <c r="Y296" s="52"/>
      <c r="Z296" s="52"/>
      <c r="AA296" s="52"/>
      <c r="AB296" s="52"/>
      <c r="AC296" s="52"/>
      <c r="AD296" s="52"/>
      <c r="AE296" s="52"/>
      <c r="AF296" s="52"/>
      <c r="AG296" s="52"/>
      <c r="AH296" s="52"/>
      <c r="AI296" s="52"/>
      <c r="AJ296" s="52"/>
      <c r="AK296" s="52"/>
      <c r="AL296" s="52"/>
      <c r="AM296" s="52"/>
      <c r="AN296" s="52"/>
      <c r="AO296" s="52"/>
    </row>
    <row r="297" spans="1:41">
      <c r="A297" s="1"/>
      <c r="B297" s="52"/>
      <c r="C297" s="1"/>
      <c r="D297" s="1"/>
      <c r="E297" s="1"/>
      <c r="F297" s="1"/>
      <c r="G297" s="1"/>
      <c r="H297" s="1"/>
      <c r="I297" s="1"/>
      <c r="J297" s="1"/>
      <c r="K297" s="1"/>
      <c r="L297" s="1"/>
      <c r="M297" s="1"/>
      <c r="N297" s="1"/>
      <c r="O297" s="1"/>
      <c r="P297" s="1"/>
      <c r="Q297" s="1"/>
      <c r="R297" s="1"/>
      <c r="S297" s="52"/>
      <c r="T297" s="52"/>
      <c r="U297" s="52"/>
      <c r="V297" s="52"/>
      <c r="W297" s="52"/>
      <c r="X297" s="52"/>
      <c r="Y297" s="52"/>
      <c r="Z297" s="52"/>
      <c r="AA297" s="52"/>
      <c r="AB297" s="52"/>
      <c r="AC297" s="52"/>
      <c r="AD297" s="52"/>
      <c r="AE297" s="52"/>
      <c r="AF297" s="52"/>
      <c r="AG297" s="52"/>
      <c r="AH297" s="52"/>
      <c r="AI297" s="52"/>
      <c r="AJ297" s="52"/>
      <c r="AK297" s="52"/>
      <c r="AL297" s="52"/>
      <c r="AM297" s="52"/>
      <c r="AN297" s="52"/>
      <c r="AO297" s="52"/>
    </row>
    <row r="298" spans="1:41">
      <c r="A298" s="1"/>
      <c r="B298" s="52"/>
      <c r="C298" s="1"/>
      <c r="D298" s="1"/>
      <c r="E298" s="1"/>
      <c r="F298" s="1"/>
      <c r="G298" s="1"/>
      <c r="H298" s="1"/>
      <c r="I298" s="1"/>
      <c r="J298" s="1"/>
      <c r="K298" s="1"/>
      <c r="L298" s="1"/>
      <c r="M298" s="1"/>
      <c r="N298" s="1"/>
      <c r="O298" s="1"/>
      <c r="P298" s="1"/>
      <c r="Q298" s="1"/>
      <c r="R298" s="1"/>
      <c r="S298" s="52"/>
      <c r="T298" s="52"/>
      <c r="U298" s="52"/>
      <c r="V298" s="52"/>
      <c r="W298" s="52"/>
      <c r="X298" s="52"/>
      <c r="Y298" s="52"/>
      <c r="Z298" s="52"/>
      <c r="AA298" s="52"/>
      <c r="AB298" s="52"/>
      <c r="AC298" s="52"/>
      <c r="AD298" s="52"/>
      <c r="AE298" s="52"/>
      <c r="AF298" s="52"/>
      <c r="AG298" s="52"/>
      <c r="AH298" s="52"/>
      <c r="AI298" s="52"/>
      <c r="AJ298" s="52"/>
      <c r="AK298" s="52"/>
      <c r="AL298" s="52"/>
      <c r="AM298" s="52"/>
      <c r="AN298" s="52"/>
      <c r="AO298" s="52"/>
    </row>
    <row r="299" spans="1:41">
      <c r="A299" s="1"/>
      <c r="B299" s="52"/>
      <c r="C299" s="1"/>
      <c r="D299" s="1"/>
      <c r="E299" s="1"/>
      <c r="F299" s="1"/>
      <c r="G299" s="1"/>
      <c r="H299" s="1"/>
      <c r="I299" s="1"/>
      <c r="J299" s="1"/>
      <c r="K299" s="1"/>
      <c r="L299" s="1"/>
      <c r="M299" s="1"/>
      <c r="N299" s="1"/>
      <c r="O299" s="1"/>
      <c r="P299" s="1"/>
      <c r="Q299" s="1"/>
      <c r="R299" s="1"/>
      <c r="S299" s="52"/>
      <c r="T299" s="52"/>
      <c r="U299" s="52"/>
      <c r="V299" s="52"/>
      <c r="W299" s="52"/>
      <c r="X299" s="52"/>
      <c r="Y299" s="52"/>
      <c r="Z299" s="52"/>
      <c r="AA299" s="52"/>
      <c r="AB299" s="52"/>
      <c r="AC299" s="52"/>
      <c r="AD299" s="52"/>
      <c r="AE299" s="52"/>
      <c r="AF299" s="52"/>
      <c r="AG299" s="52"/>
      <c r="AH299" s="52"/>
      <c r="AI299" s="52"/>
      <c r="AJ299" s="52"/>
      <c r="AK299" s="52"/>
      <c r="AL299" s="52"/>
      <c r="AM299" s="52"/>
      <c r="AN299" s="52"/>
      <c r="AO299" s="52"/>
    </row>
    <row r="300" spans="1:41">
      <c r="A300" s="1"/>
      <c r="B300" s="52"/>
      <c r="C300" s="1"/>
      <c r="D300" s="1"/>
      <c r="E300" s="1"/>
      <c r="F300" s="1"/>
      <c r="G300" s="1"/>
      <c r="H300" s="1"/>
      <c r="I300" s="1"/>
      <c r="J300" s="1"/>
      <c r="K300" s="1"/>
      <c r="L300" s="1"/>
      <c r="M300" s="1"/>
      <c r="N300" s="1"/>
      <c r="O300" s="1"/>
      <c r="P300" s="1"/>
      <c r="Q300" s="1"/>
      <c r="R300" s="1"/>
      <c r="S300" s="52"/>
      <c r="T300" s="52"/>
      <c r="U300" s="52"/>
      <c r="V300" s="52"/>
      <c r="W300" s="52"/>
      <c r="X300" s="52"/>
      <c r="Y300" s="52"/>
      <c r="Z300" s="52"/>
      <c r="AA300" s="52"/>
      <c r="AB300" s="52"/>
      <c r="AC300" s="52"/>
      <c r="AD300" s="52"/>
      <c r="AE300" s="52"/>
      <c r="AF300" s="52"/>
      <c r="AG300" s="52"/>
      <c r="AH300" s="52"/>
      <c r="AI300" s="52"/>
      <c r="AJ300" s="52"/>
      <c r="AK300" s="52"/>
      <c r="AL300" s="52"/>
      <c r="AM300" s="52"/>
      <c r="AN300" s="52"/>
      <c r="AO300" s="52"/>
    </row>
    <row r="301" spans="1:41">
      <c r="A301" s="1"/>
      <c r="B301" s="52"/>
      <c r="C301" s="1"/>
      <c r="D301" s="1"/>
      <c r="E301" s="1"/>
      <c r="F301" s="1"/>
      <c r="G301" s="1"/>
      <c r="H301" s="1"/>
      <c r="I301" s="1"/>
      <c r="J301" s="1"/>
      <c r="K301" s="1"/>
      <c r="L301" s="1"/>
      <c r="M301" s="1"/>
      <c r="N301" s="1"/>
      <c r="O301" s="1"/>
      <c r="P301" s="1"/>
      <c r="Q301" s="1"/>
      <c r="R301" s="1"/>
      <c r="S301" s="52"/>
      <c r="T301" s="52"/>
      <c r="U301" s="52"/>
      <c r="V301" s="52"/>
      <c r="W301" s="52"/>
      <c r="X301" s="52"/>
      <c r="Y301" s="52"/>
      <c r="Z301" s="52"/>
      <c r="AA301" s="52"/>
      <c r="AB301" s="52"/>
      <c r="AC301" s="52"/>
      <c r="AD301" s="52"/>
      <c r="AE301" s="52"/>
      <c r="AF301" s="52"/>
      <c r="AG301" s="52"/>
      <c r="AH301" s="52"/>
      <c r="AI301" s="52"/>
      <c r="AJ301" s="52"/>
      <c r="AK301" s="52"/>
      <c r="AL301" s="52"/>
      <c r="AM301" s="52"/>
      <c r="AN301" s="52"/>
      <c r="AO301" s="52"/>
    </row>
    <row r="302" spans="1:41">
      <c r="A302" s="1"/>
      <c r="B302" s="52"/>
      <c r="C302" s="1"/>
      <c r="D302" s="1"/>
      <c r="E302" s="1"/>
      <c r="F302" s="1"/>
      <c r="G302" s="1"/>
      <c r="H302" s="1"/>
      <c r="I302" s="1"/>
      <c r="J302" s="1"/>
      <c r="K302" s="1"/>
      <c r="L302" s="1"/>
      <c r="M302" s="1"/>
      <c r="N302" s="1"/>
      <c r="O302" s="1"/>
      <c r="P302" s="1"/>
      <c r="Q302" s="1"/>
      <c r="R302" s="1"/>
      <c r="S302" s="52"/>
      <c r="T302" s="52"/>
      <c r="U302" s="52"/>
      <c r="V302" s="52"/>
      <c r="W302" s="52"/>
      <c r="X302" s="52"/>
      <c r="Y302" s="52"/>
      <c r="Z302" s="52"/>
      <c r="AA302" s="52"/>
      <c r="AB302" s="52"/>
      <c r="AC302" s="52"/>
      <c r="AD302" s="52"/>
      <c r="AE302" s="52"/>
      <c r="AF302" s="52"/>
      <c r="AG302" s="52"/>
      <c r="AH302" s="52"/>
      <c r="AI302" s="52"/>
      <c r="AJ302" s="52"/>
      <c r="AK302" s="52"/>
      <c r="AL302" s="52"/>
      <c r="AM302" s="52"/>
      <c r="AN302" s="52"/>
      <c r="AO302" s="52"/>
    </row>
    <row r="303" spans="1:41">
      <c r="A303" s="1"/>
      <c r="B303" s="52"/>
      <c r="C303" s="1"/>
      <c r="D303" s="1"/>
      <c r="E303" s="1"/>
      <c r="F303" s="1"/>
      <c r="G303" s="1"/>
      <c r="H303" s="1"/>
      <c r="I303" s="1"/>
      <c r="J303" s="1"/>
      <c r="K303" s="1"/>
      <c r="L303" s="1"/>
      <c r="M303" s="1"/>
      <c r="N303" s="1"/>
      <c r="O303" s="1"/>
      <c r="P303" s="1"/>
      <c r="Q303" s="1"/>
      <c r="R303" s="1"/>
      <c r="S303" s="52"/>
      <c r="T303" s="52"/>
      <c r="U303" s="52"/>
      <c r="V303" s="52"/>
      <c r="W303" s="52"/>
      <c r="X303" s="52"/>
      <c r="Y303" s="52"/>
      <c r="Z303" s="52"/>
      <c r="AA303" s="52"/>
      <c r="AB303" s="52"/>
      <c r="AC303" s="52"/>
      <c r="AD303" s="52"/>
      <c r="AE303" s="52"/>
      <c r="AF303" s="52"/>
      <c r="AG303" s="52"/>
      <c r="AH303" s="52"/>
      <c r="AI303" s="52"/>
      <c r="AJ303" s="52"/>
      <c r="AK303" s="52"/>
      <c r="AL303" s="52"/>
      <c r="AM303" s="52"/>
      <c r="AN303" s="52"/>
      <c r="AO303" s="52"/>
    </row>
    <row r="304" spans="1:41">
      <c r="A304" s="1"/>
      <c r="B304" s="52"/>
      <c r="C304" s="1"/>
      <c r="D304" s="1"/>
      <c r="E304" s="1"/>
      <c r="F304" s="1"/>
      <c r="G304" s="1"/>
      <c r="H304" s="1"/>
      <c r="I304" s="1"/>
      <c r="J304" s="1"/>
      <c r="K304" s="1"/>
      <c r="L304" s="1"/>
      <c r="M304" s="1"/>
      <c r="N304" s="1"/>
      <c r="O304" s="1"/>
      <c r="P304" s="1"/>
      <c r="Q304" s="1"/>
      <c r="R304" s="1"/>
      <c r="S304" s="52"/>
      <c r="T304" s="52"/>
      <c r="U304" s="52"/>
      <c r="V304" s="52"/>
      <c r="W304" s="52"/>
      <c r="X304" s="52"/>
      <c r="Y304" s="52"/>
      <c r="Z304" s="52"/>
      <c r="AA304" s="52"/>
      <c r="AB304" s="52"/>
      <c r="AC304" s="52"/>
      <c r="AD304" s="52"/>
      <c r="AE304" s="52"/>
      <c r="AF304" s="52"/>
      <c r="AG304" s="52"/>
      <c r="AH304" s="52"/>
      <c r="AI304" s="52"/>
      <c r="AJ304" s="52"/>
      <c r="AK304" s="52"/>
      <c r="AL304" s="52"/>
      <c r="AM304" s="52"/>
      <c r="AN304" s="52"/>
      <c r="AO304" s="52"/>
    </row>
    <row r="305" spans="1:41">
      <c r="A305" s="1"/>
      <c r="B305" s="52"/>
      <c r="C305" s="1"/>
      <c r="D305" s="1"/>
      <c r="E305" s="1"/>
      <c r="F305" s="1"/>
      <c r="G305" s="1"/>
      <c r="H305" s="1"/>
      <c r="I305" s="1"/>
      <c r="J305" s="1"/>
      <c r="K305" s="1"/>
      <c r="L305" s="1"/>
      <c r="M305" s="1"/>
      <c r="N305" s="1"/>
      <c r="O305" s="1"/>
      <c r="P305" s="1"/>
      <c r="Q305" s="1"/>
      <c r="R305" s="1"/>
      <c r="S305" s="52"/>
      <c r="T305" s="52"/>
      <c r="U305" s="52"/>
      <c r="V305" s="52"/>
      <c r="W305" s="52"/>
      <c r="X305" s="52"/>
      <c r="Y305" s="52"/>
      <c r="Z305" s="52"/>
      <c r="AA305" s="52"/>
      <c r="AB305" s="52"/>
      <c r="AC305" s="52"/>
      <c r="AD305" s="52"/>
      <c r="AE305" s="52"/>
      <c r="AF305" s="52"/>
      <c r="AG305" s="52"/>
      <c r="AH305" s="52"/>
      <c r="AI305" s="52"/>
      <c r="AJ305" s="52"/>
      <c r="AK305" s="52"/>
      <c r="AL305" s="52"/>
      <c r="AM305" s="52"/>
      <c r="AN305" s="52"/>
      <c r="AO305" s="52"/>
    </row>
    <row r="306" spans="1:41">
      <c r="A306" s="1"/>
      <c r="B306" s="52"/>
      <c r="C306" s="1"/>
      <c r="D306" s="1"/>
      <c r="E306" s="1"/>
      <c r="F306" s="1"/>
      <c r="G306" s="1"/>
      <c r="H306" s="1"/>
      <c r="I306" s="1"/>
      <c r="J306" s="1"/>
      <c r="K306" s="1"/>
      <c r="L306" s="1"/>
      <c r="M306" s="1"/>
      <c r="N306" s="1"/>
      <c r="O306" s="1"/>
      <c r="P306" s="1"/>
      <c r="Q306" s="1"/>
      <c r="R306" s="1"/>
      <c r="S306" s="52"/>
      <c r="T306" s="52"/>
      <c r="U306" s="52"/>
      <c r="V306" s="52"/>
      <c r="W306" s="52"/>
      <c r="X306" s="52"/>
      <c r="Y306" s="52"/>
      <c r="Z306" s="52"/>
      <c r="AA306" s="52"/>
      <c r="AB306" s="52"/>
      <c r="AC306" s="52"/>
      <c r="AD306" s="52"/>
      <c r="AE306" s="52"/>
      <c r="AF306" s="52"/>
      <c r="AG306" s="52"/>
      <c r="AH306" s="52"/>
      <c r="AI306" s="52"/>
      <c r="AJ306" s="52"/>
      <c r="AK306" s="52"/>
      <c r="AL306" s="52"/>
      <c r="AM306" s="52"/>
      <c r="AN306" s="52"/>
      <c r="AO306" s="52"/>
    </row>
    <row r="307" spans="1:41">
      <c r="A307" s="1"/>
      <c r="B307" s="52"/>
      <c r="C307" s="1"/>
      <c r="D307" s="1"/>
      <c r="E307" s="1"/>
      <c r="F307" s="1"/>
      <c r="G307" s="1"/>
      <c r="H307" s="1"/>
      <c r="I307" s="1"/>
      <c r="J307" s="1"/>
      <c r="K307" s="1"/>
      <c r="L307" s="1"/>
      <c r="M307" s="1"/>
      <c r="N307" s="1"/>
      <c r="O307" s="1"/>
      <c r="P307" s="1"/>
      <c r="Q307" s="1"/>
      <c r="R307" s="1"/>
      <c r="S307" s="52"/>
      <c r="T307" s="52"/>
      <c r="U307" s="52"/>
      <c r="V307" s="52"/>
      <c r="W307" s="52"/>
      <c r="X307" s="52"/>
      <c r="Y307" s="52"/>
      <c r="Z307" s="52"/>
      <c r="AA307" s="52"/>
      <c r="AB307" s="52"/>
      <c r="AC307" s="52"/>
      <c r="AD307" s="52"/>
      <c r="AE307" s="52"/>
      <c r="AF307" s="52"/>
      <c r="AG307" s="52"/>
      <c r="AH307" s="52"/>
      <c r="AI307" s="52"/>
      <c r="AJ307" s="52"/>
      <c r="AK307" s="52"/>
      <c r="AL307" s="52"/>
      <c r="AM307" s="52"/>
      <c r="AN307" s="52"/>
      <c r="AO307" s="52"/>
    </row>
    <row r="308" spans="1:41">
      <c r="A308" s="1"/>
      <c r="B308" s="52"/>
      <c r="C308" s="1"/>
      <c r="D308" s="1"/>
      <c r="E308" s="1"/>
      <c r="F308" s="1"/>
      <c r="G308" s="1"/>
      <c r="H308" s="1"/>
      <c r="I308" s="1"/>
      <c r="J308" s="1"/>
      <c r="K308" s="1"/>
      <c r="L308" s="1"/>
      <c r="M308" s="1"/>
      <c r="N308" s="1"/>
      <c r="O308" s="1"/>
      <c r="P308" s="1"/>
      <c r="Q308" s="1"/>
      <c r="R308" s="1"/>
      <c r="S308" s="52"/>
      <c r="T308" s="52"/>
      <c r="U308" s="52"/>
      <c r="V308" s="52"/>
      <c r="W308" s="52"/>
      <c r="X308" s="52"/>
      <c r="Y308" s="52"/>
      <c r="Z308" s="52"/>
      <c r="AA308" s="52"/>
      <c r="AB308" s="52"/>
      <c r="AC308" s="52"/>
      <c r="AD308" s="52"/>
      <c r="AE308" s="52"/>
      <c r="AF308" s="52"/>
      <c r="AG308" s="52"/>
      <c r="AH308" s="52"/>
      <c r="AI308" s="52"/>
      <c r="AJ308" s="52"/>
      <c r="AK308" s="52"/>
      <c r="AL308" s="52"/>
      <c r="AM308" s="52"/>
      <c r="AN308" s="52"/>
      <c r="AO308" s="52"/>
    </row>
    <row r="309" spans="1:41">
      <c r="A309" s="1"/>
      <c r="B309" s="52"/>
      <c r="C309" s="1"/>
      <c r="D309" s="1"/>
      <c r="E309" s="1"/>
      <c r="F309" s="1"/>
      <c r="G309" s="1"/>
      <c r="H309" s="1"/>
      <c r="I309" s="1"/>
      <c r="J309" s="1"/>
      <c r="K309" s="1"/>
      <c r="L309" s="1"/>
      <c r="M309" s="1"/>
      <c r="N309" s="1"/>
      <c r="O309" s="1"/>
      <c r="P309" s="1"/>
      <c r="Q309" s="1"/>
      <c r="R309" s="1"/>
      <c r="S309" s="52"/>
      <c r="T309" s="52"/>
      <c r="U309" s="52"/>
      <c r="V309" s="52"/>
      <c r="W309" s="52"/>
      <c r="X309" s="52"/>
      <c r="Y309" s="52"/>
      <c r="Z309" s="52"/>
      <c r="AA309" s="52"/>
      <c r="AB309" s="52"/>
      <c r="AC309" s="52"/>
      <c r="AD309" s="52"/>
      <c r="AE309" s="52"/>
      <c r="AF309" s="52"/>
      <c r="AG309" s="52"/>
      <c r="AH309" s="52"/>
      <c r="AI309" s="52"/>
      <c r="AJ309" s="52"/>
      <c r="AK309" s="52"/>
      <c r="AL309" s="52"/>
      <c r="AM309" s="52"/>
      <c r="AN309" s="52"/>
      <c r="AO309" s="52"/>
    </row>
    <row r="310" spans="1:41">
      <c r="A310" s="1"/>
      <c r="B310" s="52"/>
      <c r="C310" s="1"/>
      <c r="D310" s="1"/>
      <c r="E310" s="1"/>
      <c r="F310" s="1"/>
      <c r="G310" s="1"/>
      <c r="H310" s="1"/>
      <c r="I310" s="1"/>
      <c r="J310" s="1"/>
      <c r="K310" s="1"/>
      <c r="L310" s="1"/>
      <c r="M310" s="1"/>
      <c r="N310" s="1"/>
      <c r="O310" s="1"/>
      <c r="P310" s="1"/>
      <c r="Q310" s="1"/>
      <c r="R310" s="1"/>
      <c r="S310" s="52"/>
      <c r="T310" s="52"/>
      <c r="U310" s="52"/>
      <c r="V310" s="52"/>
      <c r="W310" s="52"/>
      <c r="X310" s="52"/>
      <c r="Y310" s="52"/>
      <c r="Z310" s="52"/>
      <c r="AA310" s="52"/>
      <c r="AB310" s="52"/>
      <c r="AC310" s="52"/>
      <c r="AD310" s="52"/>
      <c r="AE310" s="52"/>
      <c r="AF310" s="52"/>
      <c r="AG310" s="52"/>
      <c r="AH310" s="52"/>
      <c r="AI310" s="52"/>
      <c r="AJ310" s="52"/>
      <c r="AK310" s="52"/>
      <c r="AL310" s="52"/>
      <c r="AM310" s="52"/>
      <c r="AN310" s="52"/>
      <c r="AO310" s="52"/>
    </row>
    <row r="311" spans="1:41">
      <c r="A311" s="1"/>
      <c r="B311" s="52"/>
      <c r="C311" s="1"/>
      <c r="D311" s="1"/>
      <c r="E311" s="1"/>
      <c r="F311" s="1"/>
      <c r="G311" s="1"/>
      <c r="H311" s="1"/>
      <c r="I311" s="1"/>
      <c r="J311" s="1"/>
      <c r="K311" s="1"/>
      <c r="L311" s="1"/>
      <c r="M311" s="1"/>
      <c r="N311" s="1"/>
      <c r="O311" s="1"/>
      <c r="P311" s="1"/>
      <c r="Q311" s="1"/>
      <c r="R311" s="1"/>
      <c r="S311" s="52"/>
      <c r="T311" s="52"/>
      <c r="U311" s="52"/>
      <c r="V311" s="52"/>
      <c r="W311" s="52"/>
      <c r="X311" s="52"/>
      <c r="Y311" s="52"/>
      <c r="Z311" s="52"/>
      <c r="AA311" s="52"/>
      <c r="AB311" s="52"/>
      <c r="AC311" s="52"/>
      <c r="AD311" s="52"/>
      <c r="AE311" s="52"/>
      <c r="AF311" s="52"/>
      <c r="AG311" s="52"/>
      <c r="AH311" s="52"/>
      <c r="AI311" s="52"/>
      <c r="AJ311" s="52"/>
      <c r="AK311" s="52"/>
      <c r="AL311" s="52"/>
      <c r="AM311" s="52"/>
      <c r="AN311" s="52"/>
      <c r="AO311" s="52"/>
    </row>
    <row r="312" spans="1:41">
      <c r="A312" s="1"/>
      <c r="B312" s="52"/>
      <c r="C312" s="1"/>
      <c r="D312" s="1"/>
      <c r="E312" s="1"/>
      <c r="F312" s="1"/>
      <c r="G312" s="1"/>
      <c r="H312" s="1"/>
      <c r="I312" s="1"/>
      <c r="J312" s="1"/>
      <c r="K312" s="1"/>
      <c r="L312" s="1"/>
      <c r="M312" s="1"/>
      <c r="N312" s="1"/>
      <c r="O312" s="1"/>
      <c r="P312" s="1"/>
      <c r="Q312" s="1"/>
      <c r="R312" s="1"/>
      <c r="S312" s="1"/>
      <c r="T312" s="1"/>
      <c r="U312" s="1"/>
      <c r="V312" s="1"/>
      <c r="W312" s="1"/>
      <c r="X312" s="1"/>
    </row>
    <row r="313" spans="1:41">
      <c r="A313" s="1"/>
      <c r="B313" s="52"/>
      <c r="C313" s="1"/>
      <c r="D313" s="1"/>
      <c r="E313" s="1"/>
      <c r="F313" s="1"/>
      <c r="G313" s="1"/>
      <c r="H313" s="1"/>
      <c r="I313" s="1"/>
      <c r="J313" s="1"/>
      <c r="K313" s="1"/>
      <c r="L313" s="1"/>
      <c r="M313" s="1"/>
      <c r="N313" s="1"/>
      <c r="O313" s="1"/>
      <c r="P313" s="1"/>
      <c r="Q313" s="1"/>
      <c r="R313" s="1"/>
      <c r="S313" s="1"/>
      <c r="T313" s="1"/>
      <c r="U313" s="1"/>
      <c r="V313" s="1"/>
      <c r="W313" s="1"/>
      <c r="X313" s="1"/>
    </row>
    <row r="314" spans="1:41">
      <c r="A314" s="1"/>
      <c r="B314" s="52"/>
      <c r="C314" s="1"/>
      <c r="D314" s="1"/>
      <c r="E314" s="1"/>
      <c r="F314" s="1"/>
      <c r="G314" s="1"/>
      <c r="H314" s="1"/>
      <c r="I314" s="1"/>
      <c r="J314" s="1"/>
      <c r="K314" s="1"/>
      <c r="L314" s="1"/>
      <c r="M314" s="1"/>
      <c r="N314" s="1"/>
      <c r="O314" s="1"/>
      <c r="P314" s="1"/>
      <c r="Q314" s="1"/>
      <c r="R314" s="1"/>
      <c r="S314" s="1"/>
      <c r="T314" s="1"/>
      <c r="U314" s="1"/>
      <c r="V314" s="1"/>
      <c r="W314" s="1"/>
      <c r="X314" s="1"/>
    </row>
    <row r="315" spans="1:41">
      <c r="A315" s="1"/>
      <c r="B315" s="52"/>
      <c r="C315" s="1"/>
      <c r="D315" s="1"/>
      <c r="E315" s="1"/>
      <c r="F315" s="1"/>
      <c r="G315" s="1"/>
      <c r="H315" s="1"/>
      <c r="I315" s="1"/>
      <c r="J315" s="1"/>
      <c r="K315" s="1"/>
      <c r="L315" s="1"/>
      <c r="M315" s="1"/>
      <c r="N315" s="1"/>
      <c r="O315" s="1"/>
      <c r="P315" s="1"/>
      <c r="Q315" s="1"/>
      <c r="R315" s="1"/>
      <c r="S315" s="1"/>
      <c r="T315" s="1"/>
      <c r="U315" s="1"/>
      <c r="V315" s="1"/>
      <c r="W315" s="1"/>
      <c r="X315" s="1"/>
    </row>
    <row r="316" spans="1:41">
      <c r="A316" s="1"/>
      <c r="B316" s="52"/>
      <c r="C316" s="1"/>
      <c r="D316" s="1"/>
      <c r="E316" s="1"/>
      <c r="F316" s="1"/>
      <c r="G316" s="1"/>
      <c r="H316" s="1"/>
      <c r="I316" s="1"/>
      <c r="J316" s="1"/>
      <c r="K316" s="1"/>
      <c r="L316" s="1"/>
      <c r="M316" s="1"/>
      <c r="N316" s="1"/>
      <c r="O316" s="1"/>
      <c r="P316" s="1"/>
      <c r="Q316" s="1"/>
      <c r="R316" s="1"/>
      <c r="S316" s="1"/>
      <c r="T316" s="1"/>
      <c r="U316" s="1"/>
      <c r="V316" s="1"/>
      <c r="W316" s="1"/>
      <c r="X316" s="1"/>
    </row>
    <row r="317" spans="1:41">
      <c r="A317" s="1"/>
      <c r="B317" s="52"/>
      <c r="C317" s="1"/>
      <c r="D317" s="1"/>
      <c r="E317" s="1"/>
      <c r="F317" s="1"/>
      <c r="G317" s="1"/>
      <c r="H317" s="1"/>
      <c r="I317" s="1"/>
      <c r="J317" s="1"/>
      <c r="K317" s="1"/>
      <c r="L317" s="1"/>
      <c r="M317" s="1"/>
      <c r="N317" s="1"/>
      <c r="O317" s="1"/>
      <c r="P317" s="1"/>
      <c r="Q317" s="1"/>
      <c r="R317" s="1"/>
      <c r="S317" s="1"/>
      <c r="T317" s="1"/>
      <c r="U317" s="1"/>
      <c r="V317" s="1"/>
      <c r="W317" s="1"/>
      <c r="X317" s="1"/>
    </row>
    <row r="318" spans="1:41">
      <c r="A318" s="1"/>
      <c r="B318" s="52"/>
      <c r="C318" s="1"/>
      <c r="D318" s="1"/>
      <c r="E318" s="1"/>
      <c r="F318" s="1"/>
      <c r="G318" s="1"/>
      <c r="H318" s="1"/>
      <c r="I318" s="1"/>
      <c r="J318" s="1"/>
      <c r="K318" s="1"/>
      <c r="L318" s="1"/>
      <c r="M318" s="1"/>
      <c r="N318" s="1"/>
      <c r="O318" s="1"/>
      <c r="P318" s="1"/>
      <c r="Q318" s="1"/>
      <c r="R318" s="1"/>
      <c r="S318" s="1"/>
      <c r="T318" s="1"/>
      <c r="U318" s="1"/>
      <c r="V318" s="1"/>
      <c r="W318" s="1"/>
      <c r="X318" s="1"/>
    </row>
    <row r="319" spans="1:41">
      <c r="A319" s="1"/>
      <c r="B319" s="52"/>
      <c r="C319" s="1"/>
      <c r="D319" s="1"/>
      <c r="E319" s="1"/>
      <c r="F319" s="1"/>
      <c r="G319" s="1"/>
      <c r="H319" s="1"/>
      <c r="I319" s="1"/>
      <c r="J319" s="1"/>
      <c r="K319" s="1"/>
      <c r="L319" s="1"/>
      <c r="M319" s="1"/>
      <c r="N319" s="1"/>
      <c r="O319" s="1"/>
      <c r="P319" s="1"/>
      <c r="Q319" s="1"/>
      <c r="R319" s="1"/>
      <c r="S319" s="1"/>
      <c r="T319" s="1"/>
      <c r="U319" s="1"/>
      <c r="V319" s="1"/>
      <c r="W319" s="1"/>
      <c r="X319" s="1"/>
    </row>
    <row r="320" spans="1:41">
      <c r="A320" s="1"/>
      <c r="B320" s="52"/>
      <c r="C320" s="1"/>
      <c r="D320" s="1"/>
      <c r="E320" s="1"/>
      <c r="F320" s="1"/>
      <c r="G320" s="1"/>
      <c r="H320" s="1"/>
      <c r="I320" s="1"/>
      <c r="J320" s="1"/>
      <c r="K320" s="1"/>
      <c r="L320" s="1"/>
      <c r="M320" s="1"/>
      <c r="N320" s="1"/>
      <c r="O320" s="1"/>
      <c r="P320" s="1"/>
      <c r="Q320" s="1"/>
      <c r="R320" s="1"/>
      <c r="S320" s="1"/>
      <c r="T320" s="1"/>
      <c r="U320" s="1"/>
      <c r="V320" s="1"/>
      <c r="W320" s="1"/>
      <c r="X320" s="1"/>
    </row>
    <row r="321" spans="1:24">
      <c r="A321" s="1"/>
      <c r="B321" s="52"/>
      <c r="C321" s="1"/>
      <c r="D321" s="1"/>
      <c r="E321" s="1"/>
      <c r="F321" s="1"/>
      <c r="G321" s="1"/>
      <c r="H321" s="1"/>
      <c r="I321" s="1"/>
      <c r="J321" s="1"/>
      <c r="K321" s="1"/>
      <c r="L321" s="1"/>
      <c r="M321" s="1"/>
      <c r="N321" s="1"/>
      <c r="O321" s="1"/>
      <c r="P321" s="1"/>
      <c r="Q321" s="1"/>
      <c r="R321" s="1"/>
      <c r="S321" s="1"/>
      <c r="T321" s="1"/>
      <c r="U321" s="1"/>
      <c r="V321" s="1"/>
      <c r="W321" s="1"/>
      <c r="X321" s="1"/>
    </row>
    <row r="322" spans="1:24">
      <c r="A322" s="1"/>
      <c r="B322" s="52"/>
      <c r="C322" s="1"/>
      <c r="D322" s="1"/>
      <c r="E322" s="1"/>
      <c r="F322" s="1"/>
      <c r="G322" s="1"/>
      <c r="H322" s="1"/>
      <c r="I322" s="1"/>
      <c r="J322" s="1"/>
      <c r="K322" s="1"/>
      <c r="L322" s="1"/>
      <c r="M322" s="1"/>
      <c r="N322" s="1"/>
      <c r="O322" s="1"/>
      <c r="P322" s="1"/>
      <c r="Q322" s="1"/>
      <c r="R322" s="1"/>
      <c r="S322" s="1"/>
      <c r="T322" s="1"/>
      <c r="U322" s="1"/>
      <c r="V322" s="1"/>
      <c r="W322" s="1"/>
      <c r="X322" s="1"/>
    </row>
    <row r="323" spans="1:24">
      <c r="A323" s="1"/>
      <c r="B323" s="52"/>
      <c r="C323" s="1"/>
      <c r="D323" s="1"/>
      <c r="E323" s="1"/>
      <c r="F323" s="1"/>
      <c r="G323" s="1"/>
      <c r="H323" s="1"/>
      <c r="I323" s="1"/>
      <c r="J323" s="1"/>
      <c r="K323" s="1"/>
      <c r="L323" s="1"/>
      <c r="M323" s="1"/>
      <c r="N323" s="1"/>
      <c r="O323" s="1"/>
      <c r="P323" s="1"/>
      <c r="Q323" s="1"/>
      <c r="R323" s="1"/>
      <c r="S323" s="1"/>
      <c r="T323" s="1"/>
      <c r="U323" s="1"/>
      <c r="V323" s="1"/>
      <c r="W323" s="1"/>
      <c r="X323" s="1"/>
    </row>
    <row r="324" spans="1:24">
      <c r="A324" s="1"/>
      <c r="B324" s="52"/>
      <c r="C324" s="1"/>
      <c r="D324" s="1"/>
      <c r="E324" s="1"/>
      <c r="F324" s="1"/>
      <c r="G324" s="1"/>
      <c r="H324" s="1"/>
      <c r="I324" s="1"/>
      <c r="J324" s="1"/>
      <c r="K324" s="1"/>
      <c r="L324" s="1"/>
      <c r="M324" s="1"/>
      <c r="N324" s="1"/>
      <c r="O324" s="1"/>
      <c r="P324" s="1"/>
      <c r="Q324" s="1"/>
      <c r="R324" s="1"/>
      <c r="S324" s="1"/>
      <c r="T324" s="1"/>
      <c r="U324" s="1"/>
      <c r="V324" s="1"/>
      <c r="W324" s="1"/>
      <c r="X324" s="1"/>
    </row>
    <row r="325" spans="1:24">
      <c r="A325" s="1"/>
      <c r="B325" s="52"/>
      <c r="C325" s="1"/>
      <c r="D325" s="1"/>
      <c r="E325" s="1"/>
      <c r="F325" s="1"/>
      <c r="G325" s="1"/>
      <c r="H325" s="1"/>
      <c r="I325" s="1"/>
      <c r="J325" s="1"/>
      <c r="K325" s="1"/>
      <c r="L325" s="1"/>
      <c r="M325" s="1"/>
      <c r="N325" s="1"/>
      <c r="O325" s="1"/>
      <c r="P325" s="1"/>
      <c r="Q325" s="1"/>
      <c r="R325" s="1"/>
      <c r="S325" s="1"/>
      <c r="T325" s="1"/>
      <c r="U325" s="1"/>
      <c r="V325" s="1"/>
      <c r="W325" s="1"/>
      <c r="X325" s="1"/>
    </row>
    <row r="326" spans="1:24">
      <c r="A326" s="1"/>
      <c r="B326" s="52"/>
      <c r="C326" s="1"/>
      <c r="D326" s="1"/>
      <c r="E326" s="1"/>
      <c r="F326" s="1"/>
      <c r="G326" s="1"/>
      <c r="H326" s="1"/>
      <c r="I326" s="1"/>
      <c r="J326" s="1"/>
      <c r="K326" s="1"/>
      <c r="L326" s="1"/>
      <c r="M326" s="1"/>
      <c r="N326" s="1"/>
      <c r="O326" s="1"/>
      <c r="P326" s="1"/>
      <c r="Q326" s="1"/>
      <c r="R326" s="1"/>
      <c r="S326" s="1"/>
      <c r="T326" s="1"/>
      <c r="U326" s="1"/>
      <c r="V326" s="1"/>
      <c r="W326" s="1"/>
      <c r="X326" s="1"/>
    </row>
    <row r="327" spans="1:24">
      <c r="A327" s="1"/>
      <c r="B327" s="52"/>
      <c r="C327" s="1"/>
      <c r="D327" s="1"/>
      <c r="E327" s="1"/>
      <c r="F327" s="1"/>
      <c r="G327" s="1"/>
      <c r="H327" s="1"/>
      <c r="I327" s="1"/>
      <c r="J327" s="1"/>
      <c r="K327" s="1"/>
      <c r="L327" s="1"/>
      <c r="M327" s="1"/>
      <c r="N327" s="1"/>
      <c r="O327" s="1"/>
      <c r="P327" s="1"/>
      <c r="Q327" s="1"/>
      <c r="R327" s="1"/>
      <c r="S327" s="1"/>
      <c r="T327" s="1"/>
      <c r="U327" s="1"/>
      <c r="V327" s="1"/>
      <c r="W327" s="1"/>
      <c r="X327" s="1"/>
    </row>
    <row r="328" spans="1:24">
      <c r="A328" s="1"/>
      <c r="B328" s="52"/>
      <c r="C328" s="1"/>
      <c r="D328" s="1"/>
      <c r="E328" s="1"/>
      <c r="F328" s="1"/>
      <c r="G328" s="1"/>
      <c r="H328" s="1"/>
      <c r="I328" s="1"/>
      <c r="J328" s="1"/>
      <c r="K328" s="1"/>
      <c r="L328" s="1"/>
      <c r="M328" s="1"/>
      <c r="N328" s="1"/>
      <c r="O328" s="1"/>
      <c r="P328" s="1"/>
      <c r="Q328" s="1"/>
      <c r="R328" s="1"/>
      <c r="S328" s="1"/>
      <c r="T328" s="1"/>
      <c r="U328" s="1"/>
      <c r="V328" s="1"/>
      <c r="W328" s="1"/>
      <c r="X328" s="1"/>
    </row>
    <row r="329" spans="1:24">
      <c r="A329" s="1"/>
      <c r="B329" s="52"/>
      <c r="C329" s="1"/>
      <c r="D329" s="1"/>
      <c r="E329" s="1"/>
      <c r="F329" s="1"/>
      <c r="G329" s="1"/>
      <c r="H329" s="1"/>
      <c r="I329" s="1"/>
      <c r="J329" s="1"/>
      <c r="K329" s="1"/>
      <c r="L329" s="1"/>
      <c r="M329" s="1"/>
      <c r="N329" s="1"/>
      <c r="O329" s="1"/>
      <c r="P329" s="1"/>
      <c r="Q329" s="1"/>
      <c r="R329" s="1"/>
      <c r="S329" s="1"/>
      <c r="T329" s="1"/>
      <c r="U329" s="1"/>
      <c r="V329" s="1"/>
      <c r="W329" s="1"/>
      <c r="X329" s="1"/>
    </row>
    <row r="330" spans="1:24">
      <c r="A330" s="1"/>
      <c r="B330" s="52"/>
      <c r="C330" s="1"/>
      <c r="D330" s="1"/>
      <c r="E330" s="1"/>
      <c r="F330" s="1"/>
      <c r="G330" s="1"/>
      <c r="H330" s="1"/>
      <c r="I330" s="1"/>
      <c r="J330" s="1"/>
      <c r="K330" s="1"/>
      <c r="L330" s="1"/>
      <c r="M330" s="1"/>
      <c r="N330" s="1"/>
      <c r="O330" s="1"/>
      <c r="P330" s="1"/>
      <c r="Q330" s="1"/>
      <c r="R330" s="1"/>
      <c r="S330" s="1"/>
      <c r="T330" s="1"/>
      <c r="U330" s="1"/>
      <c r="V330" s="1"/>
      <c r="W330" s="1"/>
      <c r="X330" s="1"/>
    </row>
    <row r="331" spans="1:24">
      <c r="A331" s="1"/>
      <c r="B331" s="52"/>
      <c r="C331" s="1"/>
      <c r="D331" s="1"/>
      <c r="E331" s="1"/>
      <c r="F331" s="1"/>
      <c r="G331" s="1"/>
      <c r="H331" s="1"/>
      <c r="I331" s="1"/>
      <c r="J331" s="1"/>
      <c r="K331" s="1"/>
      <c r="L331" s="1"/>
      <c r="M331" s="1"/>
      <c r="N331" s="1"/>
      <c r="O331" s="1"/>
      <c r="P331" s="1"/>
      <c r="Q331" s="1"/>
      <c r="R331" s="1"/>
      <c r="S331" s="1"/>
      <c r="T331" s="1"/>
      <c r="U331" s="1"/>
      <c r="V331" s="1"/>
      <c r="W331" s="1"/>
      <c r="X331" s="1"/>
    </row>
    <row r="332" spans="1:24">
      <c r="A332" s="1"/>
      <c r="B332" s="52"/>
      <c r="C332" s="1"/>
      <c r="D332" s="1"/>
      <c r="E332" s="1"/>
      <c r="F332" s="1"/>
      <c r="G332" s="1"/>
      <c r="H332" s="1"/>
      <c r="I332" s="1"/>
      <c r="J332" s="1"/>
      <c r="K332" s="1"/>
      <c r="L332" s="1"/>
      <c r="M332" s="1"/>
      <c r="N332" s="1"/>
      <c r="O332" s="1"/>
      <c r="P332" s="1"/>
      <c r="Q332" s="1"/>
      <c r="R332" s="1"/>
      <c r="S332" s="1"/>
      <c r="T332" s="1"/>
      <c r="U332" s="1"/>
      <c r="V332" s="1"/>
      <c r="W332" s="1"/>
      <c r="X332" s="1"/>
    </row>
    <row r="333" spans="1:24">
      <c r="A333" s="1"/>
      <c r="B333" s="52"/>
      <c r="C333" s="1"/>
      <c r="D333" s="1"/>
      <c r="E333" s="1"/>
      <c r="F333" s="1"/>
      <c r="G333" s="1"/>
      <c r="H333" s="1"/>
      <c r="I333" s="1"/>
      <c r="J333" s="1"/>
      <c r="K333" s="1"/>
      <c r="L333" s="1"/>
      <c r="M333" s="1"/>
      <c r="N333" s="1"/>
      <c r="O333" s="1"/>
      <c r="P333" s="1"/>
      <c r="Q333" s="1"/>
      <c r="R333" s="1"/>
      <c r="S333" s="1"/>
      <c r="T333" s="1"/>
      <c r="U333" s="1"/>
      <c r="V333" s="1"/>
      <c r="W333" s="1"/>
      <c r="X333" s="1"/>
    </row>
    <row r="334" spans="1:24">
      <c r="A334" s="1"/>
      <c r="B334" s="52"/>
      <c r="C334" s="1"/>
      <c r="D334" s="1"/>
      <c r="E334" s="1"/>
      <c r="F334" s="1"/>
      <c r="G334" s="1"/>
      <c r="H334" s="1"/>
      <c r="I334" s="1"/>
      <c r="J334" s="1"/>
      <c r="K334" s="1"/>
      <c r="L334" s="1"/>
      <c r="M334" s="1"/>
      <c r="N334" s="1"/>
      <c r="O334" s="1"/>
      <c r="P334" s="1"/>
      <c r="Q334" s="1"/>
      <c r="R334" s="1"/>
      <c r="S334" s="1"/>
      <c r="T334" s="1"/>
      <c r="U334" s="1"/>
      <c r="V334" s="1"/>
      <c r="W334" s="1"/>
      <c r="X334" s="1"/>
    </row>
    <row r="335" spans="1:24">
      <c r="A335" s="1"/>
      <c r="B335" s="52"/>
      <c r="C335" s="1"/>
      <c r="D335" s="1"/>
      <c r="E335" s="1"/>
      <c r="F335" s="1"/>
      <c r="G335" s="1"/>
      <c r="H335" s="1"/>
      <c r="I335" s="1"/>
      <c r="J335" s="1"/>
      <c r="K335" s="1"/>
      <c r="L335" s="1"/>
      <c r="M335" s="1"/>
      <c r="N335" s="1"/>
      <c r="O335" s="1"/>
      <c r="P335" s="1"/>
      <c r="Q335" s="1"/>
      <c r="R335" s="1"/>
      <c r="S335" s="1"/>
      <c r="T335" s="1"/>
      <c r="U335" s="1"/>
      <c r="V335" s="1"/>
      <c r="W335" s="1"/>
      <c r="X335" s="1"/>
    </row>
    <row r="336" spans="1:24">
      <c r="A336" s="1"/>
      <c r="B336" s="52"/>
      <c r="C336" s="1"/>
      <c r="D336" s="1"/>
      <c r="E336" s="1"/>
      <c r="F336" s="1"/>
      <c r="G336" s="1"/>
      <c r="H336" s="1"/>
      <c r="I336" s="1"/>
      <c r="J336" s="1"/>
      <c r="K336" s="1"/>
      <c r="L336" s="1"/>
      <c r="M336" s="1"/>
      <c r="N336" s="1"/>
      <c r="O336" s="1"/>
      <c r="P336" s="1"/>
      <c r="Q336" s="1"/>
      <c r="R336" s="1"/>
      <c r="S336" s="1"/>
      <c r="T336" s="1"/>
      <c r="U336" s="1"/>
      <c r="V336" s="1"/>
      <c r="W336" s="1"/>
      <c r="X336" s="1"/>
    </row>
    <row r="337" spans="1:24">
      <c r="A337" s="1"/>
      <c r="B337" s="52"/>
      <c r="C337" s="1"/>
      <c r="D337" s="1"/>
      <c r="E337" s="1"/>
      <c r="F337" s="1"/>
      <c r="G337" s="1"/>
      <c r="H337" s="1"/>
      <c r="I337" s="1"/>
      <c r="J337" s="1"/>
      <c r="K337" s="1"/>
      <c r="L337" s="1"/>
      <c r="M337" s="1"/>
      <c r="N337" s="1"/>
      <c r="O337" s="1"/>
      <c r="P337" s="1"/>
      <c r="Q337" s="1"/>
      <c r="R337" s="1"/>
      <c r="S337" s="1"/>
      <c r="T337" s="1"/>
      <c r="U337" s="1"/>
      <c r="V337" s="1"/>
      <c r="W337" s="1"/>
      <c r="X337" s="1"/>
    </row>
    <row r="338" spans="1:24">
      <c r="A338" s="1"/>
      <c r="B338" s="52"/>
      <c r="C338" s="1"/>
      <c r="D338" s="1"/>
      <c r="E338" s="1"/>
      <c r="F338" s="1"/>
      <c r="G338" s="1"/>
      <c r="H338" s="1"/>
      <c r="I338" s="1"/>
      <c r="J338" s="1"/>
      <c r="K338" s="1"/>
      <c r="L338" s="1"/>
      <c r="M338" s="1"/>
      <c r="N338" s="1"/>
      <c r="O338" s="1"/>
      <c r="P338" s="1"/>
      <c r="Q338" s="1"/>
      <c r="R338" s="1"/>
      <c r="S338" s="1"/>
      <c r="T338" s="1"/>
      <c r="U338" s="1"/>
      <c r="V338" s="1"/>
      <c r="W338" s="1"/>
      <c r="X338" s="1"/>
    </row>
    <row r="339" spans="1:24">
      <c r="A339" s="1"/>
      <c r="B339" s="52"/>
      <c r="C339" s="1"/>
      <c r="D339" s="1"/>
      <c r="E339" s="1"/>
      <c r="F339" s="1"/>
      <c r="G339" s="1"/>
      <c r="H339" s="1"/>
      <c r="I339" s="1"/>
      <c r="J339" s="1"/>
      <c r="K339" s="1"/>
      <c r="L339" s="1"/>
      <c r="M339" s="1"/>
      <c r="N339" s="1"/>
      <c r="O339" s="1"/>
      <c r="P339" s="1"/>
      <c r="Q339" s="1"/>
      <c r="R339" s="1"/>
      <c r="S339" s="1"/>
      <c r="T339" s="1"/>
      <c r="U339" s="1"/>
      <c r="V339" s="1"/>
      <c r="W339" s="1"/>
      <c r="X339" s="1"/>
    </row>
    <row r="340" spans="1:24">
      <c r="A340" s="1"/>
      <c r="B340" s="52"/>
      <c r="C340" s="1"/>
      <c r="D340" s="1"/>
      <c r="E340" s="1"/>
      <c r="F340" s="1"/>
      <c r="G340" s="1"/>
      <c r="H340" s="1"/>
      <c r="I340" s="1"/>
      <c r="J340" s="1"/>
      <c r="K340" s="1"/>
      <c r="L340" s="1"/>
      <c r="M340" s="1"/>
      <c r="N340" s="1"/>
      <c r="O340" s="1"/>
      <c r="P340" s="1"/>
      <c r="Q340" s="1"/>
      <c r="R340" s="1"/>
      <c r="S340" s="1"/>
      <c r="T340" s="1"/>
      <c r="U340" s="1"/>
      <c r="V340" s="1"/>
      <c r="W340" s="1"/>
      <c r="X340" s="1"/>
    </row>
    <row r="341" spans="1:24">
      <c r="A341" s="1"/>
      <c r="B341" s="52"/>
      <c r="C341" s="1"/>
      <c r="D341" s="1"/>
      <c r="E341" s="1"/>
      <c r="F341" s="1"/>
      <c r="G341" s="1"/>
      <c r="H341" s="1"/>
      <c r="I341" s="1"/>
      <c r="J341" s="1"/>
      <c r="K341" s="1"/>
      <c r="L341" s="1"/>
      <c r="M341" s="1"/>
      <c r="N341" s="1"/>
      <c r="O341" s="1"/>
      <c r="P341" s="1"/>
      <c r="Q341" s="1"/>
      <c r="R341" s="1"/>
      <c r="S341" s="1"/>
      <c r="T341" s="1"/>
      <c r="U341" s="1"/>
      <c r="V341" s="1"/>
      <c r="W341" s="1"/>
      <c r="X341" s="1"/>
    </row>
    <row r="342" spans="1:24">
      <c r="A342" s="1"/>
      <c r="B342" s="52"/>
      <c r="C342" s="1"/>
      <c r="D342" s="1"/>
      <c r="E342" s="1"/>
      <c r="F342" s="1"/>
      <c r="G342" s="1"/>
      <c r="H342" s="1"/>
      <c r="I342" s="1"/>
      <c r="J342" s="1"/>
      <c r="K342" s="1"/>
      <c r="L342" s="1"/>
      <c r="M342" s="1"/>
      <c r="N342" s="1"/>
      <c r="O342" s="1"/>
      <c r="P342" s="1"/>
      <c r="Q342" s="1"/>
      <c r="R342" s="1"/>
      <c r="S342" s="1"/>
      <c r="T342" s="1"/>
      <c r="U342" s="1"/>
      <c r="V342" s="1"/>
      <c r="W342" s="1"/>
      <c r="X342" s="1"/>
    </row>
    <row r="343" spans="1:24">
      <c r="A343" s="1"/>
      <c r="B343" s="52"/>
      <c r="C343" s="1"/>
      <c r="D343" s="1"/>
      <c r="E343" s="1"/>
      <c r="F343" s="1"/>
      <c r="G343" s="1"/>
      <c r="H343" s="1"/>
      <c r="I343" s="1"/>
      <c r="J343" s="1"/>
      <c r="K343" s="1"/>
      <c r="L343" s="1"/>
      <c r="M343" s="1"/>
      <c r="N343" s="1"/>
      <c r="O343" s="1"/>
      <c r="P343" s="1"/>
      <c r="Q343" s="1"/>
      <c r="R343" s="1"/>
      <c r="S343" s="1"/>
      <c r="T343" s="1"/>
      <c r="U343" s="1"/>
      <c r="V343" s="1"/>
      <c r="W343" s="1"/>
      <c r="X343" s="1"/>
    </row>
    <row r="344" spans="1:24">
      <c r="A344" s="1"/>
      <c r="B344" s="52"/>
      <c r="C344" s="1"/>
      <c r="D344" s="1"/>
      <c r="E344" s="1"/>
      <c r="F344" s="1"/>
      <c r="G344" s="1"/>
      <c r="H344" s="1"/>
      <c r="I344" s="1"/>
      <c r="J344" s="1"/>
      <c r="K344" s="1"/>
      <c r="L344" s="1"/>
      <c r="M344" s="1"/>
      <c r="N344" s="1"/>
      <c r="O344" s="1"/>
      <c r="P344" s="1"/>
      <c r="Q344" s="1"/>
      <c r="R344" s="1"/>
      <c r="S344" s="1"/>
      <c r="T344" s="1"/>
      <c r="U344" s="1"/>
      <c r="V344" s="1"/>
      <c r="W344" s="1"/>
      <c r="X344" s="1"/>
    </row>
    <row r="345" spans="1:24">
      <c r="A345" s="1"/>
      <c r="B345" s="52"/>
      <c r="C345" s="1"/>
      <c r="D345" s="1"/>
      <c r="E345" s="1"/>
      <c r="F345" s="1"/>
      <c r="G345" s="1"/>
      <c r="H345" s="1"/>
      <c r="I345" s="1"/>
      <c r="J345" s="1"/>
      <c r="K345" s="1"/>
      <c r="L345" s="1"/>
      <c r="M345" s="1"/>
      <c r="N345" s="1"/>
      <c r="O345" s="1"/>
      <c r="P345" s="1"/>
      <c r="Q345" s="1"/>
      <c r="R345" s="1"/>
      <c r="S345" s="1"/>
      <c r="T345" s="1"/>
      <c r="U345" s="1"/>
      <c r="V345" s="1"/>
      <c r="W345" s="1"/>
      <c r="X345" s="1"/>
    </row>
    <row r="346" spans="1:24">
      <c r="A346" s="1"/>
      <c r="B346" s="52"/>
      <c r="C346" s="1"/>
      <c r="D346" s="1"/>
      <c r="E346" s="1"/>
      <c r="F346" s="1"/>
      <c r="G346" s="1"/>
      <c r="H346" s="1"/>
      <c r="I346" s="1"/>
      <c r="J346" s="1"/>
      <c r="K346" s="1"/>
      <c r="L346" s="1"/>
      <c r="M346" s="1"/>
      <c r="N346" s="1"/>
      <c r="O346" s="1"/>
      <c r="P346" s="1"/>
      <c r="Q346" s="1"/>
      <c r="R346" s="1"/>
      <c r="S346" s="1"/>
      <c r="T346" s="1"/>
      <c r="U346" s="1"/>
      <c r="V346" s="1"/>
      <c r="W346" s="1"/>
      <c r="X346" s="1"/>
    </row>
    <row r="347" spans="1:24">
      <c r="A347" s="1"/>
      <c r="B347" s="52"/>
      <c r="C347" s="1"/>
      <c r="D347" s="1"/>
      <c r="E347" s="1"/>
      <c r="F347" s="1"/>
      <c r="G347" s="1"/>
      <c r="H347" s="1"/>
      <c r="I347" s="1"/>
      <c r="J347" s="1"/>
      <c r="K347" s="1"/>
      <c r="L347" s="1"/>
      <c r="M347" s="1"/>
      <c r="N347" s="1"/>
      <c r="O347" s="1"/>
      <c r="P347" s="1"/>
      <c r="Q347" s="1"/>
      <c r="R347" s="1"/>
      <c r="S347" s="1"/>
      <c r="T347" s="1"/>
      <c r="U347" s="1"/>
      <c r="V347" s="1"/>
      <c r="W347" s="1"/>
      <c r="X347" s="1"/>
    </row>
    <row r="348" spans="1:24">
      <c r="A348" s="1"/>
      <c r="B348" s="52"/>
      <c r="C348" s="1"/>
      <c r="D348" s="1"/>
      <c r="E348" s="1"/>
      <c r="F348" s="1"/>
      <c r="G348" s="1"/>
      <c r="H348" s="1"/>
      <c r="I348" s="1"/>
      <c r="J348" s="1"/>
      <c r="K348" s="1"/>
      <c r="L348" s="1"/>
      <c r="M348" s="1"/>
      <c r="N348" s="1"/>
      <c r="O348" s="1"/>
      <c r="P348" s="1"/>
      <c r="Q348" s="1"/>
      <c r="R348" s="1"/>
      <c r="S348" s="1"/>
      <c r="T348" s="1"/>
      <c r="U348" s="1"/>
      <c r="V348" s="1"/>
      <c r="W348" s="1"/>
      <c r="X348" s="1"/>
    </row>
    <row r="349" spans="1:24">
      <c r="A349" s="1"/>
      <c r="B349" s="52"/>
      <c r="C349" s="1"/>
      <c r="D349" s="1"/>
      <c r="E349" s="1"/>
      <c r="F349" s="1"/>
      <c r="G349" s="1"/>
      <c r="H349" s="1"/>
      <c r="I349" s="1"/>
      <c r="J349" s="1"/>
      <c r="K349" s="1"/>
      <c r="L349" s="1"/>
      <c r="M349" s="1"/>
      <c r="N349" s="1"/>
      <c r="O349" s="1"/>
      <c r="P349" s="1"/>
      <c r="Q349" s="1"/>
      <c r="R349" s="1"/>
      <c r="S349" s="1"/>
      <c r="T349" s="1"/>
      <c r="U349" s="1"/>
      <c r="V349" s="1"/>
      <c r="W349" s="1"/>
      <c r="X349" s="1"/>
    </row>
    <row r="350" spans="1:24">
      <c r="A350" s="1"/>
      <c r="B350" s="52"/>
      <c r="C350" s="1"/>
      <c r="D350" s="1"/>
      <c r="E350" s="1"/>
      <c r="F350" s="1"/>
      <c r="G350" s="1"/>
      <c r="H350" s="1"/>
      <c r="I350" s="1"/>
      <c r="J350" s="1"/>
      <c r="K350" s="1"/>
      <c r="L350" s="1"/>
      <c r="M350" s="1"/>
      <c r="N350" s="1"/>
      <c r="O350" s="1"/>
      <c r="P350" s="1"/>
      <c r="Q350" s="1"/>
      <c r="R350" s="1"/>
      <c r="S350" s="1"/>
      <c r="T350" s="1"/>
      <c r="U350" s="1"/>
      <c r="V350" s="1"/>
      <c r="W350" s="1"/>
      <c r="X350" s="1"/>
    </row>
    <row r="351" spans="1:24">
      <c r="A351" s="1"/>
      <c r="B351" s="52"/>
      <c r="C351" s="1"/>
      <c r="D351" s="1"/>
      <c r="E351" s="1"/>
      <c r="F351" s="1"/>
      <c r="G351" s="1"/>
      <c r="H351" s="1"/>
      <c r="I351" s="1"/>
      <c r="J351" s="1"/>
      <c r="K351" s="1"/>
      <c r="L351" s="1"/>
      <c r="M351" s="1"/>
      <c r="N351" s="1"/>
      <c r="O351" s="1"/>
      <c r="P351" s="1"/>
      <c r="Q351" s="1"/>
      <c r="R351" s="1"/>
      <c r="S351" s="1"/>
      <c r="T351" s="1"/>
      <c r="U351" s="1"/>
      <c r="V351" s="1"/>
      <c r="W351" s="1"/>
      <c r="X351" s="1"/>
    </row>
    <row r="352" spans="1:24">
      <c r="A352" s="1"/>
      <c r="B352" s="52"/>
      <c r="C352" s="1"/>
      <c r="D352" s="1"/>
      <c r="E352" s="1"/>
      <c r="F352" s="1"/>
      <c r="G352" s="1"/>
      <c r="H352" s="1"/>
      <c r="I352" s="1"/>
      <c r="J352" s="1"/>
      <c r="K352" s="1"/>
      <c r="L352" s="1"/>
      <c r="M352" s="1"/>
      <c r="N352" s="1"/>
      <c r="O352" s="1"/>
      <c r="P352" s="1"/>
      <c r="Q352" s="1"/>
      <c r="R352" s="1"/>
      <c r="S352" s="1"/>
      <c r="T352" s="1"/>
      <c r="U352" s="1"/>
      <c r="V352" s="1"/>
      <c r="W352" s="1"/>
      <c r="X352" s="1"/>
    </row>
    <row r="353" spans="1:24">
      <c r="A353" s="1"/>
      <c r="B353" s="52"/>
      <c r="C353" s="1"/>
      <c r="D353" s="1"/>
      <c r="E353" s="1"/>
      <c r="F353" s="1"/>
      <c r="G353" s="1"/>
      <c r="H353" s="1"/>
      <c r="I353" s="1"/>
      <c r="J353" s="1"/>
      <c r="K353" s="1"/>
      <c r="L353" s="1"/>
      <c r="M353" s="1"/>
      <c r="N353" s="1"/>
      <c r="O353" s="1"/>
      <c r="P353" s="1"/>
      <c r="Q353" s="1"/>
      <c r="R353" s="1"/>
      <c r="S353" s="1"/>
      <c r="T353" s="1"/>
      <c r="U353" s="1"/>
      <c r="V353" s="1"/>
      <c r="W353" s="1"/>
      <c r="X353" s="1"/>
    </row>
    <row r="354" spans="1:24">
      <c r="A354" s="1"/>
      <c r="B354" s="52"/>
      <c r="C354" s="1"/>
      <c r="D354" s="1"/>
      <c r="E354" s="1"/>
      <c r="F354" s="1"/>
      <c r="G354" s="1"/>
      <c r="H354" s="1"/>
      <c r="I354" s="1"/>
      <c r="J354" s="1"/>
      <c r="K354" s="1"/>
      <c r="L354" s="1"/>
      <c r="M354" s="1"/>
      <c r="N354" s="1"/>
      <c r="O354" s="1"/>
      <c r="P354" s="1"/>
      <c r="Q354" s="1"/>
      <c r="R354" s="1"/>
      <c r="S354" s="1"/>
      <c r="T354" s="1"/>
      <c r="U354" s="1"/>
      <c r="V354" s="1"/>
      <c r="W354" s="1"/>
      <c r="X354" s="1"/>
    </row>
    <row r="355" spans="1:24">
      <c r="A355" s="1"/>
      <c r="B355" s="52"/>
      <c r="C355" s="1"/>
      <c r="D355" s="1"/>
      <c r="E355" s="1"/>
      <c r="F355" s="1"/>
      <c r="G355" s="1"/>
      <c r="H355" s="1"/>
      <c r="I355" s="1"/>
      <c r="J355" s="1"/>
      <c r="K355" s="1"/>
      <c r="L355" s="1"/>
      <c r="M355" s="1"/>
      <c r="N355" s="1"/>
      <c r="O355" s="1"/>
      <c r="P355" s="1"/>
      <c r="Q355" s="1"/>
      <c r="R355" s="1"/>
      <c r="S355" s="1"/>
      <c r="T355" s="1"/>
      <c r="U355" s="1"/>
      <c r="V355" s="1"/>
      <c r="W355" s="1"/>
      <c r="X355" s="1"/>
    </row>
    <row r="356" spans="1:24">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c r="T377" s="1"/>
      <c r="U377" s="1"/>
      <c r="V377" s="1"/>
      <c r="W377" s="1"/>
      <c r="X377" s="1"/>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82539-541E-44B3-9FB8-2EA2F899B61A}">
  <dimension ref="A1:Z201"/>
  <sheetViews>
    <sheetView tabSelected="1" topLeftCell="A22" workbookViewId="0">
      <selection activeCell="G132" sqref="G132"/>
    </sheetView>
  </sheetViews>
  <sheetFormatPr defaultRowHeight="14.4"/>
  <cols>
    <col min="2" max="2" width="27.33203125" customWidth="1"/>
    <col min="4" max="4" width="9.88671875" bestFit="1" customWidth="1"/>
    <col min="8" max="8" width="9.44140625" bestFit="1" customWidth="1"/>
    <col min="9" max="9" width="10.44140625" bestFit="1" customWidth="1"/>
    <col min="10" max="15" width="9.44140625" bestFit="1" customWidth="1"/>
    <col min="16" max="16" width="10" customWidth="1"/>
  </cols>
  <sheetData>
    <row r="1" spans="1:26" ht="15" thickBot="1">
      <c r="A1" s="1"/>
      <c r="B1" s="1"/>
      <c r="C1" s="1"/>
      <c r="D1" s="1"/>
      <c r="E1" s="1"/>
      <c r="F1" s="1"/>
      <c r="G1" s="1"/>
      <c r="H1" s="1"/>
      <c r="I1" s="1"/>
      <c r="J1" s="1"/>
      <c r="K1" s="1"/>
      <c r="L1" s="1"/>
      <c r="M1" s="1"/>
      <c r="N1" s="1"/>
      <c r="O1" s="1"/>
      <c r="P1" s="1"/>
      <c r="Q1" s="1"/>
      <c r="R1" s="1"/>
      <c r="S1" s="1"/>
      <c r="T1" s="1"/>
      <c r="U1" s="1"/>
      <c r="V1" s="1"/>
      <c r="W1" s="1"/>
      <c r="X1" s="1"/>
      <c r="Y1" s="1"/>
      <c r="Z1" s="1"/>
    </row>
    <row r="2" spans="1:26" ht="21">
      <c r="A2" s="857"/>
      <c r="B2" s="858" t="s">
        <v>783</v>
      </c>
      <c r="C2" s="847"/>
      <c r="D2" s="847"/>
      <c r="E2" s="847"/>
      <c r="F2" s="847"/>
      <c r="G2" s="847"/>
      <c r="H2" s="847"/>
      <c r="I2" s="847"/>
      <c r="J2" s="847"/>
      <c r="K2" s="847"/>
      <c r="L2" s="847"/>
      <c r="M2" s="847"/>
      <c r="N2" s="847"/>
      <c r="O2" s="847"/>
      <c r="P2" s="847"/>
      <c r="Q2" s="848"/>
      <c r="R2" s="1"/>
      <c r="S2" s="1"/>
      <c r="T2" s="1"/>
      <c r="U2" s="1"/>
      <c r="V2" s="1"/>
      <c r="W2" s="1"/>
      <c r="X2" s="1"/>
      <c r="Y2" s="1"/>
      <c r="Z2" s="1"/>
    </row>
    <row r="3" spans="1:26" ht="15" thickBot="1">
      <c r="A3" s="849"/>
      <c r="B3" s="850"/>
      <c r="C3" s="850"/>
      <c r="D3" s="850"/>
      <c r="E3" s="850"/>
      <c r="F3" s="850"/>
      <c r="G3" s="850"/>
      <c r="H3" s="850"/>
      <c r="I3" s="850"/>
      <c r="J3" s="850"/>
      <c r="K3" s="850"/>
      <c r="L3" s="850"/>
      <c r="M3" s="850"/>
      <c r="N3" s="850"/>
      <c r="O3" s="850"/>
      <c r="P3" s="850"/>
      <c r="Q3" s="851"/>
      <c r="R3" s="1"/>
      <c r="S3" s="1"/>
      <c r="T3" s="1"/>
      <c r="U3" s="1"/>
      <c r="V3" s="1"/>
      <c r="W3" s="1"/>
      <c r="X3" s="1"/>
      <c r="Y3" s="1"/>
      <c r="Z3" s="1"/>
    </row>
    <row r="4" spans="1:26" ht="15" thickBot="1">
      <c r="A4" s="1"/>
      <c r="B4" s="1"/>
      <c r="C4" s="1"/>
      <c r="D4" s="1"/>
      <c r="E4" s="1"/>
      <c r="F4" s="1"/>
      <c r="G4" s="1"/>
      <c r="H4" s="1"/>
      <c r="I4" s="1"/>
      <c r="J4" s="1"/>
      <c r="K4" s="1"/>
      <c r="L4" s="1"/>
      <c r="M4" s="1"/>
      <c r="N4" s="1"/>
      <c r="O4" s="1"/>
      <c r="P4" s="1"/>
      <c r="Q4" s="1"/>
      <c r="R4" s="1"/>
      <c r="S4" s="1"/>
      <c r="T4" s="1"/>
      <c r="U4" s="1"/>
      <c r="V4" s="1"/>
      <c r="W4" s="1"/>
      <c r="X4" s="1"/>
      <c r="Y4" s="1"/>
      <c r="Z4" s="1"/>
    </row>
    <row r="5" spans="1:26">
      <c r="A5" s="1"/>
      <c r="B5" s="761"/>
      <c r="C5" s="776" t="s">
        <v>471</v>
      </c>
      <c r="D5" s="755"/>
      <c r="E5" s="755"/>
      <c r="F5" s="755"/>
      <c r="G5" s="756"/>
      <c r="H5" s="755" t="s">
        <v>543</v>
      </c>
      <c r="I5" s="755"/>
      <c r="J5" s="755"/>
      <c r="K5" s="755"/>
      <c r="L5" s="756"/>
      <c r="M5" s="755" t="s">
        <v>544</v>
      </c>
      <c r="N5" s="755"/>
      <c r="O5" s="756"/>
      <c r="P5" s="755" t="s">
        <v>503</v>
      </c>
      <c r="Q5" s="757"/>
      <c r="R5" s="1"/>
      <c r="S5" s="1"/>
      <c r="T5" s="1"/>
      <c r="U5" s="1"/>
      <c r="V5" s="1"/>
      <c r="W5" s="1"/>
      <c r="X5" s="1"/>
      <c r="Y5" s="1"/>
      <c r="Z5" s="1"/>
    </row>
    <row r="6" spans="1:26" ht="15" thickBot="1">
      <c r="A6" s="1"/>
      <c r="B6" s="762" t="s">
        <v>480</v>
      </c>
      <c r="C6" s="758">
        <v>2015</v>
      </c>
      <c r="D6" s="758">
        <v>2016</v>
      </c>
      <c r="E6" s="758">
        <v>2017</v>
      </c>
      <c r="F6" s="758">
        <v>2018</v>
      </c>
      <c r="G6" s="759">
        <v>2019</v>
      </c>
      <c r="H6" s="758">
        <v>2020</v>
      </c>
      <c r="I6" s="758">
        <v>2021</v>
      </c>
      <c r="J6" s="758">
        <v>2022</v>
      </c>
      <c r="K6" s="758">
        <v>2023</v>
      </c>
      <c r="L6" s="759">
        <v>2024</v>
      </c>
      <c r="M6" s="758">
        <v>2025</v>
      </c>
      <c r="N6" s="758">
        <v>2026</v>
      </c>
      <c r="O6" s="759">
        <v>2027</v>
      </c>
      <c r="P6" s="758"/>
      <c r="Q6" s="760"/>
      <c r="R6" s="1"/>
      <c r="S6" s="1"/>
      <c r="T6" s="1"/>
      <c r="U6" s="1"/>
      <c r="V6" s="1"/>
      <c r="W6" s="1"/>
      <c r="X6" s="1"/>
      <c r="Y6" s="1"/>
      <c r="Z6" s="1"/>
    </row>
    <row r="7" spans="1:26">
      <c r="A7" s="1"/>
      <c r="B7" s="595"/>
      <c r="C7" s="52"/>
      <c r="D7" s="52"/>
      <c r="E7" s="52"/>
      <c r="F7" s="52"/>
      <c r="G7" s="369"/>
      <c r="H7" s="52"/>
      <c r="I7" s="52"/>
      <c r="J7" s="52"/>
      <c r="K7" s="52"/>
      <c r="L7" s="369"/>
      <c r="M7" s="52"/>
      <c r="N7" s="52"/>
      <c r="O7" s="369"/>
      <c r="P7" s="52"/>
      <c r="Q7" s="369"/>
      <c r="R7" s="1"/>
      <c r="S7" s="1"/>
      <c r="T7" s="1"/>
      <c r="U7" s="1"/>
      <c r="V7" s="1"/>
      <c r="W7" s="1"/>
      <c r="X7" s="1"/>
      <c r="Y7" s="1"/>
      <c r="Z7" s="1"/>
    </row>
    <row r="8" spans="1:26">
      <c r="A8" s="1"/>
      <c r="B8" s="595" t="s">
        <v>485</v>
      </c>
      <c r="C8" s="612">
        <v>3106</v>
      </c>
      <c r="D8" s="612">
        <v>3109.1838560000001</v>
      </c>
      <c r="E8" s="612">
        <v>3109.1838560000001</v>
      </c>
      <c r="F8" s="612">
        <v>3109.1838560000001</v>
      </c>
      <c r="G8" s="458">
        <v>3109.1838560000001</v>
      </c>
      <c r="H8" s="52"/>
      <c r="I8" s="52"/>
      <c r="J8" s="52"/>
      <c r="K8" s="52"/>
      <c r="L8" s="369"/>
      <c r="M8" s="52"/>
      <c r="N8" s="52"/>
      <c r="O8" s="369"/>
      <c r="P8" s="52"/>
      <c r="Q8" s="369"/>
      <c r="R8" s="1"/>
      <c r="S8" s="1"/>
      <c r="T8" s="1"/>
      <c r="U8" s="1"/>
      <c r="V8" s="1"/>
      <c r="W8" s="1"/>
      <c r="X8" s="1"/>
      <c r="Y8" s="1"/>
      <c r="Z8" s="1"/>
    </row>
    <row r="9" spans="1:26">
      <c r="A9" s="1"/>
      <c r="B9" s="595" t="s">
        <v>484</v>
      </c>
      <c r="C9" s="509">
        <f>'Reorganised Statements'!D114/C8</f>
        <v>2.4146812620734062E-2</v>
      </c>
      <c r="D9" s="509">
        <f>'Reorganised Statements'!E114/D8</f>
        <v>7.4617652330946624E-2</v>
      </c>
      <c r="E9" s="509">
        <f>'Reorganised Statements'!F114/E8</f>
        <v>9.4236948848997235E-2</v>
      </c>
      <c r="F9" s="509">
        <f>'Reorganised Statements'!G114/F8</f>
        <v>0.11063996724933464</v>
      </c>
      <c r="G9" s="837">
        <f>'Reorganised Statements'!H114/G8</f>
        <v>0.12511321877904411</v>
      </c>
      <c r="H9" s="52"/>
      <c r="I9" s="52"/>
      <c r="J9" s="52"/>
      <c r="K9" s="52"/>
      <c r="L9" s="369"/>
      <c r="M9" s="52"/>
      <c r="N9" s="52"/>
      <c r="O9" s="369"/>
      <c r="P9" s="52"/>
      <c r="Q9" s="369"/>
      <c r="R9" s="1"/>
      <c r="S9" s="1"/>
      <c r="T9" s="1"/>
      <c r="U9" s="1"/>
      <c r="V9" s="1"/>
      <c r="W9" s="1"/>
      <c r="X9" s="1"/>
      <c r="Y9" s="1"/>
      <c r="Z9" s="1"/>
    </row>
    <row r="10" spans="1:26">
      <c r="A10" s="1"/>
      <c r="B10" s="595" t="s">
        <v>481</v>
      </c>
      <c r="C10" s="52">
        <v>126</v>
      </c>
      <c r="D10" s="52">
        <v>153</v>
      </c>
      <c r="E10" s="52">
        <v>180</v>
      </c>
      <c r="F10" s="52">
        <v>218</v>
      </c>
      <c r="G10" s="369">
        <v>241</v>
      </c>
      <c r="H10" s="52"/>
      <c r="I10" s="52"/>
      <c r="J10" s="52"/>
      <c r="K10" s="52"/>
      <c r="L10" s="369"/>
      <c r="M10" s="52"/>
      <c r="N10" s="52"/>
      <c r="O10" s="369"/>
      <c r="P10" s="52"/>
      <c r="Q10" s="369"/>
      <c r="R10" s="1"/>
      <c r="S10" s="1"/>
      <c r="T10" s="1"/>
      <c r="U10" s="1"/>
      <c r="V10" s="1"/>
      <c r="W10" s="1"/>
      <c r="X10" s="1"/>
      <c r="Y10" s="1"/>
      <c r="Z10" s="1"/>
    </row>
    <row r="11" spans="1:26">
      <c r="A11" s="1"/>
      <c r="B11" s="595" t="s">
        <v>482</v>
      </c>
      <c r="C11" s="774">
        <f>C10/C8</f>
        <v>4.0566645202833228E-2</v>
      </c>
      <c r="D11" s="774">
        <f t="shared" ref="D11:G11" si="0">D10/D8</f>
        <v>4.9209055201012208E-2</v>
      </c>
      <c r="E11" s="774">
        <f t="shared" si="0"/>
        <v>5.7893006118837895E-2</v>
      </c>
      <c r="F11" s="774">
        <f t="shared" si="0"/>
        <v>7.011486296614812E-2</v>
      </c>
      <c r="G11" s="436">
        <f t="shared" si="0"/>
        <v>7.7512302636888505E-2</v>
      </c>
      <c r="H11" s="774">
        <v>0.08</v>
      </c>
      <c r="I11" s="774">
        <f>H11*(1.05)</f>
        <v>8.4000000000000005E-2</v>
      </c>
      <c r="J11" s="774">
        <f>I11*(1.05)</f>
        <v>8.8200000000000014E-2</v>
      </c>
      <c r="K11" s="774">
        <f>J11*(1.05)</f>
        <v>9.2610000000000026E-2</v>
      </c>
      <c r="L11" s="436">
        <f>K11*(1.05)</f>
        <v>9.7240500000000035E-2</v>
      </c>
      <c r="M11" s="774">
        <f>L11*(1+L29+L31)</f>
        <v>0.10080598500000003</v>
      </c>
      <c r="N11" s="774">
        <f>M11*(1+L30-L31)</f>
        <v>0.10315812465000004</v>
      </c>
      <c r="O11" s="436">
        <f>N11*(1+L30)</f>
        <v>0.10418970589650005</v>
      </c>
      <c r="P11" s="52"/>
      <c r="Q11" s="369"/>
      <c r="R11" s="1"/>
      <c r="S11" s="1"/>
      <c r="T11" s="1"/>
      <c r="U11" s="1"/>
      <c r="V11" s="1"/>
      <c r="W11" s="1"/>
      <c r="X11" s="1"/>
      <c r="Y11" s="1"/>
      <c r="Z11" s="1"/>
    </row>
    <row r="12" spans="1:26">
      <c r="A12" s="1"/>
      <c r="B12" s="595"/>
      <c r="C12" s="52"/>
      <c r="D12" s="52"/>
      <c r="E12" s="52"/>
      <c r="F12" s="52"/>
      <c r="G12" s="369"/>
      <c r="H12" s="52"/>
      <c r="I12" s="52"/>
      <c r="J12" s="52"/>
      <c r="K12" s="52"/>
      <c r="L12" s="369"/>
      <c r="M12" s="52"/>
      <c r="N12" s="52"/>
      <c r="O12" s="369"/>
      <c r="P12" s="52"/>
      <c r="Q12" s="369"/>
      <c r="R12" s="1"/>
      <c r="S12" s="1"/>
      <c r="T12" s="1"/>
      <c r="U12" s="1"/>
      <c r="V12" s="1"/>
      <c r="W12" s="1"/>
      <c r="X12" s="1"/>
      <c r="Y12" s="1"/>
      <c r="Z12" s="1"/>
    </row>
    <row r="13" spans="1:26">
      <c r="A13" s="1"/>
      <c r="B13" s="595" t="s">
        <v>745</v>
      </c>
      <c r="C13" s="370"/>
      <c r="D13" s="370">
        <f>(D11-C11)/C11</f>
        <v>0.21304226551066596</v>
      </c>
      <c r="E13" s="370">
        <f t="shared" ref="E13:O13" si="1">(E11-D11)/D11</f>
        <v>0.17647058823529416</v>
      </c>
      <c r="F13" s="370">
        <f t="shared" si="1"/>
        <v>0.21111111111111117</v>
      </c>
      <c r="G13" s="437">
        <f t="shared" si="1"/>
        <v>0.10550458715596313</v>
      </c>
      <c r="H13" s="370">
        <f t="shared" si="1"/>
        <v>3.2094226058091431E-2</v>
      </c>
      <c r="I13" s="370">
        <f t="shared" si="1"/>
        <v>5.0000000000000044E-2</v>
      </c>
      <c r="J13" s="370">
        <f t="shared" si="1"/>
        <v>5.0000000000000107E-2</v>
      </c>
      <c r="K13" s="370">
        <f t="shared" si="1"/>
        <v>5.0000000000000121E-2</v>
      </c>
      <c r="L13" s="437">
        <f t="shared" si="1"/>
        <v>5.0000000000000093E-2</v>
      </c>
      <c r="M13" s="370">
        <f t="shared" si="1"/>
        <v>3.6666666666666584E-2</v>
      </c>
      <c r="N13" s="370">
        <f t="shared" si="1"/>
        <v>2.3333333333333477E-2</v>
      </c>
      <c r="O13" s="437">
        <f t="shared" si="1"/>
        <v>1.000000000000004E-2</v>
      </c>
      <c r="P13" s="52"/>
      <c r="Q13" s="369"/>
      <c r="R13" s="1"/>
      <c r="S13" s="1"/>
      <c r="T13" s="1"/>
      <c r="U13" s="1"/>
      <c r="V13" s="1"/>
      <c r="W13" s="1"/>
      <c r="X13" s="1"/>
      <c r="Y13" s="1"/>
      <c r="Z13" s="1"/>
    </row>
    <row r="14" spans="1:26">
      <c r="A14" s="1"/>
      <c r="B14" s="595" t="s">
        <v>483</v>
      </c>
      <c r="C14" s="370">
        <f>C10/'Reorganised Statements'!D114</f>
        <v>1.68</v>
      </c>
      <c r="D14" s="370">
        <f>D10/'Reorganised Statements'!E114</f>
        <v>0.65948275862068961</v>
      </c>
      <c r="E14" s="370">
        <f>E10/'Reorganised Statements'!F114</f>
        <v>0.61433447098976113</v>
      </c>
      <c r="F14" s="370">
        <f>F10/'Reorganised Statements'!G114</f>
        <v>0.63372093023255816</v>
      </c>
      <c r="G14" s="437">
        <f>G10/'Reorganised Statements'!H114</f>
        <v>0.61953727506426737</v>
      </c>
      <c r="H14" s="52"/>
      <c r="I14" s="52"/>
      <c r="J14" s="52"/>
      <c r="K14" s="52"/>
      <c r="L14" s="369"/>
      <c r="M14" s="52"/>
      <c r="N14" s="52"/>
      <c r="O14" s="369"/>
      <c r="P14" s="52"/>
      <c r="Q14" s="369"/>
      <c r="R14" s="1"/>
      <c r="S14" s="1"/>
      <c r="T14" s="1"/>
      <c r="U14" s="1"/>
      <c r="V14" s="1"/>
      <c r="W14" s="1"/>
      <c r="X14" s="1"/>
      <c r="Y14" s="1"/>
      <c r="Z14" s="1"/>
    </row>
    <row r="15" spans="1:26">
      <c r="A15" s="1"/>
      <c r="B15" s="595"/>
      <c r="C15" s="52"/>
      <c r="D15" s="52"/>
      <c r="E15" s="52"/>
      <c r="F15" s="52"/>
      <c r="G15" s="369"/>
      <c r="H15" s="52"/>
      <c r="I15" s="52"/>
      <c r="J15" s="52"/>
      <c r="K15" s="52"/>
      <c r="L15" s="369"/>
      <c r="M15" s="52"/>
      <c r="N15" s="52"/>
      <c r="O15" s="369"/>
      <c r="P15" s="52"/>
      <c r="Q15" s="369"/>
      <c r="R15" s="1"/>
      <c r="S15" s="1"/>
      <c r="T15" s="1"/>
      <c r="U15" s="1"/>
      <c r="V15" s="1"/>
      <c r="W15" s="1"/>
      <c r="X15" s="1"/>
      <c r="Y15" s="1"/>
      <c r="Z15" s="1"/>
    </row>
    <row r="16" spans="1:26">
      <c r="A16" s="1"/>
      <c r="B16" s="595"/>
      <c r="C16" s="52"/>
      <c r="D16" s="52"/>
      <c r="E16" s="52"/>
      <c r="F16" s="52"/>
      <c r="G16" s="369"/>
      <c r="H16" s="52"/>
      <c r="I16" s="52"/>
      <c r="J16" s="52"/>
      <c r="K16" s="52"/>
      <c r="L16" s="369"/>
      <c r="M16" s="52"/>
      <c r="N16" s="52"/>
      <c r="O16" s="369"/>
      <c r="P16" s="52"/>
      <c r="Q16" s="369"/>
      <c r="R16" s="1"/>
      <c r="S16" s="1"/>
      <c r="T16" s="1"/>
      <c r="U16" s="1"/>
      <c r="V16" s="1"/>
      <c r="W16" s="1"/>
      <c r="X16" s="1"/>
      <c r="Y16" s="1"/>
      <c r="Z16" s="1"/>
    </row>
    <row r="17" spans="1:26">
      <c r="A17" s="1"/>
      <c r="B17" s="775" t="s">
        <v>396</v>
      </c>
      <c r="C17" s="103"/>
      <c r="D17" s="103"/>
      <c r="E17" s="103"/>
      <c r="F17" s="103"/>
      <c r="G17" s="378"/>
      <c r="H17" s="763">
        <f>WACC!G60</f>
        <v>7.081621334662673E-2</v>
      </c>
      <c r="I17" s="763">
        <f>H17</f>
        <v>7.081621334662673E-2</v>
      </c>
      <c r="J17" s="763">
        <f t="shared" ref="J17:L17" si="2">I17</f>
        <v>7.081621334662673E-2</v>
      </c>
      <c r="K17" s="763">
        <f t="shared" si="2"/>
        <v>7.081621334662673E-2</v>
      </c>
      <c r="L17" s="764">
        <f t="shared" si="2"/>
        <v>7.081621334662673E-2</v>
      </c>
      <c r="M17" s="763">
        <f>I29+I31</f>
        <v>7.4236404058112576E-2</v>
      </c>
      <c r="N17" s="763">
        <f>M17+I31</f>
        <v>7.7656594769598422E-2</v>
      </c>
      <c r="O17" s="764">
        <f>I26</f>
        <v>8.1076785481084254E-2</v>
      </c>
      <c r="P17" s="763">
        <f>O17</f>
        <v>8.1076785481084254E-2</v>
      </c>
      <c r="Q17" s="378"/>
      <c r="R17" s="1"/>
      <c r="S17" s="1"/>
      <c r="T17" s="1"/>
      <c r="U17" s="1"/>
      <c r="V17" s="1"/>
      <c r="W17" s="1"/>
      <c r="X17" s="1"/>
      <c r="Y17" s="1"/>
      <c r="Z17" s="1"/>
    </row>
    <row r="18" spans="1:26">
      <c r="A18" s="1"/>
      <c r="B18" s="96" t="s">
        <v>524</v>
      </c>
      <c r="C18" s="101"/>
      <c r="D18" s="101"/>
      <c r="E18" s="101"/>
      <c r="F18" s="101"/>
      <c r="G18" s="99"/>
      <c r="H18" s="508">
        <f>H11/(1+H17)</f>
        <v>7.4709365624914884E-2</v>
      </c>
      <c r="I18" s="508">
        <f>I11/POWER(1+H18,2)</f>
        <v>7.2727258839079739E-2</v>
      </c>
      <c r="J18" s="508">
        <f>J11/POWER(1+H18,3)</f>
        <v>7.1055137531652865E-2</v>
      </c>
      <c r="K18" s="508">
        <f>K11/POWER(1+K17,4)</f>
        <v>7.0436558948986039E-2</v>
      </c>
      <c r="L18" s="674">
        <f>L11/(POWER(1+L17,5))</f>
        <v>6.9067302095933758E-2</v>
      </c>
      <c r="M18" s="508">
        <f>M11/((1+M17)*POWER(1+L17,5))</f>
        <v>6.6651781273629251E-2</v>
      </c>
      <c r="N18" s="508">
        <f>N11/((1+N17)*(1+M17)*POWER(1+L17,5))</f>
        <v>6.3291952032205445E-2</v>
      </c>
      <c r="O18" s="674">
        <f>O11/((1+O17)*(1+N17)*(1+M17)*POWER(1+L17,5))</f>
        <v>5.9130741137948514E-2</v>
      </c>
      <c r="P18" s="508">
        <f>(O11*(1+L30)/(I30-I25))/((1+O17)*(1+N17)*(1+M17)*POWER(1+L17,5))</f>
        <v>0.84024689840850908</v>
      </c>
      <c r="Q18" s="99"/>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 thickBo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 thickBot="1">
      <c r="A23" s="1"/>
      <c r="B23" s="1"/>
      <c r="C23" s="1"/>
      <c r="D23" s="1"/>
      <c r="E23" s="1"/>
      <c r="F23" s="1"/>
      <c r="G23" s="768" t="s">
        <v>744</v>
      </c>
      <c r="H23" s="769"/>
      <c r="I23" s="770"/>
      <c r="J23" s="1"/>
      <c r="K23" s="1"/>
      <c r="L23" s="1"/>
      <c r="M23" s="1"/>
      <c r="N23" s="446"/>
      <c r="O23" s="1"/>
      <c r="P23" s="1"/>
      <c r="Q23" s="1"/>
      <c r="R23" s="1"/>
      <c r="S23" s="1"/>
      <c r="T23" s="1"/>
      <c r="U23" s="1"/>
      <c r="V23" s="1"/>
      <c r="W23" s="1"/>
      <c r="X23" s="1"/>
      <c r="Y23" s="1"/>
      <c r="Z23" s="1"/>
    </row>
    <row r="24" spans="1:26">
      <c r="A24" s="1"/>
      <c r="B24" s="1"/>
      <c r="C24" s="1"/>
      <c r="D24" s="1"/>
      <c r="E24" s="1"/>
      <c r="F24" s="1"/>
      <c r="G24" s="257" t="s">
        <v>486</v>
      </c>
      <c r="H24" s="52"/>
      <c r="I24" s="439">
        <f>1-(I25/I26)</f>
        <v>0.87666013223559458</v>
      </c>
      <c r="J24" s="1"/>
      <c r="K24" s="1"/>
      <c r="L24" s="1"/>
      <c r="M24" s="1"/>
      <c r="N24" s="446"/>
      <c r="O24" s="1"/>
      <c r="P24" s="1"/>
      <c r="Q24" s="1"/>
      <c r="R24" s="1"/>
      <c r="S24" s="1"/>
      <c r="T24" s="1"/>
      <c r="U24" s="1"/>
      <c r="V24" s="1"/>
      <c r="W24" s="1"/>
      <c r="X24" s="1"/>
      <c r="Y24" s="1"/>
      <c r="Z24" s="1"/>
    </row>
    <row r="25" spans="1:26">
      <c r="A25" s="1"/>
      <c r="B25" s="1"/>
      <c r="C25" s="1"/>
      <c r="D25" s="1"/>
      <c r="E25" s="1"/>
      <c r="F25" s="1"/>
      <c r="G25" s="257" t="s">
        <v>487</v>
      </c>
      <c r="H25" s="52"/>
      <c r="I25" s="838">
        <v>0.01</v>
      </c>
      <c r="J25" s="1"/>
      <c r="K25" s="1"/>
      <c r="L25" s="1"/>
      <c r="M25" s="1"/>
      <c r="N25" s="446"/>
      <c r="O25" s="1"/>
      <c r="P25" s="1"/>
      <c r="Q25" s="1"/>
      <c r="R25" s="1"/>
      <c r="S25" s="1"/>
      <c r="T25" s="1"/>
      <c r="U25" s="1"/>
      <c r="V25" s="1"/>
      <c r="W25" s="1"/>
      <c r="X25" s="1"/>
      <c r="Y25" s="1"/>
      <c r="Z25" s="1"/>
    </row>
    <row r="26" spans="1:26" ht="15" thickBot="1">
      <c r="A26" s="1"/>
      <c r="B26" s="1"/>
      <c r="C26" s="1"/>
      <c r="D26" s="1"/>
      <c r="E26" s="1"/>
      <c r="F26" s="1"/>
      <c r="G26" s="269" t="s">
        <v>743</v>
      </c>
      <c r="H26" s="379"/>
      <c r="I26" s="460">
        <f>WACC!G67</f>
        <v>8.1076785481084254E-2</v>
      </c>
      <c r="J26" s="1"/>
      <c r="K26" s="1"/>
      <c r="L26" s="1"/>
      <c r="M26" s="1"/>
      <c r="N26" s="446"/>
      <c r="O26" s="1"/>
      <c r="P26" s="1"/>
      <c r="Q26" s="1"/>
      <c r="R26" s="1"/>
      <c r="S26" s="1"/>
      <c r="T26" s="1"/>
      <c r="U26" s="1"/>
      <c r="V26" s="1"/>
      <c r="W26" s="1"/>
      <c r="X26" s="1"/>
      <c r="Y26" s="1"/>
      <c r="Z26" s="1"/>
    </row>
    <row r="27" spans="1:26" ht="15" thickBo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 thickBot="1">
      <c r="A28" s="1"/>
      <c r="B28" s="1"/>
      <c r="C28" s="1"/>
      <c r="D28" s="1"/>
      <c r="E28" s="1"/>
      <c r="F28" s="1"/>
      <c r="G28" s="768" t="s">
        <v>496</v>
      </c>
      <c r="H28" s="769"/>
      <c r="I28" s="769"/>
      <c r="J28" s="769"/>
      <c r="K28" s="769"/>
      <c r="L28" s="770"/>
      <c r="M28" s="1"/>
      <c r="N28" s="1"/>
      <c r="O28" s="1"/>
      <c r="P28" s="1"/>
      <c r="Q28" s="1"/>
      <c r="R28" s="1"/>
      <c r="S28" s="1"/>
      <c r="T28" s="1"/>
      <c r="U28" s="1"/>
      <c r="V28" s="1"/>
      <c r="W28" s="1"/>
      <c r="X28" s="1"/>
      <c r="Y28" s="1"/>
      <c r="Z28" s="1"/>
    </row>
    <row r="29" spans="1:26">
      <c r="A29" s="1"/>
      <c r="B29" s="1"/>
      <c r="C29" s="1"/>
      <c r="D29" s="1"/>
      <c r="E29" s="1"/>
      <c r="F29" s="1"/>
      <c r="G29" s="257" t="s">
        <v>497</v>
      </c>
      <c r="H29" s="282"/>
      <c r="I29" s="766">
        <f>H17</f>
        <v>7.081621334662673E-2</v>
      </c>
      <c r="J29" s="52" t="s">
        <v>498</v>
      </c>
      <c r="K29" s="52"/>
      <c r="L29" s="765">
        <f>L13</f>
        <v>5.0000000000000093E-2</v>
      </c>
      <c r="M29" s="1"/>
      <c r="N29" s="1"/>
      <c r="O29" s="1"/>
      <c r="P29" s="1"/>
      <c r="Q29" s="1"/>
      <c r="R29" s="1"/>
      <c r="S29" s="1"/>
      <c r="T29" s="1"/>
      <c r="U29" s="1"/>
      <c r="V29" s="1"/>
      <c r="W29" s="1"/>
      <c r="X29" s="1"/>
      <c r="Y29" s="1"/>
      <c r="Z29" s="1"/>
    </row>
    <row r="30" spans="1:26">
      <c r="A30" s="1"/>
      <c r="B30" s="1"/>
      <c r="C30" s="1"/>
      <c r="D30" s="1"/>
      <c r="E30" s="1"/>
      <c r="F30" s="1"/>
      <c r="G30" s="257" t="s">
        <v>499</v>
      </c>
      <c r="H30" s="52"/>
      <c r="I30" s="437">
        <f>O17</f>
        <v>8.1076785481084254E-2</v>
      </c>
      <c r="J30" s="52" t="s">
        <v>501</v>
      </c>
      <c r="K30" s="52"/>
      <c r="L30" s="765">
        <f>I25</f>
        <v>0.01</v>
      </c>
      <c r="M30" s="1"/>
      <c r="N30" s="1"/>
      <c r="O30" s="1"/>
      <c r="P30" s="1"/>
      <c r="Q30" s="1"/>
      <c r="R30" s="1"/>
      <c r="S30" s="1"/>
      <c r="T30" s="1"/>
      <c r="U30" s="1"/>
      <c r="V30" s="1"/>
      <c r="W30" s="1"/>
      <c r="X30" s="1"/>
      <c r="Y30" s="1"/>
      <c r="Z30" s="1"/>
    </row>
    <row r="31" spans="1:26" ht="15" thickBot="1">
      <c r="A31" s="1"/>
      <c r="B31" s="1"/>
      <c r="C31" s="1"/>
      <c r="D31" s="1"/>
      <c r="E31" s="1"/>
      <c r="F31" s="1"/>
      <c r="G31" s="269" t="s">
        <v>500</v>
      </c>
      <c r="H31" s="379"/>
      <c r="I31" s="767">
        <f>(O17-L17)/3</f>
        <v>3.4201907114858412E-3</v>
      </c>
      <c r="J31" s="379" t="s">
        <v>502</v>
      </c>
      <c r="K31" s="379"/>
      <c r="L31" s="495">
        <f>(L30-L29)/3</f>
        <v>-1.3333333333333364E-2</v>
      </c>
      <c r="M31" s="1"/>
      <c r="N31" s="1"/>
      <c r="O31" s="1"/>
      <c r="P31" s="1"/>
      <c r="Q31" s="1"/>
      <c r="R31" s="1"/>
      <c r="S31" s="1"/>
      <c r="T31" s="1"/>
      <c r="U31" s="1"/>
      <c r="V31" s="1"/>
      <c r="W31" s="1"/>
      <c r="X31" s="1"/>
      <c r="Y31" s="1"/>
      <c r="Z31" s="1"/>
    </row>
    <row r="32" spans="1:26" ht="15" thickBo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 thickBot="1">
      <c r="A33" s="1"/>
      <c r="B33" s="1"/>
      <c r="C33" s="1"/>
      <c r="D33" s="1"/>
      <c r="E33" s="1"/>
      <c r="F33" s="1"/>
      <c r="G33" s="771" t="s">
        <v>762</v>
      </c>
      <c r="H33" s="772"/>
      <c r="I33" s="772"/>
      <c r="J33" s="773"/>
      <c r="K33" s="1"/>
      <c r="L33" s="771" t="s">
        <v>763</v>
      </c>
      <c r="M33" s="772"/>
      <c r="N33" s="772"/>
      <c r="O33" s="773"/>
      <c r="P33" s="1"/>
      <c r="Q33" s="1"/>
      <c r="R33" s="1"/>
      <c r="S33" s="1"/>
      <c r="T33" s="1"/>
      <c r="U33" s="1"/>
      <c r="V33" s="1"/>
      <c r="W33" s="1"/>
      <c r="X33" s="1"/>
      <c r="Y33" s="1"/>
      <c r="Z33" s="1"/>
    </row>
    <row r="34" spans="1:26">
      <c r="A34" s="1"/>
      <c r="B34" s="1"/>
      <c r="C34" s="1"/>
      <c r="D34" s="1"/>
      <c r="E34" s="1"/>
      <c r="F34" s="1"/>
      <c r="G34" s="257" t="s">
        <v>488</v>
      </c>
      <c r="H34" s="52"/>
      <c r="I34" s="443"/>
      <c r="J34" s="439">
        <f>SUM(H18:L18)</f>
        <v>0.35799562304056731</v>
      </c>
      <c r="K34" s="1"/>
      <c r="L34" s="257" t="s">
        <v>488</v>
      </c>
      <c r="M34" s="52"/>
      <c r="N34" s="443"/>
      <c r="O34" s="439">
        <v>0.35799562304056731</v>
      </c>
      <c r="P34" s="1"/>
      <c r="Q34" s="1"/>
      <c r="R34" s="1"/>
      <c r="S34" s="1"/>
      <c r="T34" s="1"/>
      <c r="U34" s="1"/>
      <c r="V34" s="1"/>
      <c r="W34" s="1"/>
      <c r="X34" s="1"/>
      <c r="Y34" s="1"/>
      <c r="Z34" s="1"/>
    </row>
    <row r="35" spans="1:26">
      <c r="A35" s="1"/>
      <c r="B35" s="1"/>
      <c r="C35" s="1"/>
      <c r="D35" s="1"/>
      <c r="E35" s="1"/>
      <c r="F35" s="1"/>
      <c r="G35" s="257" t="s">
        <v>495</v>
      </c>
      <c r="H35" s="52"/>
      <c r="I35" s="369"/>
      <c r="J35" s="439">
        <f>SUM(M18:O18)</f>
        <v>0.18907447444378322</v>
      </c>
      <c r="K35" s="1"/>
      <c r="L35" s="257" t="s">
        <v>495</v>
      </c>
      <c r="M35" s="52"/>
      <c r="N35" s="369"/>
      <c r="O35" s="439">
        <v>0.19103494584165842</v>
      </c>
      <c r="P35" s="1"/>
      <c r="Q35" s="1"/>
      <c r="R35" s="1"/>
      <c r="S35" s="1"/>
      <c r="T35" s="1"/>
      <c r="U35" s="1"/>
      <c r="V35" s="1"/>
      <c r="W35" s="1"/>
      <c r="X35" s="1"/>
      <c r="Y35" s="1"/>
      <c r="Z35" s="1"/>
    </row>
    <row r="36" spans="1:26">
      <c r="A36" s="1"/>
      <c r="B36" s="1"/>
      <c r="C36" s="1"/>
      <c r="D36" s="1"/>
      <c r="E36" s="1"/>
      <c r="F36" s="1"/>
      <c r="G36" s="257" t="s">
        <v>489</v>
      </c>
      <c r="H36" s="52"/>
      <c r="I36" s="369"/>
      <c r="J36" s="439">
        <f>P18</f>
        <v>0.84024689840850908</v>
      </c>
      <c r="K36" s="1"/>
      <c r="L36" s="257" t="s">
        <v>489</v>
      </c>
      <c r="M36" s="52"/>
      <c r="N36" s="369"/>
      <c r="O36" s="439">
        <v>1.0009382920110081</v>
      </c>
      <c r="P36" s="1"/>
      <c r="Q36" s="1"/>
      <c r="R36" s="1"/>
      <c r="S36" s="1"/>
      <c r="T36" s="1"/>
      <c r="U36" s="1"/>
      <c r="V36" s="1"/>
      <c r="W36" s="1"/>
      <c r="X36" s="1"/>
      <c r="Y36" s="1"/>
      <c r="Z36" s="1"/>
    </row>
    <row r="37" spans="1:26" ht="15" thickBot="1">
      <c r="A37" s="1"/>
      <c r="B37" s="1"/>
      <c r="C37" s="1"/>
      <c r="D37" s="1"/>
      <c r="E37" s="1"/>
      <c r="F37" s="1"/>
      <c r="G37" s="269" t="s">
        <v>490</v>
      </c>
      <c r="H37" s="379"/>
      <c r="I37" s="380"/>
      <c r="J37" s="440">
        <f>J34+J36+J35</f>
        <v>1.3873169958928595</v>
      </c>
      <c r="K37" s="1"/>
      <c r="L37" s="269" t="s">
        <v>490</v>
      </c>
      <c r="M37" s="379"/>
      <c r="N37" s="380"/>
      <c r="O37" s="440">
        <v>1.5499688608932338</v>
      </c>
      <c r="P37" s="1"/>
      <c r="Q37" s="1"/>
      <c r="R37" s="1"/>
      <c r="S37" s="1"/>
      <c r="T37" s="1"/>
      <c r="U37" s="1"/>
      <c r="V37" s="1"/>
      <c r="W37" s="1"/>
      <c r="X37" s="1"/>
      <c r="Y37" s="1"/>
      <c r="Z37" s="1"/>
    </row>
    <row r="38"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 thickBo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21">
      <c r="A48" s="857"/>
      <c r="B48" s="858" t="s">
        <v>782</v>
      </c>
      <c r="C48" s="847"/>
      <c r="D48" s="847"/>
      <c r="E48" s="847"/>
      <c r="F48" s="847"/>
      <c r="G48" s="847"/>
      <c r="H48" s="847"/>
      <c r="I48" s="847"/>
      <c r="J48" s="847"/>
      <c r="K48" s="847"/>
      <c r="L48" s="847"/>
      <c r="M48" s="847"/>
      <c r="N48" s="847"/>
      <c r="O48" s="847"/>
      <c r="P48" s="847"/>
      <c r="Q48" s="848"/>
      <c r="R48" s="1"/>
      <c r="S48" s="1"/>
      <c r="T48" s="1"/>
      <c r="U48" s="1"/>
      <c r="V48" s="1"/>
      <c r="W48" s="1"/>
      <c r="X48" s="1"/>
      <c r="Y48" s="1"/>
      <c r="Z48" s="1"/>
    </row>
    <row r="49" spans="1:26" ht="15" thickBot="1">
      <c r="A49" s="849"/>
      <c r="B49" s="850"/>
      <c r="C49" s="850"/>
      <c r="D49" s="850"/>
      <c r="E49" s="850"/>
      <c r="F49" s="850"/>
      <c r="G49" s="850"/>
      <c r="H49" s="850"/>
      <c r="I49" s="850"/>
      <c r="J49" s="850"/>
      <c r="K49" s="850"/>
      <c r="L49" s="850"/>
      <c r="M49" s="850"/>
      <c r="N49" s="850"/>
      <c r="O49" s="850"/>
      <c r="P49" s="850"/>
      <c r="Q49" s="851"/>
      <c r="R49" s="1"/>
      <c r="S49" s="1"/>
      <c r="T49" s="1"/>
      <c r="U49" s="1"/>
      <c r="V49" s="1"/>
      <c r="W49" s="1"/>
      <c r="X49" s="1"/>
      <c r="Y49" s="1"/>
      <c r="Z49" s="1"/>
    </row>
    <row r="50"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854" t="s">
        <v>784</v>
      </c>
      <c r="C51" s="855"/>
      <c r="D51" s="855"/>
      <c r="E51" s="856"/>
      <c r="F51" s="1"/>
      <c r="G51" s="1"/>
      <c r="H51" s="1"/>
      <c r="I51" s="1"/>
      <c r="J51" s="1"/>
      <c r="K51" s="1"/>
      <c r="L51" s="1"/>
      <c r="M51" s="1"/>
      <c r="N51" s="1"/>
      <c r="O51" s="1"/>
      <c r="P51" s="1"/>
      <c r="Q51" s="1"/>
      <c r="R51" s="1"/>
      <c r="S51" s="1"/>
      <c r="T51" s="1"/>
      <c r="U51" s="1"/>
      <c r="V51" s="1"/>
      <c r="W51" s="1"/>
      <c r="X51" s="1"/>
      <c r="Y51" s="1"/>
      <c r="Z51" s="1"/>
    </row>
    <row r="52" spans="1:26">
      <c r="A52" s="1"/>
      <c r="B52" s="467"/>
      <c r="C52" s="52"/>
      <c r="D52" s="52"/>
      <c r="E52" s="369"/>
      <c r="F52" s="1"/>
      <c r="G52" s="1"/>
      <c r="H52" s="1"/>
      <c r="I52" s="1"/>
      <c r="J52" s="1"/>
      <c r="K52" s="1"/>
      <c r="L52" s="1"/>
      <c r="M52" s="1"/>
      <c r="N52" s="1"/>
      <c r="O52" s="1"/>
      <c r="P52" s="1"/>
      <c r="Q52" s="1"/>
      <c r="R52" s="1"/>
      <c r="S52" s="1"/>
      <c r="T52" s="1"/>
      <c r="U52" s="1"/>
      <c r="V52" s="1"/>
      <c r="W52" s="1"/>
      <c r="X52" s="1"/>
      <c r="Y52" s="1"/>
      <c r="Z52" s="1"/>
    </row>
    <row r="53" spans="1:26">
      <c r="A53" s="1"/>
      <c r="B53" s="467" t="s">
        <v>785</v>
      </c>
      <c r="C53" s="370">
        <f>WACC!G62</f>
        <v>4.3403783405332484E-2</v>
      </c>
      <c r="D53" s="52"/>
      <c r="E53" s="369"/>
      <c r="F53" s="1"/>
      <c r="G53" s="1"/>
      <c r="H53" s="1"/>
      <c r="I53" s="1"/>
      <c r="J53" s="1"/>
      <c r="K53" s="1"/>
      <c r="L53" s="1"/>
      <c r="M53" s="1"/>
      <c r="N53" s="1"/>
      <c r="O53" s="1"/>
      <c r="P53" s="1"/>
      <c r="Q53" s="1"/>
      <c r="R53" s="1"/>
      <c r="S53" s="1"/>
      <c r="T53" s="1"/>
      <c r="U53" s="1"/>
      <c r="V53" s="1"/>
      <c r="W53" s="1"/>
      <c r="X53" s="1"/>
      <c r="Y53" s="1"/>
      <c r="Z53" s="1"/>
    </row>
    <row r="54" spans="1:26">
      <c r="A54" s="1"/>
      <c r="B54" s="467" t="s">
        <v>786</v>
      </c>
      <c r="C54" s="610">
        <f>WACC!G60</f>
        <v>7.081621334662673E-2</v>
      </c>
      <c r="D54" s="52"/>
      <c r="E54" s="369"/>
      <c r="F54" s="1"/>
      <c r="G54" s="1"/>
      <c r="H54" s="1"/>
      <c r="I54" s="1"/>
      <c r="J54" s="1"/>
      <c r="K54" s="1"/>
      <c r="L54" s="1"/>
      <c r="M54" s="1"/>
      <c r="N54" s="1"/>
      <c r="O54" s="1"/>
      <c r="P54" s="1"/>
      <c r="Q54" s="1"/>
      <c r="R54" s="1"/>
      <c r="S54" s="1"/>
      <c r="T54" s="1"/>
      <c r="U54" s="1"/>
      <c r="V54" s="1"/>
      <c r="W54" s="1"/>
      <c r="X54" s="1"/>
      <c r="Y54" s="1"/>
      <c r="Z54" s="1"/>
    </row>
    <row r="55" spans="1:26">
      <c r="A55" s="1"/>
      <c r="B55" s="467"/>
      <c r="C55" s="52"/>
      <c r="D55" s="52"/>
      <c r="E55" s="369"/>
      <c r="F55" s="1"/>
      <c r="G55" s="1"/>
      <c r="H55" s="1"/>
      <c r="I55" s="1"/>
      <c r="J55" s="1"/>
      <c r="K55" s="1"/>
      <c r="L55" s="1"/>
      <c r="M55" s="1"/>
      <c r="N55" s="1"/>
      <c r="O55" s="1"/>
      <c r="P55" s="1"/>
      <c r="Q55" s="1"/>
      <c r="R55" s="1"/>
      <c r="S55" s="1"/>
      <c r="T55" s="1"/>
      <c r="U55" s="1"/>
      <c r="V55" s="1"/>
      <c r="W55" s="1"/>
      <c r="X55" s="1"/>
      <c r="Y55" s="1"/>
      <c r="Z55" s="1"/>
    </row>
    <row r="56" spans="1:26">
      <c r="A56" s="1"/>
      <c r="B56" s="467" t="s">
        <v>787</v>
      </c>
      <c r="C56" s="845">
        <f>1%</f>
        <v>0.01</v>
      </c>
      <c r="D56" s="52"/>
      <c r="E56" s="369"/>
      <c r="F56" s="1"/>
      <c r="G56" s="1"/>
      <c r="H56" s="1"/>
      <c r="I56" s="1"/>
      <c r="J56" s="1"/>
      <c r="K56" s="1"/>
      <c r="L56" s="1"/>
      <c r="M56" s="1"/>
      <c r="N56" s="1"/>
      <c r="O56" s="1"/>
      <c r="P56" s="1"/>
      <c r="Q56" s="1"/>
      <c r="R56" s="1"/>
      <c r="S56" s="1"/>
      <c r="T56" s="1"/>
      <c r="U56" s="1"/>
      <c r="V56" s="1"/>
      <c r="W56" s="1"/>
      <c r="X56" s="1"/>
      <c r="Y56" s="1"/>
      <c r="Z56" s="1"/>
    </row>
    <row r="57" spans="1:26">
      <c r="A57" s="1"/>
      <c r="B57" s="467" t="s">
        <v>788</v>
      </c>
      <c r="C57" s="610">
        <f>WACC!G67</f>
        <v>8.1076785481084254E-2</v>
      </c>
      <c r="D57" s="52"/>
      <c r="E57" s="369"/>
      <c r="F57" s="1"/>
      <c r="G57" s="1"/>
      <c r="H57" s="1"/>
      <c r="I57" s="1"/>
      <c r="J57" s="1"/>
      <c r="K57" s="1"/>
      <c r="L57" s="1"/>
      <c r="M57" s="1"/>
      <c r="N57" s="1"/>
      <c r="O57" s="1"/>
      <c r="P57" s="1"/>
      <c r="Q57" s="1"/>
      <c r="R57" s="1"/>
      <c r="S57" s="1"/>
      <c r="T57" s="1"/>
      <c r="U57" s="1"/>
      <c r="V57" s="1"/>
      <c r="W57" s="1"/>
      <c r="X57" s="1"/>
      <c r="Y57" s="1"/>
      <c r="Z57" s="1"/>
    </row>
    <row r="58" spans="1:26">
      <c r="A58" s="1"/>
      <c r="B58" s="376" t="s">
        <v>789</v>
      </c>
      <c r="C58" s="492">
        <f>WACC!G65</f>
        <v>5.2796758797357256E-2</v>
      </c>
      <c r="D58" s="101"/>
      <c r="E58" s="99"/>
      <c r="F58" s="1"/>
      <c r="G58" s="1"/>
      <c r="H58" s="1"/>
      <c r="I58" s="1"/>
      <c r="J58" s="1"/>
      <c r="K58" s="1"/>
      <c r="L58" s="1"/>
      <c r="M58" s="1"/>
      <c r="N58" s="1"/>
      <c r="O58" s="1"/>
      <c r="P58" s="1"/>
      <c r="Q58" s="1"/>
      <c r="R58" s="1"/>
      <c r="S58" s="1"/>
      <c r="T58" s="1"/>
      <c r="U58" s="1"/>
      <c r="V58" s="1"/>
      <c r="W58" s="1"/>
      <c r="X58" s="1"/>
      <c r="Y58" s="1"/>
      <c r="Z58" s="1"/>
    </row>
    <row r="59" spans="1:26" ht="1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21">
      <c r="A60" s="852"/>
      <c r="B60" s="859" t="s">
        <v>781</v>
      </c>
      <c r="C60" s="662"/>
      <c r="D60" s="662"/>
      <c r="E60" s="662"/>
      <c r="F60" s="662"/>
      <c r="G60" s="662"/>
      <c r="H60" s="662"/>
      <c r="I60" s="662"/>
      <c r="J60" s="662"/>
      <c r="K60" s="662"/>
      <c r="L60" s="662"/>
      <c r="M60" s="662"/>
      <c r="N60" s="662"/>
      <c r="O60" s="662"/>
      <c r="P60" s="662"/>
      <c r="Q60" s="664"/>
      <c r="R60" s="1"/>
      <c r="S60" s="1"/>
      <c r="T60" s="1"/>
      <c r="U60" s="1"/>
      <c r="V60" s="1"/>
      <c r="W60" s="1"/>
      <c r="X60" s="1"/>
      <c r="Y60" s="1"/>
      <c r="Z60" s="1"/>
    </row>
    <row r="61" spans="1:26" ht="15" thickBot="1">
      <c r="A61" s="853"/>
      <c r="B61" s="665"/>
      <c r="C61" s="665"/>
      <c r="D61" s="665"/>
      <c r="E61" s="665"/>
      <c r="F61" s="665"/>
      <c r="G61" s="665"/>
      <c r="H61" s="665"/>
      <c r="I61" s="665"/>
      <c r="J61" s="665"/>
      <c r="K61" s="665"/>
      <c r="L61" s="665"/>
      <c r="M61" s="665"/>
      <c r="N61" s="665"/>
      <c r="O61" s="665"/>
      <c r="P61" s="665"/>
      <c r="Q61" s="666"/>
      <c r="R61" s="1"/>
      <c r="S61" s="1"/>
      <c r="T61" s="1"/>
      <c r="U61" s="1"/>
      <c r="V61" s="1"/>
      <c r="W61" s="1"/>
      <c r="X61" s="1"/>
      <c r="Y61" s="1"/>
      <c r="Z61" s="1"/>
    </row>
    <row r="62"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866"/>
      <c r="C66" s="868" t="s">
        <v>471</v>
      </c>
      <c r="D66" s="861"/>
      <c r="E66" s="861"/>
      <c r="F66" s="861"/>
      <c r="G66" s="862"/>
      <c r="H66" s="860" t="s">
        <v>543</v>
      </c>
      <c r="I66" s="861"/>
      <c r="J66" s="861"/>
      <c r="K66" s="861"/>
      <c r="L66" s="862"/>
      <c r="M66" s="52"/>
      <c r="N66" s="52"/>
      <c r="O66" s="52"/>
      <c r="P66" s="52"/>
      <c r="Q66" s="52"/>
      <c r="R66" s="1"/>
      <c r="S66" s="1"/>
      <c r="T66" s="1"/>
      <c r="U66" s="1"/>
      <c r="V66" s="1"/>
      <c r="W66" s="1"/>
      <c r="X66" s="1"/>
      <c r="Y66" s="1"/>
      <c r="Z66" s="1"/>
    </row>
    <row r="67" spans="1:26">
      <c r="A67" s="1"/>
      <c r="B67" s="867" t="s">
        <v>790</v>
      </c>
      <c r="C67" s="863"/>
      <c r="D67" s="864">
        <v>2016</v>
      </c>
      <c r="E67" s="864">
        <v>2017</v>
      </c>
      <c r="F67" s="864">
        <v>2018</v>
      </c>
      <c r="G67" s="865">
        <v>2019</v>
      </c>
      <c r="H67" s="863">
        <v>2020</v>
      </c>
      <c r="I67" s="864">
        <v>2021</v>
      </c>
      <c r="J67" s="864">
        <v>2022</v>
      </c>
      <c r="K67" s="864">
        <v>2023</v>
      </c>
      <c r="L67" s="865">
        <v>2024</v>
      </c>
      <c r="M67" s="52"/>
      <c r="N67" s="52"/>
      <c r="O67" s="52"/>
      <c r="P67" s="52"/>
      <c r="Q67" s="52"/>
      <c r="R67" s="1"/>
      <c r="S67" s="1"/>
      <c r="T67" s="1"/>
      <c r="U67" s="1"/>
      <c r="V67" s="1"/>
      <c r="W67" s="1"/>
      <c r="X67" s="1"/>
      <c r="Y67" s="1"/>
      <c r="Z67" s="1"/>
    </row>
    <row r="68" spans="1:26">
      <c r="A68" s="1"/>
      <c r="B68" s="595" t="s">
        <v>768</v>
      </c>
      <c r="C68" s="467"/>
      <c r="D68" s="657">
        <f>'Forecasts Simone'!V244</f>
        <v>-22.000000000000021</v>
      </c>
      <c r="E68" s="657">
        <f>'Forecasts Simone'!W244</f>
        <v>847.99999999999989</v>
      </c>
      <c r="F68" s="657">
        <f>'Forecasts Simone'!X244</f>
        <v>-232.99999999999997</v>
      </c>
      <c r="G68" s="822">
        <f>'Forecasts Simone'!Y244</f>
        <v>71</v>
      </c>
      <c r="H68" s="657">
        <f>'Forecasts Simone'!Z244</f>
        <v>317.36373270597124</v>
      </c>
      <c r="I68" s="657">
        <f>'Forecasts Simone'!AA244</f>
        <v>251.05073738659723</v>
      </c>
      <c r="J68" s="657">
        <f>'Forecasts Simone'!AB244</f>
        <v>304.50249700167092</v>
      </c>
      <c r="K68" s="657">
        <f>'Forecasts Simone'!AC244</f>
        <v>360.53906941444455</v>
      </c>
      <c r="L68" s="482">
        <f>'Forecasts Simone'!AD244</f>
        <v>423.4949455319782</v>
      </c>
      <c r="M68" s="1"/>
      <c r="N68" s="1"/>
      <c r="O68" s="1"/>
      <c r="P68" s="1"/>
      <c r="Q68" s="1"/>
      <c r="R68" s="1"/>
      <c r="S68" s="1"/>
      <c r="T68" s="1"/>
      <c r="U68" s="1"/>
      <c r="V68" s="1"/>
      <c r="W68" s="1"/>
      <c r="X68" s="1"/>
      <c r="Y68" s="1"/>
      <c r="Z68" s="1"/>
    </row>
    <row r="69" spans="1:26">
      <c r="A69" s="1"/>
      <c r="B69" s="96" t="s">
        <v>791</v>
      </c>
      <c r="C69" s="376"/>
      <c r="D69" s="870"/>
      <c r="E69" s="872" t="s">
        <v>792</v>
      </c>
      <c r="F69" s="869">
        <f>(F68-E68)/E68</f>
        <v>-1.2747641509433962</v>
      </c>
      <c r="G69" s="871" t="s">
        <v>792</v>
      </c>
      <c r="H69" s="869">
        <f>(H68-G68)/G68</f>
        <v>3.4699117282531162</v>
      </c>
      <c r="I69" s="869">
        <f t="shared" ref="I69:L69" si="3">(I68-H68)/H68</f>
        <v>-0.20894950646679963</v>
      </c>
      <c r="J69" s="869">
        <f t="shared" si="3"/>
        <v>0.21291217931283118</v>
      </c>
      <c r="K69" s="869">
        <f t="shared" si="3"/>
        <v>0.18402664334298099</v>
      </c>
      <c r="L69" s="873">
        <f t="shared" si="3"/>
        <v>0.17461596109342872</v>
      </c>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874" t="s">
        <v>793</v>
      </c>
      <c r="C71" s="103"/>
      <c r="D71" s="103"/>
      <c r="E71" s="103"/>
      <c r="F71" s="378"/>
      <c r="G71" s="1"/>
      <c r="H71" s="1"/>
      <c r="I71" s="1"/>
      <c r="J71" s="1"/>
      <c r="K71" s="1"/>
      <c r="L71" s="1"/>
      <c r="M71" s="1"/>
      <c r="N71" s="1"/>
      <c r="O71" s="1"/>
      <c r="P71" s="1"/>
      <c r="Q71" s="1"/>
      <c r="R71" s="1"/>
      <c r="S71" s="1"/>
      <c r="T71" s="1"/>
      <c r="U71" s="1"/>
      <c r="V71" s="1"/>
      <c r="W71" s="1"/>
      <c r="X71" s="1"/>
      <c r="Y71" s="1"/>
      <c r="Z71" s="1"/>
    </row>
    <row r="72" spans="1:26">
      <c r="A72" s="1"/>
      <c r="B72" s="467"/>
      <c r="C72" s="52"/>
      <c r="D72" s="52"/>
      <c r="E72" s="52"/>
      <c r="F72" s="369"/>
      <c r="G72" s="1"/>
      <c r="H72" s="1"/>
      <c r="I72" s="1"/>
      <c r="J72" s="1"/>
      <c r="K72" s="1"/>
      <c r="L72" s="1"/>
      <c r="M72" s="1"/>
      <c r="N72" s="1"/>
      <c r="O72" s="1"/>
      <c r="P72" s="1"/>
      <c r="Q72" s="1"/>
      <c r="R72" s="1"/>
      <c r="S72" s="1"/>
      <c r="T72" s="1"/>
      <c r="U72" s="1"/>
      <c r="V72" s="1"/>
      <c r="W72" s="1"/>
      <c r="X72" s="1"/>
      <c r="Y72" s="1"/>
      <c r="Z72" s="1"/>
    </row>
    <row r="73" spans="1:26">
      <c r="A73" s="1"/>
      <c r="B73" s="467" t="s">
        <v>794</v>
      </c>
      <c r="C73" s="52"/>
      <c r="D73" s="52"/>
      <c r="E73" s="370">
        <f xml:space="preserve"> (1%-L69)/3</f>
        <v>-5.4871987031142905E-2</v>
      </c>
      <c r="F73" s="369"/>
      <c r="G73" s="1"/>
      <c r="H73" s="1"/>
      <c r="I73" s="1"/>
      <c r="J73" s="1"/>
      <c r="K73" s="1"/>
      <c r="L73" s="1"/>
      <c r="M73" s="1"/>
      <c r="N73" s="1"/>
      <c r="O73" s="1"/>
      <c r="P73" s="1"/>
      <c r="Q73" s="1"/>
      <c r="R73" s="1"/>
      <c r="S73" s="1"/>
      <c r="T73" s="1"/>
      <c r="U73" s="1"/>
      <c r="V73" s="1"/>
      <c r="W73" s="1"/>
      <c r="X73" s="1"/>
      <c r="Y73" s="1"/>
      <c r="Z73" s="1"/>
    </row>
    <row r="74" spans="1:26">
      <c r="A74" s="1"/>
      <c r="B74" s="467" t="s">
        <v>795</v>
      </c>
      <c r="C74" s="52"/>
      <c r="D74" s="52"/>
      <c r="E74" s="370">
        <f>(E79-C54)/3</f>
        <v>3.4201907114858412E-3</v>
      </c>
      <c r="F74" s="369"/>
      <c r="G74" s="1"/>
      <c r="H74" s="1"/>
      <c r="I74" s="1"/>
      <c r="J74" s="1"/>
      <c r="K74" s="1"/>
      <c r="L74" s="1"/>
      <c r="M74" s="1"/>
      <c r="N74" s="1"/>
      <c r="O74" s="1"/>
      <c r="P74" s="1"/>
      <c r="Q74" s="1"/>
      <c r="R74" s="1"/>
      <c r="S74" s="1"/>
      <c r="T74" s="1"/>
      <c r="U74" s="1"/>
      <c r="V74" s="1"/>
      <c r="W74" s="1"/>
      <c r="X74" s="1"/>
      <c r="Y74" s="1"/>
      <c r="Z74" s="1"/>
    </row>
    <row r="75" spans="1:26">
      <c r="A75" s="1"/>
      <c r="B75" s="467"/>
      <c r="C75" s="52"/>
      <c r="D75" s="52"/>
      <c r="E75" s="52"/>
      <c r="F75" s="369"/>
      <c r="G75" s="1"/>
      <c r="H75" s="1"/>
      <c r="I75" s="1"/>
      <c r="J75" s="1"/>
      <c r="K75" s="1"/>
      <c r="L75" s="1"/>
      <c r="M75" s="1"/>
      <c r="N75" s="1"/>
      <c r="O75" s="1"/>
      <c r="P75" s="1"/>
      <c r="Q75" s="1"/>
      <c r="R75" s="1"/>
      <c r="S75" s="1"/>
      <c r="T75" s="1"/>
      <c r="U75" s="1"/>
      <c r="V75" s="1"/>
      <c r="W75" s="1"/>
      <c r="X75" s="1"/>
      <c r="Y75" s="1"/>
      <c r="Z75" s="1"/>
    </row>
    <row r="76" spans="1:26">
      <c r="A76" s="1"/>
      <c r="B76" s="875" t="s">
        <v>770</v>
      </c>
      <c r="C76" s="52"/>
      <c r="D76" s="52"/>
      <c r="E76" s="52"/>
      <c r="F76" s="369"/>
      <c r="G76" s="1"/>
      <c r="H76" s="1"/>
      <c r="I76" s="1"/>
      <c r="J76" s="1"/>
      <c r="K76" s="1"/>
      <c r="L76" s="1"/>
      <c r="M76" s="1"/>
      <c r="N76" s="1"/>
      <c r="O76" s="1"/>
      <c r="P76" s="1"/>
      <c r="Q76" s="1"/>
      <c r="R76" s="1"/>
      <c r="S76" s="1"/>
      <c r="T76" s="1"/>
      <c r="U76" s="1"/>
      <c r="V76" s="1"/>
      <c r="W76" s="1"/>
      <c r="X76" s="1"/>
      <c r="Y76" s="1"/>
      <c r="Z76" s="1"/>
    </row>
    <row r="77" spans="1:26">
      <c r="A77" s="1"/>
      <c r="B77" s="467"/>
      <c r="C77" s="52"/>
      <c r="D77" s="52"/>
      <c r="E77" s="52"/>
      <c r="F77" s="369"/>
      <c r="G77" s="1"/>
      <c r="H77" s="1"/>
      <c r="I77" s="1"/>
      <c r="J77" s="1"/>
      <c r="K77" s="1"/>
      <c r="L77" s="1"/>
      <c r="M77" s="1"/>
      <c r="N77" s="1"/>
      <c r="O77" s="1"/>
      <c r="P77" s="1"/>
      <c r="Q77" s="1"/>
      <c r="R77" s="1"/>
      <c r="S77" s="1"/>
      <c r="T77" s="1"/>
      <c r="U77" s="1"/>
      <c r="V77" s="1"/>
      <c r="W77" s="1"/>
      <c r="X77" s="1"/>
      <c r="Y77" s="1"/>
      <c r="Z77" s="1"/>
    </row>
    <row r="78" spans="1:26">
      <c r="A78" s="1"/>
      <c r="B78" s="467" t="s">
        <v>773</v>
      </c>
      <c r="C78" s="52"/>
      <c r="D78" s="52"/>
      <c r="E78" s="610">
        <f>C56</f>
        <v>0.01</v>
      </c>
      <c r="F78" s="369"/>
      <c r="G78" s="1"/>
      <c r="H78" s="1"/>
      <c r="I78" s="1"/>
      <c r="J78" s="1"/>
      <c r="K78" s="1"/>
      <c r="L78" s="1"/>
      <c r="M78" s="1"/>
      <c r="N78" s="1"/>
      <c r="O78" s="1"/>
      <c r="P78" s="1"/>
      <c r="Q78" s="1"/>
      <c r="R78" s="1"/>
      <c r="S78" s="1"/>
      <c r="T78" s="1"/>
      <c r="U78" s="1"/>
      <c r="V78" s="1"/>
      <c r="W78" s="1"/>
      <c r="X78" s="1"/>
      <c r="Y78" s="1"/>
      <c r="Z78" s="1"/>
    </row>
    <row r="79" spans="1:26">
      <c r="A79" s="1"/>
      <c r="B79" s="467" t="s">
        <v>769</v>
      </c>
      <c r="C79" s="52"/>
      <c r="D79" s="52"/>
      <c r="E79" s="610">
        <f>C57</f>
        <v>8.1076785481084254E-2</v>
      </c>
      <c r="F79" s="369"/>
      <c r="G79" s="1"/>
      <c r="H79" s="1"/>
      <c r="I79" s="1"/>
      <c r="J79" s="1"/>
      <c r="K79" s="1"/>
      <c r="L79" s="1"/>
      <c r="M79" s="1"/>
      <c r="N79" s="1"/>
      <c r="O79" s="1"/>
      <c r="P79" s="1"/>
      <c r="Q79" s="1"/>
      <c r="R79" s="1"/>
      <c r="S79" s="1"/>
      <c r="T79" s="1"/>
      <c r="U79" s="1"/>
      <c r="V79" s="1"/>
      <c r="W79" s="1"/>
      <c r="X79" s="1"/>
      <c r="Y79" s="1"/>
      <c r="Z79" s="1"/>
    </row>
    <row r="80" spans="1:26">
      <c r="A80" s="1"/>
      <c r="B80" s="376" t="s">
        <v>771</v>
      </c>
      <c r="C80" s="101"/>
      <c r="D80" s="101"/>
      <c r="E80" s="492">
        <f>E78/E79</f>
        <v>0.12333986776440546</v>
      </c>
      <c r="F80" s="99"/>
      <c r="G80" s="1"/>
      <c r="H80" s="1"/>
      <c r="I80" s="1"/>
      <c r="J80" s="1"/>
      <c r="K80" s="1"/>
      <c r="L80" s="1"/>
      <c r="M80" s="1"/>
      <c r="N80" s="1"/>
      <c r="O80" s="1"/>
      <c r="P80" s="1"/>
      <c r="Q80" s="1"/>
      <c r="R80" s="1"/>
      <c r="S80" s="1"/>
      <c r="T80" s="1"/>
      <c r="U80" s="1"/>
      <c r="V80" s="1"/>
      <c r="W80" s="1"/>
      <c r="X80" s="1"/>
      <c r="Y80" s="1"/>
      <c r="Z80" s="1"/>
    </row>
    <row r="81" spans="1:26" ht="15" thickBot="1">
      <c r="A81" s="1"/>
      <c r="B81" s="609"/>
      <c r="C81" s="52"/>
      <c r="D81" s="52"/>
      <c r="E81" s="52"/>
      <c r="F81" s="52"/>
      <c r="G81" s="52"/>
      <c r="H81" s="1"/>
      <c r="I81" s="1"/>
      <c r="J81" s="1"/>
      <c r="K81" s="1"/>
      <c r="L81" s="1"/>
      <c r="M81" s="1"/>
      <c r="N81" s="1"/>
      <c r="O81" s="1"/>
      <c r="P81" s="1"/>
      <c r="Q81" s="1"/>
      <c r="R81" s="1"/>
      <c r="S81" s="1"/>
      <c r="T81" s="1"/>
      <c r="U81" s="1"/>
      <c r="V81" s="1"/>
      <c r="W81" s="1"/>
      <c r="X81" s="1"/>
      <c r="Y81" s="1"/>
      <c r="Z81" s="1"/>
    </row>
    <row r="82" spans="1:26">
      <c r="A82" s="1"/>
      <c r="B82" s="878"/>
      <c r="C82" s="879"/>
      <c r="D82" s="879"/>
      <c r="E82" s="879"/>
      <c r="F82" s="879"/>
      <c r="G82" s="880"/>
      <c r="H82" s="879" t="s">
        <v>747</v>
      </c>
      <c r="I82" s="879"/>
      <c r="J82" s="879"/>
      <c r="K82" s="879"/>
      <c r="L82" s="880"/>
      <c r="M82" s="879" t="s">
        <v>796</v>
      </c>
      <c r="N82" s="879"/>
      <c r="O82" s="880"/>
      <c r="P82" s="879"/>
      <c r="Q82" s="881"/>
      <c r="R82" s="1"/>
      <c r="S82" s="1"/>
      <c r="T82" s="1"/>
      <c r="U82" s="1"/>
      <c r="V82" s="1"/>
      <c r="W82" s="1"/>
      <c r="X82" s="1"/>
      <c r="Y82" s="1"/>
      <c r="Z82" s="1"/>
    </row>
    <row r="83" spans="1:26" ht="15" thickBot="1">
      <c r="A83" s="1"/>
      <c r="B83" s="882"/>
      <c r="C83" s="360"/>
      <c r="D83" s="360"/>
      <c r="E83" s="360"/>
      <c r="F83" s="360"/>
      <c r="G83" s="883">
        <v>2019</v>
      </c>
      <c r="H83" s="360">
        <v>2020</v>
      </c>
      <c r="I83" s="360">
        <v>2021</v>
      </c>
      <c r="J83" s="360">
        <v>2022</v>
      </c>
      <c r="K83" s="360">
        <v>2023</v>
      </c>
      <c r="L83" s="883">
        <v>2024</v>
      </c>
      <c r="M83" s="360">
        <v>2025</v>
      </c>
      <c r="N83" s="360">
        <v>2026</v>
      </c>
      <c r="O83" s="883">
        <v>2027</v>
      </c>
      <c r="P83" s="360" t="s">
        <v>503</v>
      </c>
      <c r="Q83" s="884"/>
      <c r="R83" s="1"/>
      <c r="S83" s="1"/>
      <c r="T83" s="1"/>
      <c r="U83" s="1"/>
      <c r="V83" s="1"/>
      <c r="W83" s="1"/>
      <c r="X83" s="1"/>
      <c r="Y83" s="1"/>
      <c r="Z83" s="1"/>
    </row>
    <row r="84" spans="1:26">
      <c r="A84" s="1"/>
      <c r="B84" s="467" t="s">
        <v>768</v>
      </c>
      <c r="C84" s="52"/>
      <c r="D84" s="52"/>
      <c r="E84" s="52"/>
      <c r="F84" s="52"/>
      <c r="G84" s="369"/>
      <c r="H84" s="657">
        <f>H68</f>
        <v>317.36373270597124</v>
      </c>
      <c r="I84" s="657">
        <f t="shared" ref="I84:L84" si="4">I68</f>
        <v>251.05073738659723</v>
      </c>
      <c r="J84" s="657">
        <f t="shared" si="4"/>
        <v>304.50249700167092</v>
      </c>
      <c r="K84" s="657">
        <f t="shared" si="4"/>
        <v>360.53906941444455</v>
      </c>
      <c r="L84" s="482">
        <f t="shared" si="4"/>
        <v>423.4949455319782</v>
      </c>
      <c r="M84" s="657">
        <f>L84*(1+L69+E73)</f>
        <v>474.20591330526855</v>
      </c>
      <c r="N84" s="657">
        <f>M84*(1+L69+E73+E73)</f>
        <v>504.9685931632992</v>
      </c>
      <c r="O84" s="482">
        <f>N84*(1+L69+E73+E73+E73)</f>
        <v>510.01827909493221</v>
      </c>
      <c r="P84" s="52"/>
      <c r="Q84" s="369"/>
      <c r="R84" s="1"/>
      <c r="S84" s="1"/>
      <c r="T84" s="1"/>
      <c r="U84" s="1"/>
      <c r="V84" s="1"/>
      <c r="W84" s="1"/>
      <c r="X84" s="1"/>
      <c r="Y84" s="1"/>
      <c r="Z84" s="1"/>
    </row>
    <row r="85" spans="1:26">
      <c r="A85" s="1"/>
      <c r="B85" s="467" t="s">
        <v>396</v>
      </c>
      <c r="C85" s="52"/>
      <c r="D85" s="52"/>
      <c r="E85" s="52"/>
      <c r="F85" s="52"/>
      <c r="G85" s="369"/>
      <c r="H85" s="610">
        <f>WACC!G60</f>
        <v>7.081621334662673E-2</v>
      </c>
      <c r="I85" s="610">
        <f>H85</f>
        <v>7.081621334662673E-2</v>
      </c>
      <c r="J85" s="610">
        <f t="shared" ref="J85:K85" si="5">I85</f>
        <v>7.081621334662673E-2</v>
      </c>
      <c r="K85" s="610">
        <f t="shared" si="5"/>
        <v>7.081621334662673E-2</v>
      </c>
      <c r="L85" s="438">
        <f>K85</f>
        <v>7.081621334662673E-2</v>
      </c>
      <c r="M85" s="610">
        <f>C54+E74</f>
        <v>7.4236404058112576E-2</v>
      </c>
      <c r="N85" s="610">
        <f>C54+E74+E74</f>
        <v>7.7656594769598422E-2</v>
      </c>
      <c r="O85" s="438">
        <f>N85+E74</f>
        <v>8.1076785481084268E-2</v>
      </c>
      <c r="P85" s="610">
        <f>O85</f>
        <v>8.1076785481084268E-2</v>
      </c>
      <c r="Q85" s="369"/>
      <c r="R85" s="1"/>
      <c r="S85" s="1"/>
      <c r="T85" s="1"/>
      <c r="U85" s="1"/>
      <c r="V85" s="1"/>
      <c r="W85" s="1"/>
      <c r="X85" s="1"/>
      <c r="Y85" s="1"/>
      <c r="Z85" s="1"/>
    </row>
    <row r="86" spans="1:26">
      <c r="A86" s="1"/>
      <c r="B86" s="467" t="s">
        <v>772</v>
      </c>
      <c r="C86" s="52"/>
      <c r="D86" s="52"/>
      <c r="E86" s="52"/>
      <c r="F86" s="52"/>
      <c r="G86" s="369"/>
      <c r="H86" s="612">
        <f>1/(1+H85)</f>
        <v>0.93386707031143601</v>
      </c>
      <c r="I86" s="612">
        <f>1/(1+I85)^2</f>
        <v>0.87210770501206458</v>
      </c>
      <c r="J86" s="612">
        <f>1/(1+J85)^3</f>
        <v>0.8144326674756468</v>
      </c>
      <c r="K86" s="612">
        <f>1/(1+K85)^4</f>
        <v>0.76057184914141041</v>
      </c>
      <c r="L86" s="458">
        <f>1/(1+L85)^5</f>
        <v>0.7102730045190403</v>
      </c>
      <c r="M86" s="612">
        <f>1/((1+M85)*(1+L85)^5)</f>
        <v>0.66118873074479889</v>
      </c>
      <c r="N86" s="612">
        <f>1/((1+N85)*(1+M85)*(1+L85)^5)</f>
        <v>0.61354306553114923</v>
      </c>
      <c r="O86" s="458">
        <f>1/((1+O85)*(1+N85)*(1+M85)*(1+L85)^5)</f>
        <v>0.56752959065541275</v>
      </c>
      <c r="P86" s="612">
        <f>O86</f>
        <v>0.56752959065541275</v>
      </c>
      <c r="Q86" s="369"/>
      <c r="R86" s="1"/>
      <c r="S86" s="1"/>
      <c r="T86" s="1"/>
      <c r="U86" s="1"/>
      <c r="V86" s="1"/>
      <c r="W86" s="1"/>
      <c r="X86" s="1"/>
      <c r="Y86" s="1"/>
      <c r="Z86" s="1"/>
    </row>
    <row r="87" spans="1:26">
      <c r="A87" s="1"/>
      <c r="B87" s="376" t="s">
        <v>524</v>
      </c>
      <c r="C87" s="101"/>
      <c r="D87" s="101"/>
      <c r="E87" s="101"/>
      <c r="F87" s="101"/>
      <c r="G87" s="99"/>
      <c r="H87" s="469">
        <f>H84*H86</f>
        <v>296.37553928522703</v>
      </c>
      <c r="I87" s="469">
        <f t="shared" ref="I87:L87" si="6">I84*I86</f>
        <v>218.94328242381184</v>
      </c>
      <c r="J87" s="469">
        <f t="shared" si="6"/>
        <v>247.99678088606598</v>
      </c>
      <c r="K87" s="469">
        <f t="shared" si="6"/>
        <v>274.21586671226743</v>
      </c>
      <c r="L87" s="470">
        <f t="shared" si="6"/>
        <v>300.79702736162545</v>
      </c>
      <c r="M87" s="469">
        <f>M84*M86</f>
        <v>313.53960592998868</v>
      </c>
      <c r="N87" s="469">
        <f>N84*N86</f>
        <v>309.8199786463623</v>
      </c>
      <c r="O87" s="470">
        <f>O84*O86</f>
        <v>289.45046516152496</v>
      </c>
      <c r="P87" s="469">
        <f>(O84*(1+C56)/(C57-C56))*P86</f>
        <v>4113.0865420319587</v>
      </c>
      <c r="Q87" s="99"/>
      <c r="R87" s="1"/>
      <c r="S87" s="1"/>
      <c r="T87" s="1"/>
      <c r="U87" s="1"/>
      <c r="V87" s="1"/>
      <c r="W87" s="1"/>
      <c r="X87" s="1"/>
      <c r="Y87" s="1"/>
      <c r="Z87" s="1"/>
    </row>
    <row r="88" spans="1:26" ht="1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876" t="s">
        <v>797</v>
      </c>
      <c r="C89" s="793"/>
      <c r="D89" s="794"/>
      <c r="E89" s="1"/>
      <c r="F89" s="1"/>
      <c r="G89" s="1"/>
      <c r="H89" s="1"/>
      <c r="I89" s="1"/>
      <c r="J89" s="1"/>
      <c r="K89" s="1"/>
      <c r="L89" s="1"/>
      <c r="M89" s="1"/>
      <c r="N89" s="1"/>
      <c r="O89" s="1"/>
      <c r="P89" s="1"/>
      <c r="Q89" s="1"/>
      <c r="R89" s="1"/>
      <c r="S89" s="1"/>
      <c r="T89" s="1"/>
      <c r="U89" s="1"/>
      <c r="V89" s="1"/>
      <c r="W89" s="1"/>
      <c r="X89" s="1"/>
      <c r="Y89" s="1"/>
      <c r="Z89" s="1"/>
    </row>
    <row r="90" spans="1:26">
      <c r="A90" s="1"/>
      <c r="B90" s="257" t="s">
        <v>774</v>
      </c>
      <c r="C90" s="657"/>
      <c r="D90" s="827">
        <f>SUM(H87:L87)</f>
        <v>1338.3284966689976</v>
      </c>
      <c r="E90" s="1"/>
      <c r="F90" s="1"/>
      <c r="G90" s="1"/>
      <c r="H90" s="1"/>
      <c r="I90" s="1"/>
      <c r="J90" s="1"/>
      <c r="K90" s="1"/>
      <c r="L90" s="1"/>
      <c r="M90" s="1"/>
      <c r="N90" s="1"/>
      <c r="O90" s="1"/>
      <c r="P90" s="1"/>
      <c r="Q90" s="1"/>
      <c r="R90" s="1"/>
      <c r="S90" s="1"/>
      <c r="T90" s="1"/>
      <c r="U90" s="1"/>
      <c r="V90" s="1"/>
      <c r="W90" s="1"/>
      <c r="X90" s="1"/>
      <c r="Y90" s="1"/>
      <c r="Z90" s="1"/>
    </row>
    <row r="91" spans="1:26">
      <c r="A91" s="1"/>
      <c r="B91" s="257" t="s">
        <v>775</v>
      </c>
      <c r="C91" s="657"/>
      <c r="D91" s="827">
        <f>SUM(M87:O87)</f>
        <v>912.81004973787594</v>
      </c>
      <c r="E91" s="1"/>
      <c r="F91" s="1"/>
      <c r="G91" s="1"/>
      <c r="H91" s="1"/>
      <c r="I91" s="1"/>
      <c r="J91" s="1"/>
      <c r="K91" s="1"/>
      <c r="L91" s="1"/>
      <c r="M91" s="1"/>
      <c r="N91" s="1"/>
      <c r="O91" s="1"/>
      <c r="P91" s="1"/>
      <c r="Q91" s="1"/>
      <c r="R91" s="1"/>
      <c r="S91" s="1"/>
      <c r="T91" s="1"/>
      <c r="U91" s="1"/>
      <c r="V91" s="1"/>
      <c r="W91" s="1"/>
      <c r="X91" s="1"/>
      <c r="Y91" s="1"/>
      <c r="Z91" s="1"/>
    </row>
    <row r="92" spans="1:26">
      <c r="A92" s="1"/>
      <c r="B92" s="277" t="s">
        <v>776</v>
      </c>
      <c r="C92" s="101"/>
      <c r="D92" s="279">
        <f>P87</f>
        <v>4113.0865420319587</v>
      </c>
      <c r="E92" s="1"/>
      <c r="F92" s="1"/>
      <c r="G92" s="1"/>
      <c r="H92" s="1"/>
      <c r="I92" s="1"/>
      <c r="J92" s="1"/>
      <c r="K92" s="1"/>
      <c r="L92" s="1"/>
      <c r="M92" s="1"/>
      <c r="N92" s="1"/>
      <c r="O92" s="1"/>
      <c r="P92" s="1"/>
      <c r="Q92" s="1"/>
      <c r="R92" s="1"/>
      <c r="S92" s="1"/>
      <c r="T92" s="1"/>
      <c r="U92" s="1"/>
      <c r="V92" s="1"/>
      <c r="W92" s="1"/>
      <c r="X92" s="1"/>
      <c r="Y92" s="1"/>
      <c r="Z92" s="1"/>
    </row>
    <row r="93" spans="1:26">
      <c r="A93" s="1"/>
      <c r="B93" s="257" t="s">
        <v>777</v>
      </c>
      <c r="C93" s="657"/>
      <c r="D93" s="827">
        <f>SUM(D90:D92)</f>
        <v>6364.2250884388322</v>
      </c>
      <c r="E93" s="1"/>
      <c r="F93" s="1"/>
      <c r="G93" s="1"/>
      <c r="H93" s="1"/>
      <c r="I93" s="1"/>
      <c r="J93" s="1"/>
      <c r="K93" s="1"/>
      <c r="L93" s="1"/>
      <c r="M93" s="1"/>
      <c r="N93" s="1"/>
      <c r="O93" s="1"/>
      <c r="P93" s="1"/>
      <c r="Q93" s="1"/>
      <c r="R93" s="1"/>
      <c r="S93" s="1"/>
      <c r="T93" s="1"/>
      <c r="U93" s="1"/>
      <c r="V93" s="1"/>
      <c r="W93" s="1"/>
      <c r="X93" s="1"/>
      <c r="Y93" s="1"/>
      <c r="Z93" s="1"/>
    </row>
    <row r="94" spans="1:26">
      <c r="A94" s="1"/>
      <c r="B94" s="257"/>
      <c r="C94" s="52"/>
      <c r="D94" s="278"/>
      <c r="E94" s="1"/>
      <c r="F94" s="1"/>
      <c r="G94" s="1"/>
      <c r="H94" s="1"/>
      <c r="I94" s="1"/>
      <c r="J94" s="1"/>
      <c r="K94" s="1"/>
      <c r="L94" s="1"/>
      <c r="M94" s="1"/>
      <c r="N94" s="1"/>
      <c r="O94" s="1"/>
      <c r="P94" s="1"/>
      <c r="Q94" s="1"/>
      <c r="R94" s="1"/>
      <c r="S94" s="1"/>
      <c r="T94" s="1"/>
      <c r="U94" s="1"/>
      <c r="V94" s="1"/>
      <c r="W94" s="1"/>
      <c r="X94" s="1"/>
      <c r="Y94" s="1"/>
      <c r="Z94" s="1"/>
    </row>
    <row r="95" spans="1:26">
      <c r="A95" s="1"/>
      <c r="B95" s="257" t="s">
        <v>778</v>
      </c>
      <c r="C95" s="612"/>
      <c r="D95" s="439">
        <f>G8</f>
        <v>3109.1838560000001</v>
      </c>
      <c r="E95" s="1"/>
      <c r="F95" s="1"/>
      <c r="G95" s="1"/>
      <c r="H95" s="1"/>
      <c r="I95" s="1"/>
      <c r="J95" s="1"/>
      <c r="K95" s="1"/>
      <c r="L95" s="1"/>
      <c r="M95" s="1"/>
      <c r="N95" s="1"/>
      <c r="O95" s="1"/>
      <c r="P95" s="1"/>
      <c r="Q95" s="1"/>
      <c r="R95" s="1"/>
      <c r="S95" s="1"/>
      <c r="T95" s="1"/>
      <c r="U95" s="1"/>
      <c r="V95" s="1"/>
      <c r="W95" s="1"/>
      <c r="X95" s="1"/>
      <c r="Y95" s="1"/>
      <c r="Z95" s="1"/>
    </row>
    <row r="96" spans="1:26" ht="15" thickBot="1">
      <c r="A96" s="1"/>
      <c r="B96" s="269" t="s">
        <v>490</v>
      </c>
      <c r="C96" s="877"/>
      <c r="D96" s="440">
        <f>D93/D95</f>
        <v>2.0469117888147275</v>
      </c>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21">
      <c r="A100" s="852"/>
      <c r="B100" s="859" t="s">
        <v>798</v>
      </c>
      <c r="C100" s="662"/>
      <c r="D100" s="662"/>
      <c r="E100" s="662"/>
      <c r="F100" s="662"/>
      <c r="G100" s="662"/>
      <c r="H100" s="662"/>
      <c r="I100" s="662"/>
      <c r="J100" s="662"/>
      <c r="K100" s="662"/>
      <c r="L100" s="662"/>
      <c r="M100" s="662"/>
      <c r="N100" s="662"/>
      <c r="O100" s="662"/>
      <c r="P100" s="662"/>
      <c r="Q100" s="664"/>
      <c r="R100" s="1"/>
      <c r="S100" s="1"/>
      <c r="T100" s="1"/>
      <c r="U100" s="1"/>
      <c r="V100" s="1"/>
      <c r="W100" s="1"/>
      <c r="X100" s="1"/>
      <c r="Y100" s="1"/>
      <c r="Z100" s="1"/>
    </row>
    <row r="101" spans="1:26" ht="15" thickBot="1">
      <c r="A101" s="853"/>
      <c r="B101" s="665"/>
      <c r="C101" s="665"/>
      <c r="D101" s="665"/>
      <c r="E101" s="665"/>
      <c r="F101" s="665"/>
      <c r="G101" s="665"/>
      <c r="H101" s="665"/>
      <c r="I101" s="665"/>
      <c r="J101" s="665"/>
      <c r="K101" s="665"/>
      <c r="L101" s="665"/>
      <c r="M101" s="665"/>
      <c r="N101" s="665"/>
      <c r="O101" s="665"/>
      <c r="P101" s="665"/>
      <c r="Q101" s="666"/>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52"/>
      <c r="C103" s="52"/>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52"/>
      <c r="C104" s="52"/>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866"/>
      <c r="C105" s="868" t="s">
        <v>471</v>
      </c>
      <c r="D105" s="861"/>
      <c r="E105" s="861"/>
      <c r="F105" s="861"/>
      <c r="G105" s="862"/>
      <c r="H105" s="861" t="s">
        <v>543</v>
      </c>
      <c r="I105" s="861"/>
      <c r="J105" s="861"/>
      <c r="K105" s="861"/>
      <c r="L105" s="862"/>
      <c r="M105" s="1"/>
      <c r="N105" s="1"/>
      <c r="O105" s="1"/>
      <c r="P105" s="1"/>
      <c r="Q105" s="1"/>
      <c r="R105" s="1"/>
      <c r="S105" s="1"/>
      <c r="T105" s="1"/>
      <c r="U105" s="1"/>
      <c r="V105" s="1"/>
      <c r="W105" s="1"/>
      <c r="X105" s="1"/>
      <c r="Y105" s="1"/>
      <c r="Z105" s="1"/>
    </row>
    <row r="106" spans="1:26">
      <c r="A106" s="1"/>
      <c r="B106" s="867" t="s">
        <v>799</v>
      </c>
      <c r="C106" s="863"/>
      <c r="D106" s="864">
        <v>2016</v>
      </c>
      <c r="E106" s="864">
        <v>2017</v>
      </c>
      <c r="F106" s="864">
        <v>2018</v>
      </c>
      <c r="G106" s="865">
        <v>2019</v>
      </c>
      <c r="H106" s="864">
        <v>2020</v>
      </c>
      <c r="I106" s="864">
        <v>2021</v>
      </c>
      <c r="J106" s="864">
        <v>2022</v>
      </c>
      <c r="K106" s="864">
        <v>2023</v>
      </c>
      <c r="L106" s="865">
        <v>2024</v>
      </c>
      <c r="M106" s="1"/>
      <c r="N106" s="1"/>
      <c r="O106" s="1"/>
      <c r="P106" s="1"/>
      <c r="Q106" s="1"/>
      <c r="R106" s="1"/>
      <c r="S106" s="1"/>
      <c r="T106" s="1"/>
      <c r="U106" s="1"/>
      <c r="V106" s="1"/>
      <c r="W106" s="1"/>
      <c r="X106" s="1"/>
      <c r="Y106" s="1"/>
      <c r="Z106" s="1"/>
    </row>
    <row r="107" spans="1:26">
      <c r="A107" s="1"/>
      <c r="B107" s="595" t="s">
        <v>357</v>
      </c>
      <c r="C107" s="467"/>
      <c r="D107" s="657">
        <f>'Forecasts Simone'!V239</f>
        <v>32.18562874251495</v>
      </c>
      <c r="E107" s="657">
        <f>'Forecasts Simone'!W239</f>
        <v>765.33333333333326</v>
      </c>
      <c r="F107" s="657">
        <f>'Forecasts Simone'!X239</f>
        <v>31.600000000000023</v>
      </c>
      <c r="G107" s="822">
        <f>'Forecasts Simone'!Y239</f>
        <v>229.51807228915663</v>
      </c>
      <c r="H107" s="657">
        <f>'Forecasts Simone'!Z239</f>
        <v>153.92095593565264</v>
      </c>
      <c r="I107" s="657">
        <f>'Forecasts Simone'!AA239</f>
        <v>203.4991598179929</v>
      </c>
      <c r="J107" s="657">
        <f>'Forecasts Simone'!AB239</f>
        <v>255.40145635532625</v>
      </c>
      <c r="K107" s="657">
        <f>'Forecasts Simone'!AC239</f>
        <v>309.84115533779891</v>
      </c>
      <c r="L107" s="482">
        <f>'Forecasts Simone'!AD239</f>
        <v>367.92674475562848</v>
      </c>
      <c r="M107" s="1"/>
      <c r="N107" s="1"/>
      <c r="O107" s="1"/>
      <c r="P107" s="1"/>
      <c r="Q107" s="1"/>
      <c r="R107" s="1"/>
      <c r="S107" s="1"/>
      <c r="T107" s="1"/>
      <c r="U107" s="1"/>
      <c r="V107" s="1"/>
      <c r="W107" s="1"/>
      <c r="X107" s="1"/>
      <c r="Y107" s="1"/>
      <c r="Z107" s="1"/>
    </row>
    <row r="108" spans="1:26">
      <c r="A108" s="1"/>
      <c r="B108" s="96" t="s">
        <v>791</v>
      </c>
      <c r="C108" s="376"/>
      <c r="D108" s="870"/>
      <c r="E108" s="869">
        <f>(E107-D107)/D107</f>
        <v>22.778728682170556</v>
      </c>
      <c r="F108" s="869">
        <f>(F107-E107)/E107</f>
        <v>-0.95871080139372822</v>
      </c>
      <c r="G108" s="873">
        <f>(G107-F107)/F107</f>
        <v>6.2632301357327993</v>
      </c>
      <c r="H108" s="869">
        <f>(H107-G107)/G107</f>
        <v>-0.32937326285253704</v>
      </c>
      <c r="I108" s="869">
        <f t="shared" ref="I108" si="7">(I107-H107)/H107</f>
        <v>0.32210171500667301</v>
      </c>
      <c r="J108" s="869">
        <f t="shared" ref="J108" si="8">(J107-I107)/I107</f>
        <v>0.2550491932436188</v>
      </c>
      <c r="K108" s="869">
        <f t="shared" ref="K108" si="9">(K107-J107)/J107</f>
        <v>0.21315343991904906</v>
      </c>
      <c r="L108" s="885">
        <f t="shared" ref="L108" si="10">(L107-K107)/K107</f>
        <v>0.18746892856923014</v>
      </c>
      <c r="M108" s="1"/>
      <c r="N108" s="1"/>
      <c r="O108" s="1"/>
      <c r="P108" s="1"/>
      <c r="Q108" s="1"/>
      <c r="R108" s="1"/>
      <c r="S108" s="1"/>
      <c r="T108" s="1"/>
      <c r="U108" s="1"/>
      <c r="V108" s="1"/>
      <c r="W108" s="1"/>
      <c r="X108" s="1"/>
      <c r="Y108" s="1"/>
      <c r="Z108" s="1"/>
    </row>
    <row r="109" spans="1:26">
      <c r="A109" s="1"/>
      <c r="B109" s="52"/>
      <c r="C109" s="52"/>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874" t="s">
        <v>793</v>
      </c>
      <c r="C110" s="103"/>
      <c r="D110" s="103"/>
      <c r="E110" s="103"/>
      <c r="F110" s="378"/>
      <c r="G110" s="1"/>
      <c r="H110" s="1"/>
      <c r="I110" s="1"/>
      <c r="J110" s="1"/>
      <c r="K110" s="1"/>
      <c r="L110" s="1"/>
      <c r="M110" s="1"/>
      <c r="N110" s="1"/>
      <c r="O110" s="1"/>
      <c r="P110" s="1"/>
      <c r="Q110" s="1"/>
      <c r="R110" s="1"/>
      <c r="S110" s="1"/>
      <c r="T110" s="1"/>
      <c r="U110" s="1"/>
      <c r="V110" s="1"/>
      <c r="W110" s="1"/>
      <c r="X110" s="1"/>
      <c r="Y110" s="1"/>
      <c r="Z110" s="1"/>
    </row>
    <row r="111" spans="1:26">
      <c r="A111" s="1"/>
      <c r="B111" s="467"/>
      <c r="C111" s="52"/>
      <c r="D111" s="52"/>
      <c r="E111" s="52"/>
      <c r="F111" s="369"/>
      <c r="G111" s="1"/>
      <c r="H111" s="1"/>
      <c r="I111" s="1"/>
      <c r="J111" s="1"/>
      <c r="K111" s="1"/>
      <c r="L111" s="1"/>
      <c r="M111" s="1"/>
      <c r="N111" s="1"/>
      <c r="O111" s="1"/>
      <c r="P111" s="1"/>
      <c r="Q111" s="1"/>
      <c r="R111" s="1"/>
      <c r="S111" s="1"/>
      <c r="T111" s="1"/>
      <c r="U111" s="1"/>
      <c r="V111" s="1"/>
      <c r="W111" s="1"/>
      <c r="X111" s="1"/>
      <c r="Y111" s="1"/>
      <c r="Z111" s="1"/>
    </row>
    <row r="112" spans="1:26">
      <c r="A112" s="1"/>
      <c r="B112" s="467" t="s">
        <v>800</v>
      </c>
      <c r="C112" s="52"/>
      <c r="D112" s="52"/>
      <c r="E112" s="370">
        <f>(E117-L108)/3</f>
        <v>-5.9156309523076711E-2</v>
      </c>
      <c r="F112" s="369"/>
      <c r="G112" s="1"/>
      <c r="H112" s="1"/>
      <c r="I112" s="1"/>
      <c r="J112" s="1"/>
      <c r="K112" s="1"/>
      <c r="L112" s="1"/>
      <c r="M112" s="1"/>
      <c r="N112" s="1"/>
      <c r="O112" s="1"/>
      <c r="P112" s="1"/>
      <c r="Q112" s="1"/>
      <c r="R112" s="1"/>
      <c r="S112" s="1"/>
      <c r="T112" s="1"/>
      <c r="U112" s="1"/>
      <c r="V112" s="1"/>
      <c r="W112" s="1"/>
      <c r="X112" s="1"/>
      <c r="Y112" s="1"/>
      <c r="Z112" s="1"/>
    </row>
    <row r="113" spans="1:26">
      <c r="A113" s="1"/>
      <c r="B113" s="467" t="s">
        <v>802</v>
      </c>
      <c r="C113" s="52"/>
      <c r="D113" s="52"/>
      <c r="E113" s="370">
        <f>(E118-C53)/3</f>
        <v>3.1309917973415904E-3</v>
      </c>
      <c r="F113" s="369"/>
      <c r="G113" s="1"/>
      <c r="H113" s="1"/>
      <c r="I113" s="1"/>
      <c r="J113" s="1"/>
      <c r="K113" s="1"/>
      <c r="L113" s="1"/>
      <c r="M113" s="1"/>
      <c r="N113" s="1"/>
      <c r="O113" s="1"/>
      <c r="P113" s="1"/>
      <c r="Q113" s="1"/>
      <c r="R113" s="1"/>
      <c r="S113" s="1"/>
      <c r="T113" s="1"/>
      <c r="U113" s="1"/>
      <c r="V113" s="1"/>
      <c r="W113" s="1"/>
      <c r="X113" s="1"/>
      <c r="Y113" s="1"/>
      <c r="Z113" s="1"/>
    </row>
    <row r="114" spans="1:26">
      <c r="A114" s="1"/>
      <c r="B114" s="467"/>
      <c r="C114" s="52"/>
      <c r="D114" s="52"/>
      <c r="E114" s="52"/>
      <c r="F114" s="369"/>
      <c r="G114" s="1"/>
      <c r="H114" s="1"/>
      <c r="I114" s="1"/>
      <c r="J114" s="1"/>
      <c r="K114" s="1"/>
      <c r="L114" s="1"/>
      <c r="M114" s="1"/>
      <c r="N114" s="1"/>
      <c r="O114" s="1"/>
      <c r="P114" s="1"/>
      <c r="Q114" s="1"/>
      <c r="R114" s="1"/>
      <c r="S114" s="1"/>
      <c r="T114" s="1"/>
      <c r="U114" s="1"/>
      <c r="V114" s="1"/>
      <c r="W114" s="1"/>
      <c r="X114" s="1"/>
      <c r="Y114" s="1"/>
      <c r="Z114" s="1"/>
    </row>
    <row r="115" spans="1:26">
      <c r="A115" s="1"/>
      <c r="B115" s="875" t="s">
        <v>770</v>
      </c>
      <c r="C115" s="52"/>
      <c r="D115" s="52"/>
      <c r="E115" s="52"/>
      <c r="F115" s="369"/>
      <c r="G115" s="1"/>
      <c r="H115" s="1"/>
      <c r="I115" s="1"/>
      <c r="J115" s="1"/>
      <c r="K115" s="1"/>
      <c r="L115" s="1"/>
      <c r="M115" s="1"/>
      <c r="N115" s="1"/>
      <c r="O115" s="1"/>
      <c r="P115" s="1"/>
      <c r="Q115" s="1"/>
      <c r="R115" s="1"/>
      <c r="S115" s="1"/>
      <c r="T115" s="1"/>
      <c r="U115" s="1"/>
      <c r="V115" s="1"/>
      <c r="W115" s="1"/>
      <c r="X115" s="1"/>
      <c r="Y115" s="1"/>
      <c r="Z115" s="1"/>
    </row>
    <row r="116" spans="1:26">
      <c r="A116" s="1"/>
      <c r="B116" s="467"/>
      <c r="C116" s="52"/>
      <c r="D116" s="52"/>
      <c r="E116" s="52"/>
      <c r="F116" s="369"/>
      <c r="G116" s="1"/>
      <c r="H116" s="1"/>
      <c r="I116" s="1"/>
      <c r="J116" s="1"/>
      <c r="K116" s="1"/>
      <c r="L116" s="1"/>
      <c r="M116" s="1"/>
      <c r="N116" s="1"/>
      <c r="O116" s="1"/>
      <c r="P116" s="1"/>
      <c r="Q116" s="1"/>
      <c r="R116" s="1"/>
      <c r="S116" s="1"/>
      <c r="T116" s="1"/>
      <c r="U116" s="1"/>
      <c r="V116" s="1"/>
      <c r="W116" s="1"/>
      <c r="X116" s="1"/>
      <c r="Y116" s="1"/>
      <c r="Z116" s="1"/>
    </row>
    <row r="117" spans="1:26">
      <c r="A117" s="1"/>
      <c r="B117" s="467" t="s">
        <v>773</v>
      </c>
      <c r="C117" s="52"/>
      <c r="D117" s="52"/>
      <c r="E117" s="610">
        <f>C56</f>
        <v>0.01</v>
      </c>
      <c r="F117" s="369"/>
      <c r="G117" s="1"/>
      <c r="H117" s="1"/>
      <c r="I117" s="1"/>
      <c r="J117" s="1"/>
      <c r="K117" s="1"/>
      <c r="L117" s="1"/>
      <c r="M117" s="1"/>
      <c r="N117" s="1"/>
      <c r="O117" s="1"/>
      <c r="P117" s="1"/>
      <c r="Q117" s="1"/>
      <c r="R117" s="1"/>
      <c r="S117" s="1"/>
      <c r="T117" s="1"/>
      <c r="U117" s="1"/>
      <c r="V117" s="1"/>
      <c r="W117" s="1"/>
      <c r="X117" s="1"/>
      <c r="Y117" s="1"/>
      <c r="Z117" s="1"/>
    </row>
    <row r="118" spans="1:26">
      <c r="A118" s="1"/>
      <c r="B118" s="467" t="s">
        <v>801</v>
      </c>
      <c r="C118" s="52"/>
      <c r="D118" s="52"/>
      <c r="E118" s="610">
        <f>C58</f>
        <v>5.2796758797357256E-2</v>
      </c>
      <c r="F118" s="369"/>
      <c r="G118" s="1"/>
      <c r="H118" s="1"/>
      <c r="I118" s="1"/>
      <c r="J118" s="1"/>
      <c r="K118" s="1"/>
      <c r="L118" s="1"/>
      <c r="M118" s="1"/>
      <c r="N118" s="1"/>
      <c r="O118" s="1"/>
      <c r="P118" s="1"/>
      <c r="Q118" s="1"/>
      <c r="R118" s="1"/>
      <c r="S118" s="1"/>
      <c r="T118" s="1"/>
      <c r="U118" s="1"/>
      <c r="V118" s="1"/>
      <c r="W118" s="1"/>
      <c r="X118" s="1"/>
      <c r="Y118" s="1"/>
      <c r="Z118" s="1"/>
    </row>
    <row r="119" spans="1:26">
      <c r="A119" s="1"/>
      <c r="B119" s="376" t="s">
        <v>779</v>
      </c>
      <c r="C119" s="101"/>
      <c r="D119" s="101"/>
      <c r="E119" s="492">
        <f>E117/E118</f>
        <v>0.18940556632238853</v>
      </c>
      <c r="F119" s="99"/>
      <c r="G119" s="1"/>
      <c r="H119" s="1"/>
      <c r="I119" s="1"/>
      <c r="J119" s="1"/>
      <c r="K119" s="1"/>
      <c r="L119" s="1"/>
      <c r="M119" s="1"/>
      <c r="N119" s="1"/>
      <c r="O119" s="1"/>
      <c r="P119" s="1"/>
      <c r="Q119" s="1"/>
      <c r="R119" s="1"/>
      <c r="S119" s="1"/>
      <c r="T119" s="1"/>
      <c r="U119" s="1"/>
      <c r="V119" s="1"/>
      <c r="W119" s="1"/>
      <c r="X119" s="1"/>
      <c r="Y119" s="1"/>
      <c r="Z119" s="1"/>
    </row>
    <row r="120" spans="1:26" ht="1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878"/>
      <c r="C121" s="879"/>
      <c r="D121" s="879"/>
      <c r="E121" s="879"/>
      <c r="F121" s="879"/>
      <c r="G121" s="880"/>
      <c r="H121" s="879" t="s">
        <v>747</v>
      </c>
      <c r="I121" s="879"/>
      <c r="J121" s="879"/>
      <c r="K121" s="879"/>
      <c r="L121" s="880"/>
      <c r="M121" s="879" t="s">
        <v>796</v>
      </c>
      <c r="N121" s="879"/>
      <c r="O121" s="880"/>
      <c r="P121" s="879"/>
      <c r="Q121" s="881"/>
      <c r="R121" s="1"/>
      <c r="S121" s="1"/>
      <c r="T121" s="1"/>
      <c r="U121" s="1"/>
      <c r="V121" s="1"/>
      <c r="W121" s="1"/>
      <c r="X121" s="1"/>
      <c r="Y121" s="1"/>
      <c r="Z121" s="1"/>
    </row>
    <row r="122" spans="1:26" ht="15" thickBot="1">
      <c r="A122" s="1"/>
      <c r="B122" s="882"/>
      <c r="C122" s="360"/>
      <c r="D122" s="360"/>
      <c r="E122" s="360"/>
      <c r="F122" s="360"/>
      <c r="G122" s="883">
        <v>2019</v>
      </c>
      <c r="H122" s="360">
        <v>2020</v>
      </c>
      <c r="I122" s="360">
        <v>2021</v>
      </c>
      <c r="J122" s="360">
        <v>2022</v>
      </c>
      <c r="K122" s="360">
        <v>2023</v>
      </c>
      <c r="L122" s="883">
        <v>2024</v>
      </c>
      <c r="M122" s="360">
        <v>2025</v>
      </c>
      <c r="N122" s="360">
        <v>2026</v>
      </c>
      <c r="O122" s="883">
        <v>2027</v>
      </c>
      <c r="P122" s="360" t="s">
        <v>503</v>
      </c>
      <c r="Q122" s="884"/>
      <c r="R122" s="1"/>
      <c r="S122" s="1"/>
      <c r="T122" s="1"/>
      <c r="U122" s="1"/>
      <c r="V122" s="1"/>
      <c r="W122" s="1"/>
      <c r="X122" s="1"/>
      <c r="Y122" s="1"/>
      <c r="Z122" s="1"/>
    </row>
    <row r="123" spans="1:26">
      <c r="A123" s="1"/>
      <c r="B123" s="467" t="s">
        <v>357</v>
      </c>
      <c r="C123" s="52"/>
      <c r="D123" s="52"/>
      <c r="E123" s="52"/>
      <c r="F123" s="52"/>
      <c r="G123" s="369"/>
      <c r="H123" s="657">
        <f>H107</f>
        <v>153.92095593565264</v>
      </c>
      <c r="I123" s="657">
        <f t="shared" ref="I123:L123" si="11">I107</f>
        <v>203.4991598179929</v>
      </c>
      <c r="J123" s="657">
        <f t="shared" si="11"/>
        <v>255.40145635532625</v>
      </c>
      <c r="K123" s="657">
        <f t="shared" si="11"/>
        <v>309.84115533779891</v>
      </c>
      <c r="L123" s="482">
        <f t="shared" si="11"/>
        <v>367.92674475562848</v>
      </c>
      <c r="M123" s="657">
        <f>L123*(1+L108+E112)</f>
        <v>415.13638899234877</v>
      </c>
      <c r="N123" s="657">
        <f>M123*(1+L108+E112+E112)</f>
        <v>443.84568960379602</v>
      </c>
      <c r="O123" s="482">
        <f>N123*(1+L108+E112+E112+E112)</f>
        <v>448.28414649983398</v>
      </c>
      <c r="P123" s="52"/>
      <c r="Q123" s="369"/>
      <c r="R123" s="1"/>
      <c r="S123" s="1"/>
      <c r="T123" s="1"/>
      <c r="U123" s="1"/>
      <c r="V123" s="1"/>
      <c r="W123" s="1"/>
      <c r="X123" s="1"/>
      <c r="Y123" s="1"/>
      <c r="Z123" s="1"/>
    </row>
    <row r="124" spans="1:26">
      <c r="A124" s="1"/>
      <c r="B124" s="467" t="s">
        <v>396</v>
      </c>
      <c r="C124" s="52"/>
      <c r="D124" s="52"/>
      <c r="E124" s="52"/>
      <c r="F124" s="52"/>
      <c r="G124" s="369"/>
      <c r="H124" s="610">
        <f>C53</f>
        <v>4.3403783405332484E-2</v>
      </c>
      <c r="I124" s="610">
        <f>H124</f>
        <v>4.3403783405332484E-2</v>
      </c>
      <c r="J124" s="610">
        <f t="shared" ref="J124" si="12">I124</f>
        <v>4.3403783405332484E-2</v>
      </c>
      <c r="K124" s="610">
        <f t="shared" ref="K124" si="13">J124</f>
        <v>4.3403783405332484E-2</v>
      </c>
      <c r="L124" s="438">
        <f>K124</f>
        <v>4.3403783405332484E-2</v>
      </c>
      <c r="M124" s="610">
        <f>L124+E113</f>
        <v>4.6534775202674072E-2</v>
      </c>
      <c r="N124" s="610">
        <f>M124+E113</f>
        <v>4.9665767000015661E-2</v>
      </c>
      <c r="O124" s="438">
        <f>N124+E113</f>
        <v>5.2796758797357249E-2</v>
      </c>
      <c r="P124" s="610">
        <f>O124</f>
        <v>5.2796758797357249E-2</v>
      </c>
      <c r="Q124" s="369"/>
      <c r="R124" s="1"/>
      <c r="S124" s="1"/>
      <c r="T124" s="1"/>
      <c r="U124" s="1"/>
      <c r="V124" s="1"/>
      <c r="W124" s="1"/>
      <c r="X124" s="1"/>
      <c r="Y124" s="1"/>
      <c r="Z124" s="1"/>
    </row>
    <row r="125" spans="1:26">
      <c r="A125" s="1"/>
      <c r="B125" s="467" t="s">
        <v>772</v>
      </c>
      <c r="C125" s="52"/>
      <c r="D125" s="52"/>
      <c r="E125" s="52"/>
      <c r="F125" s="52"/>
      <c r="G125" s="369"/>
      <c r="H125" s="612">
        <f>1/(1+H124)</f>
        <v>0.95840173852573496</v>
      </c>
      <c r="I125" s="612">
        <f>1/(1+I124)^2</f>
        <v>0.91853389240915118</v>
      </c>
      <c r="J125" s="612">
        <f>1/(1+J124)^3</f>
        <v>0.88032447937974079</v>
      </c>
      <c r="K125" s="612">
        <f>1/(1+K124)^4</f>
        <v>0.84370451150430614</v>
      </c>
      <c r="L125" s="458">
        <f>1/(1+L124)^5</f>
        <v>0.80860787062773298</v>
      </c>
      <c r="M125" s="612">
        <f>1/((1+M124)*(1+L124)^5)</f>
        <v>0.77265265310570908</v>
      </c>
      <c r="N125" s="612">
        <f>1/((1+N124)*(1+M124)*(1+L124)^5)</f>
        <v>0.73609398095736667</v>
      </c>
      <c r="O125" s="458">
        <f>1/((1+O124)*(1+N124)*(1+M124)*(1+L124)^5)</f>
        <v>0.69917956605245424</v>
      </c>
      <c r="P125" s="612">
        <f>O125</f>
        <v>0.69917956605245424</v>
      </c>
      <c r="Q125" s="369"/>
      <c r="R125" s="1"/>
      <c r="S125" s="1"/>
      <c r="T125" s="1"/>
      <c r="U125" s="1"/>
      <c r="V125" s="1"/>
      <c r="W125" s="1"/>
      <c r="X125" s="1"/>
      <c r="Y125" s="1"/>
      <c r="Z125" s="1"/>
    </row>
    <row r="126" spans="1:26">
      <c r="A126" s="1"/>
      <c r="B126" s="376" t="s">
        <v>524</v>
      </c>
      <c r="C126" s="101"/>
      <c r="D126" s="101"/>
      <c r="E126" s="101"/>
      <c r="F126" s="101"/>
      <c r="G126" s="99"/>
      <c r="H126" s="469">
        <f>H123*H125</f>
        <v>147.51811176427253</v>
      </c>
      <c r="I126" s="469">
        <f t="shared" ref="I126:L126" si="14">I123*I125</f>
        <v>186.92087536961296</v>
      </c>
      <c r="J126" s="469">
        <f t="shared" si="14"/>
        <v>224.83615409883018</v>
      </c>
      <c r="K126" s="469">
        <f t="shared" si="14"/>
        <v>261.41438060820747</v>
      </c>
      <c r="L126" s="470">
        <f t="shared" si="14"/>
        <v>297.50846162384215</v>
      </c>
      <c r="M126" s="469">
        <f>M123*M125</f>
        <v>320.75623235566195</v>
      </c>
      <c r="N126" s="469">
        <f>N123*N125</f>
        <v>326.71214059122588</v>
      </c>
      <c r="O126" s="470">
        <f>O123*O125</f>
        <v>313.43111501794874</v>
      </c>
      <c r="P126" s="469">
        <f>O123*(1+E117)/(E118-E117)*P125</f>
        <v>7396.9486256439704</v>
      </c>
      <c r="Q126" s="99"/>
      <c r="R126" s="1"/>
      <c r="S126" s="1"/>
      <c r="T126" s="1"/>
      <c r="U126" s="1"/>
      <c r="V126" s="1"/>
      <c r="W126" s="1"/>
      <c r="X126" s="1"/>
      <c r="Y126" s="1"/>
      <c r="Z126" s="1"/>
    </row>
    <row r="127" spans="1:26" ht="1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876" t="s">
        <v>803</v>
      </c>
      <c r="C128" s="793"/>
      <c r="D128" s="794"/>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257" t="s">
        <v>774</v>
      </c>
      <c r="C129" s="657"/>
      <c r="D129" s="827">
        <f>SUM(H126:L126)</f>
        <v>1118.1979834647652</v>
      </c>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257" t="s">
        <v>775</v>
      </c>
      <c r="C130" s="657"/>
      <c r="D130" s="827">
        <f>SUM(M126:O126)</f>
        <v>960.89948796483657</v>
      </c>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277" t="s">
        <v>776</v>
      </c>
      <c r="C131" s="101"/>
      <c r="D131" s="829">
        <f>P126</f>
        <v>7396.9486256439704</v>
      </c>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257" t="s">
        <v>804</v>
      </c>
      <c r="C132" s="657"/>
      <c r="D132" s="827">
        <f>SUM(D129:D131)</f>
        <v>9476.046097073573</v>
      </c>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257" t="s">
        <v>780</v>
      </c>
      <c r="C133" s="52"/>
      <c r="D133" s="278">
        <f>-'Reorganised Statements'!H42</f>
        <v>3177</v>
      </c>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257" t="s">
        <v>805</v>
      </c>
      <c r="C134" s="52"/>
      <c r="D134" s="827">
        <f>D132-D133</f>
        <v>6299.046097073573</v>
      </c>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257" t="s">
        <v>778</v>
      </c>
      <c r="C135" s="612"/>
      <c r="D135" s="439">
        <f>G8</f>
        <v>3109.1838560000001</v>
      </c>
      <c r="E135" s="1"/>
      <c r="F135" s="1"/>
      <c r="G135" s="1"/>
      <c r="H135" s="1"/>
      <c r="I135" s="1"/>
      <c r="J135" s="1"/>
      <c r="K135" s="1"/>
      <c r="L135" s="1"/>
      <c r="M135" s="1"/>
      <c r="N135" s="1"/>
      <c r="O135" s="461"/>
      <c r="P135" s="1"/>
      <c r="Q135" s="1"/>
      <c r="R135" s="1"/>
      <c r="S135" s="1"/>
      <c r="T135" s="1"/>
      <c r="U135" s="1"/>
      <c r="V135" s="1"/>
      <c r="W135" s="1"/>
      <c r="X135" s="1"/>
      <c r="Y135" s="1"/>
      <c r="Z135" s="1"/>
    </row>
    <row r="136" spans="1:26" ht="15" thickBot="1">
      <c r="A136" s="1"/>
      <c r="B136" s="269" t="s">
        <v>490</v>
      </c>
      <c r="C136" s="877"/>
      <c r="D136" s="440">
        <f>D134/D135</f>
        <v>2.0259484124484572</v>
      </c>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21">
      <c r="A140" s="852"/>
      <c r="B140" s="859" t="s">
        <v>809</v>
      </c>
      <c r="C140" s="662"/>
      <c r="D140" s="662"/>
      <c r="E140" s="662"/>
      <c r="F140" s="662"/>
      <c r="G140" s="662"/>
      <c r="H140" s="662"/>
      <c r="I140" s="662"/>
      <c r="J140" s="662"/>
      <c r="K140" s="662"/>
      <c r="L140" s="662"/>
      <c r="M140" s="662"/>
      <c r="N140" s="662"/>
      <c r="O140" s="662"/>
      <c r="P140" s="662"/>
      <c r="Q140" s="664"/>
      <c r="R140" s="1"/>
      <c r="S140" s="1"/>
      <c r="T140" s="1"/>
      <c r="U140" s="1"/>
      <c r="V140" s="1"/>
      <c r="W140" s="1"/>
      <c r="X140" s="1"/>
      <c r="Y140" s="1"/>
      <c r="Z140" s="1"/>
    </row>
    <row r="141" spans="1:26" ht="15" thickBot="1">
      <c r="A141" s="853"/>
      <c r="B141" s="665"/>
      <c r="C141" s="665"/>
      <c r="D141" s="665"/>
      <c r="E141" s="665"/>
      <c r="F141" s="665"/>
      <c r="G141" s="665"/>
      <c r="H141" s="665"/>
      <c r="I141" s="665"/>
      <c r="J141" s="665"/>
      <c r="K141" s="665"/>
      <c r="L141" s="665"/>
      <c r="M141" s="665"/>
      <c r="N141" s="665"/>
      <c r="O141" s="665"/>
      <c r="P141" s="665"/>
      <c r="Q141" s="666"/>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9207-1688-4191-862B-2029FAF60542}">
  <dimension ref="A1:T97"/>
  <sheetViews>
    <sheetView zoomScaleNormal="100" workbookViewId="0">
      <pane xSplit="3" ySplit="3" topLeftCell="E4" activePane="bottomRight" state="frozen"/>
      <selection pane="topRight" activeCell="D1" sqref="D1"/>
      <selection pane="bottomLeft" activeCell="A4" sqref="A4"/>
      <selection pane="bottomRight" activeCell="E90" sqref="E90"/>
    </sheetView>
  </sheetViews>
  <sheetFormatPr defaultRowHeight="14.4"/>
  <cols>
    <col min="1" max="1" width="2.33203125" style="1" customWidth="1"/>
    <col min="2" max="2" width="64.109375" customWidth="1"/>
    <col min="3" max="3" width="61.109375" hidden="1" customWidth="1"/>
    <col min="4" max="4" width="5" customWidth="1"/>
    <col min="5" max="6" width="14.5546875" bestFit="1" customWidth="1"/>
    <col min="7" max="7" width="16.33203125" customWidth="1"/>
    <col min="8" max="9" width="14.5546875" bestFit="1" customWidth="1"/>
    <col min="10" max="11" width="11.5546875" bestFit="1" customWidth="1"/>
    <col min="13" max="13" width="11.5546875" bestFit="1" customWidth="1"/>
    <col min="15" max="15" width="11.5546875" bestFit="1" customWidth="1"/>
    <col min="17" max="17" width="11.5546875" bestFit="1" customWidth="1"/>
  </cols>
  <sheetData>
    <row r="1" spans="1:20" ht="27" customHeight="1">
      <c r="A1" s="59"/>
      <c r="B1" s="240" t="s">
        <v>308</v>
      </c>
      <c r="C1" s="118"/>
      <c r="D1" s="118"/>
      <c r="E1" s="118"/>
      <c r="F1" s="118"/>
      <c r="G1" s="118"/>
      <c r="H1" s="118"/>
      <c r="I1" s="60"/>
      <c r="J1" s="52"/>
      <c r="K1" s="52"/>
      <c r="L1" s="52"/>
      <c r="M1" s="52"/>
      <c r="N1" s="52"/>
      <c r="O1" s="52"/>
      <c r="P1" s="52"/>
      <c r="Q1" s="52"/>
      <c r="R1" s="52"/>
    </row>
    <row r="2" spans="1:20" ht="15" customHeight="1">
      <c r="A2" s="59"/>
      <c r="B2" s="241"/>
      <c r="C2" s="241"/>
      <c r="D2" s="241"/>
      <c r="E2" s="241"/>
      <c r="F2" s="241"/>
      <c r="G2" s="242" t="s">
        <v>163</v>
      </c>
      <c r="H2" s="241"/>
      <c r="I2" s="243"/>
      <c r="J2" s="52"/>
      <c r="K2" s="52"/>
      <c r="L2" s="52"/>
      <c r="M2" s="52"/>
      <c r="N2" s="52"/>
      <c r="O2" s="52"/>
      <c r="P2" s="52"/>
      <c r="Q2" s="52"/>
      <c r="R2" s="52"/>
    </row>
    <row r="3" spans="1:20" ht="18" customHeight="1" thickBot="1">
      <c r="A3" s="62"/>
      <c r="B3" s="61"/>
      <c r="C3" s="61"/>
      <c r="D3" s="122" t="s">
        <v>1</v>
      </c>
      <c r="E3" s="124">
        <v>42369</v>
      </c>
      <c r="F3" s="124">
        <v>42735</v>
      </c>
      <c r="G3" s="124">
        <v>43100</v>
      </c>
      <c r="H3" s="124">
        <v>43465</v>
      </c>
      <c r="I3" s="124">
        <v>43830</v>
      </c>
      <c r="J3" s="52"/>
      <c r="K3" s="52"/>
      <c r="L3" s="52"/>
      <c r="M3" s="52"/>
      <c r="N3" s="52"/>
      <c r="O3" s="52"/>
      <c r="P3" s="52"/>
      <c r="Q3" s="52"/>
      <c r="R3" s="52"/>
    </row>
    <row r="4" spans="1:20" ht="10.5" customHeight="1" thickBot="1">
      <c r="B4" s="1"/>
      <c r="C4" s="1"/>
      <c r="D4" s="1"/>
      <c r="E4" s="1"/>
      <c r="F4" s="46"/>
      <c r="G4" s="46"/>
      <c r="H4" s="46"/>
      <c r="I4" s="46"/>
      <c r="J4" s="52"/>
      <c r="K4" s="52"/>
      <c r="L4" s="52"/>
      <c r="M4" s="52"/>
      <c r="N4" s="52"/>
      <c r="O4" s="52"/>
      <c r="P4" s="52"/>
      <c r="Q4" s="52"/>
      <c r="R4" s="52"/>
      <c r="T4" s="64" t="s">
        <v>164</v>
      </c>
    </row>
    <row r="5" spans="1:20">
      <c r="B5" s="5" t="s">
        <v>165</v>
      </c>
      <c r="C5" s="2" t="s">
        <v>166</v>
      </c>
      <c r="D5" s="2"/>
      <c r="E5" s="216"/>
      <c r="F5" s="181"/>
      <c r="G5" s="181"/>
      <c r="H5" s="181"/>
      <c r="I5" s="181"/>
      <c r="J5" s="52"/>
      <c r="K5" s="52"/>
      <c r="L5" s="52"/>
      <c r="M5" s="52"/>
      <c r="N5" s="52"/>
      <c r="O5" s="52"/>
      <c r="P5" s="52"/>
      <c r="Q5" s="52"/>
      <c r="R5" s="52"/>
      <c r="T5" s="65"/>
    </row>
    <row r="6" spans="1:20">
      <c r="B6" s="2" t="s">
        <v>167</v>
      </c>
      <c r="C6" s="2" t="s">
        <v>168</v>
      </c>
      <c r="D6" s="2"/>
      <c r="E6" s="216">
        <v>3947</v>
      </c>
      <c r="F6" s="181">
        <v>3734</v>
      </c>
      <c r="G6" s="181">
        <v>4633</v>
      </c>
      <c r="H6" s="181">
        <v>5268</v>
      </c>
      <c r="I6" s="181">
        <v>6046</v>
      </c>
      <c r="J6" s="52"/>
      <c r="K6" s="52"/>
      <c r="L6" s="52"/>
      <c r="M6" s="52"/>
      <c r="N6" s="52"/>
      <c r="O6" s="52"/>
      <c r="P6" s="52"/>
      <c r="Q6" s="52"/>
      <c r="R6" s="52"/>
      <c r="T6" s="67">
        <f>(SUM(I6,-H6))/H6</f>
        <v>0.14768413059984814</v>
      </c>
    </row>
    <row r="7" spans="1:20">
      <c r="B7" s="2" t="s">
        <v>169</v>
      </c>
      <c r="C7" s="2" t="s">
        <v>170</v>
      </c>
      <c r="D7" s="2"/>
      <c r="E7" s="216">
        <v>785</v>
      </c>
      <c r="F7" s="181">
        <v>847</v>
      </c>
      <c r="G7" s="181">
        <v>957</v>
      </c>
      <c r="H7" s="181">
        <v>1003</v>
      </c>
      <c r="I7" s="181">
        <v>1076</v>
      </c>
      <c r="J7" s="52"/>
      <c r="K7" s="52"/>
      <c r="L7" s="52"/>
      <c r="M7" s="52"/>
      <c r="N7" s="52"/>
      <c r="O7" s="52"/>
      <c r="P7" s="52"/>
      <c r="Q7" s="52"/>
      <c r="R7" s="52"/>
      <c r="T7" s="67">
        <f>(SUM(I7,-H7))/H7</f>
        <v>7.278165503489531E-2</v>
      </c>
    </row>
    <row r="8" spans="1:20">
      <c r="B8" s="113" t="s">
        <v>345</v>
      </c>
      <c r="C8" s="127" t="s">
        <v>172</v>
      </c>
      <c r="D8" s="127"/>
      <c r="E8" s="217">
        <f>SUM(E6:E7)</f>
        <v>4732</v>
      </c>
      <c r="F8" s="218">
        <f>SUM(F6:F7)</f>
        <v>4581</v>
      </c>
      <c r="G8" s="218">
        <f>SUM(G6:G7)</f>
        <v>5590</v>
      </c>
      <c r="H8" s="218">
        <f>SUM(H6:H7)</f>
        <v>6271</v>
      </c>
      <c r="I8" s="218">
        <f>SUM(I6:I7)</f>
        <v>7122</v>
      </c>
      <c r="J8" s="52"/>
      <c r="K8" s="52"/>
      <c r="L8" s="52"/>
      <c r="M8" s="52"/>
      <c r="N8" s="52"/>
      <c r="O8" s="52"/>
      <c r="P8" s="52"/>
      <c r="Q8" s="52"/>
      <c r="R8" s="52"/>
      <c r="T8" s="67">
        <f>(SUM(I8,-H8))/H8</f>
        <v>0.13570403444426726</v>
      </c>
    </row>
    <row r="9" spans="1:20">
      <c r="B9" s="2" t="s">
        <v>173</v>
      </c>
      <c r="C9" s="2" t="s">
        <v>174</v>
      </c>
      <c r="D9" s="2"/>
      <c r="E9" s="216">
        <v>189</v>
      </c>
      <c r="F9" s="181">
        <v>279</v>
      </c>
      <c r="G9" s="181">
        <v>206</v>
      </c>
      <c r="H9" s="181">
        <v>223</v>
      </c>
      <c r="I9" s="181">
        <v>202</v>
      </c>
      <c r="J9" s="52"/>
      <c r="K9" s="52"/>
      <c r="L9" s="52"/>
      <c r="M9" s="52"/>
      <c r="N9" s="52"/>
      <c r="O9" s="52"/>
      <c r="P9" s="52"/>
      <c r="Q9" s="52"/>
      <c r="R9" s="52"/>
      <c r="T9" s="67">
        <f>(SUM(I9,-H9))/H9</f>
        <v>-9.417040358744394E-2</v>
      </c>
    </row>
    <row r="10" spans="1:20" ht="16.2">
      <c r="B10" s="112" t="s">
        <v>110</v>
      </c>
      <c r="C10" s="60" t="s">
        <v>175</v>
      </c>
      <c r="D10" s="60"/>
      <c r="E10" s="236">
        <f>SUM(E8:E9)</f>
        <v>4921</v>
      </c>
      <c r="F10" s="237">
        <f>SUM(F8:F9)</f>
        <v>4860</v>
      </c>
      <c r="G10" s="237">
        <f>SUM(G8:G9)</f>
        <v>5796</v>
      </c>
      <c r="H10" s="237">
        <f>SUM(H8:H9)</f>
        <v>6494</v>
      </c>
      <c r="I10" s="237">
        <f>SUM(I8:I9)</f>
        <v>7324</v>
      </c>
      <c r="J10" s="52"/>
      <c r="K10" s="52"/>
      <c r="L10" s="52"/>
      <c r="M10" s="52"/>
      <c r="N10" s="52"/>
      <c r="O10" s="52"/>
      <c r="P10" s="52"/>
      <c r="Q10" s="52"/>
      <c r="R10" s="52"/>
      <c r="T10" s="67">
        <f>(SUM(I10,-H10))/H10</f>
        <v>0.12781028641823222</v>
      </c>
    </row>
    <row r="11" spans="1:20">
      <c r="B11" s="5"/>
      <c r="C11" s="2"/>
      <c r="D11" s="2"/>
      <c r="E11" s="216"/>
      <c r="F11" s="181"/>
      <c r="G11" s="181"/>
      <c r="H11" s="179"/>
      <c r="I11" s="179"/>
      <c r="J11" s="52"/>
      <c r="K11" s="52"/>
      <c r="L11" s="52"/>
      <c r="M11" s="52"/>
      <c r="N11" s="52"/>
      <c r="O11" s="52"/>
      <c r="P11" s="52"/>
      <c r="Q11" s="52"/>
      <c r="R11" s="52"/>
      <c r="T11" s="67"/>
    </row>
    <row r="12" spans="1:20">
      <c r="B12" s="5" t="s">
        <v>309</v>
      </c>
      <c r="C12" s="2" t="s">
        <v>176</v>
      </c>
      <c r="D12" s="2"/>
      <c r="E12" s="216"/>
      <c r="F12" s="181"/>
      <c r="G12" s="181"/>
      <c r="H12" s="181"/>
      <c r="I12" s="181"/>
      <c r="J12" s="52"/>
      <c r="K12" s="52"/>
      <c r="L12" s="52"/>
      <c r="M12" s="52"/>
      <c r="N12" s="52"/>
      <c r="O12" s="52"/>
      <c r="P12" s="52"/>
      <c r="Q12" s="52"/>
      <c r="R12" s="52"/>
      <c r="T12" s="67"/>
    </row>
    <row r="13" spans="1:20">
      <c r="B13" s="2" t="s">
        <v>177</v>
      </c>
      <c r="C13" s="2" t="s">
        <v>178</v>
      </c>
      <c r="D13" s="2"/>
      <c r="E13" s="216">
        <v>2286</v>
      </c>
      <c r="F13" s="181">
        <v>2101</v>
      </c>
      <c r="G13" s="181">
        <v>2831</v>
      </c>
      <c r="H13" s="181">
        <v>3346</v>
      </c>
      <c r="I13" s="181">
        <v>4004</v>
      </c>
      <c r="J13" s="52"/>
      <c r="K13" s="52"/>
      <c r="L13" s="52"/>
      <c r="M13" s="52"/>
      <c r="N13" s="52"/>
      <c r="O13" s="52"/>
      <c r="P13" s="52"/>
      <c r="Q13" s="52"/>
      <c r="R13" s="52"/>
      <c r="T13" s="67">
        <f>(SUM(I13,-H13))/H13</f>
        <v>0.19665271966527198</v>
      </c>
    </row>
    <row r="14" spans="1:20">
      <c r="B14" s="2" t="s">
        <v>179</v>
      </c>
      <c r="C14" s="2" t="s">
        <v>180</v>
      </c>
      <c r="D14" s="2"/>
      <c r="E14" s="216">
        <v>706</v>
      </c>
      <c r="F14" s="181">
        <v>758</v>
      </c>
      <c r="G14" s="181">
        <v>850</v>
      </c>
      <c r="H14" s="181">
        <v>986</v>
      </c>
      <c r="I14" s="181">
        <v>1152</v>
      </c>
      <c r="J14" s="52"/>
      <c r="K14" s="52"/>
      <c r="L14" s="52"/>
      <c r="M14" s="52"/>
      <c r="N14" s="52"/>
      <c r="O14" s="52"/>
      <c r="P14" s="52"/>
      <c r="Q14" s="52"/>
      <c r="R14" s="52"/>
      <c r="T14" s="67">
        <f>(SUM(I14,-H14))/H14</f>
        <v>0.16835699797160245</v>
      </c>
    </row>
    <row r="15" spans="1:20">
      <c r="B15" s="11" t="s">
        <v>181</v>
      </c>
      <c r="C15" s="2" t="s">
        <v>182</v>
      </c>
      <c r="D15" s="2"/>
      <c r="E15" s="221">
        <f>SUM(E13:E14)</f>
        <v>2992</v>
      </c>
      <c r="F15" s="191">
        <f>SUM(F13:F14)</f>
        <v>2859</v>
      </c>
      <c r="G15" s="191">
        <f>SUM(G13:G14)</f>
        <v>3681</v>
      </c>
      <c r="H15" s="191">
        <f>SUM(H13:H14)</f>
        <v>4332</v>
      </c>
      <c r="I15" s="191">
        <f>SUM(I13:I14)</f>
        <v>5156</v>
      </c>
      <c r="J15" s="52"/>
      <c r="K15" s="52"/>
      <c r="L15" s="52"/>
      <c r="M15" s="52"/>
      <c r="N15" s="52"/>
      <c r="O15" s="52"/>
      <c r="P15" s="52"/>
      <c r="Q15" s="52"/>
      <c r="R15" s="52"/>
      <c r="T15" s="67">
        <f>(SUM(I15,-H15))/H15</f>
        <v>0.19021237303785779</v>
      </c>
    </row>
    <row r="16" spans="1:20">
      <c r="B16" s="2" t="s">
        <v>183</v>
      </c>
      <c r="C16" s="2" t="s">
        <v>184</v>
      </c>
      <c r="D16" s="2"/>
      <c r="E16" s="216">
        <v>252</v>
      </c>
      <c r="F16" s="181">
        <v>243</v>
      </c>
      <c r="G16" s="181">
        <v>281</v>
      </c>
      <c r="H16" s="181">
        <v>266</v>
      </c>
      <c r="I16" s="181">
        <v>234</v>
      </c>
      <c r="J16" s="52"/>
      <c r="K16" s="52"/>
      <c r="L16" s="52"/>
      <c r="M16" s="52"/>
      <c r="N16" s="52"/>
      <c r="O16" s="52"/>
      <c r="P16" s="52"/>
      <c r="Q16" s="52"/>
      <c r="R16" s="52"/>
      <c r="T16" s="67">
        <f>(SUM(I16,-H16))/H16</f>
        <v>-0.12030075187969924</v>
      </c>
    </row>
    <row r="17" spans="2:20">
      <c r="B17" s="112" t="s">
        <v>110</v>
      </c>
      <c r="C17" s="60" t="s">
        <v>185</v>
      </c>
      <c r="D17" s="60"/>
      <c r="E17" s="219">
        <f>SUM(E15:E16)</f>
        <v>3244</v>
      </c>
      <c r="F17" s="220">
        <f>SUM(F15:F16)</f>
        <v>3102</v>
      </c>
      <c r="G17" s="220">
        <f>SUM(G15:G16)</f>
        <v>3962</v>
      </c>
      <c r="H17" s="220">
        <f>SUM(H15:H16)</f>
        <v>4598</v>
      </c>
      <c r="I17" s="220">
        <f>SUM(I15:I16)</f>
        <v>5390</v>
      </c>
      <c r="J17" s="52"/>
      <c r="K17" s="52"/>
      <c r="L17" s="52"/>
      <c r="M17" s="52"/>
      <c r="N17" s="52"/>
      <c r="O17" s="52"/>
      <c r="P17" s="52"/>
      <c r="Q17" s="52"/>
      <c r="R17" s="52"/>
      <c r="T17" s="67">
        <f>(SUM(I17,-H17))/H17</f>
        <v>0.17224880382775121</v>
      </c>
    </row>
    <row r="18" spans="2:20">
      <c r="B18" s="5"/>
      <c r="C18" s="2"/>
      <c r="D18" s="2"/>
      <c r="E18" s="222"/>
      <c r="F18" s="223"/>
      <c r="G18" s="223"/>
      <c r="H18" s="223"/>
      <c r="I18" s="223"/>
      <c r="J18" s="52"/>
      <c r="K18" s="52"/>
      <c r="L18" s="52"/>
      <c r="M18" s="52"/>
      <c r="N18" s="52"/>
      <c r="O18" s="52"/>
      <c r="P18" s="52"/>
      <c r="Q18" s="52"/>
      <c r="R18" s="52"/>
      <c r="T18" s="67"/>
    </row>
    <row r="19" spans="2:20">
      <c r="B19" s="5" t="s">
        <v>310</v>
      </c>
      <c r="C19" s="2" t="s">
        <v>186</v>
      </c>
      <c r="D19" s="2"/>
      <c r="E19" s="216"/>
      <c r="F19" s="181"/>
      <c r="G19" s="181"/>
      <c r="H19" s="181"/>
      <c r="I19" s="181"/>
      <c r="J19" s="52"/>
      <c r="K19" s="52"/>
      <c r="L19" s="52"/>
      <c r="M19" s="52"/>
      <c r="N19" s="52"/>
      <c r="O19" s="52"/>
      <c r="P19" s="52"/>
      <c r="Q19" s="52"/>
      <c r="R19" s="52"/>
      <c r="T19" s="67">
        <f t="shared" ref="T19:T25" si="0">(SUM(I20,-H20))/H20</f>
        <v>6.6801619433198386E-2</v>
      </c>
    </row>
    <row r="20" spans="2:20">
      <c r="B20" s="2" t="s">
        <v>187</v>
      </c>
      <c r="C20" s="2" t="s">
        <v>188</v>
      </c>
      <c r="D20" s="2"/>
      <c r="E20" s="216">
        <v>441</v>
      </c>
      <c r="F20" s="181">
        <v>433</v>
      </c>
      <c r="G20" s="181">
        <v>471</v>
      </c>
      <c r="H20" s="181">
        <v>494</v>
      </c>
      <c r="I20" s="181">
        <v>527</v>
      </c>
      <c r="J20" s="52"/>
      <c r="K20" s="52"/>
      <c r="L20" s="52"/>
      <c r="M20" s="52"/>
      <c r="N20" s="52"/>
      <c r="O20" s="52"/>
      <c r="P20" s="52"/>
      <c r="Q20" s="52"/>
      <c r="R20" s="52"/>
      <c r="T20" s="67">
        <f t="shared" si="0"/>
        <v>3.4682080924855488E-2</v>
      </c>
    </row>
    <row r="21" spans="2:20">
      <c r="B21" s="2" t="s">
        <v>189</v>
      </c>
      <c r="C21" s="2" t="s">
        <v>190</v>
      </c>
      <c r="D21" s="2"/>
      <c r="E21" s="216">
        <v>163</v>
      </c>
      <c r="F21" s="181">
        <v>146</v>
      </c>
      <c r="G21" s="181">
        <v>160</v>
      </c>
      <c r="H21" s="181">
        <v>173</v>
      </c>
      <c r="I21" s="181">
        <v>179</v>
      </c>
      <c r="J21" s="52"/>
      <c r="K21" s="52"/>
      <c r="L21" s="52"/>
      <c r="M21" s="52"/>
      <c r="N21" s="52"/>
      <c r="O21" s="52"/>
      <c r="P21" s="52"/>
      <c r="Q21" s="52"/>
      <c r="R21" s="52"/>
      <c r="T21" s="67">
        <f t="shared" si="0"/>
        <v>0</v>
      </c>
    </row>
    <row r="22" spans="2:20">
      <c r="B22" s="2" t="s">
        <v>191</v>
      </c>
      <c r="C22" s="2" t="s">
        <v>191</v>
      </c>
      <c r="D22" s="2"/>
      <c r="E22" s="216">
        <v>25</v>
      </c>
      <c r="F22" s="181">
        <v>26</v>
      </c>
      <c r="G22" s="181">
        <v>29</v>
      </c>
      <c r="H22" s="181">
        <v>31</v>
      </c>
      <c r="I22" s="181">
        <v>31</v>
      </c>
      <c r="J22" s="52"/>
      <c r="K22" s="52"/>
      <c r="L22" s="52"/>
      <c r="M22" s="52"/>
      <c r="N22" s="52"/>
      <c r="O22" s="52"/>
      <c r="P22" s="52"/>
      <c r="Q22" s="52"/>
      <c r="R22" s="52"/>
      <c r="T22" s="67">
        <f t="shared" si="0"/>
        <v>0.27272727272727271</v>
      </c>
    </row>
    <row r="23" spans="2:20">
      <c r="B23" s="2" t="s">
        <v>192</v>
      </c>
      <c r="C23" s="2" t="s">
        <v>193</v>
      </c>
      <c r="D23" s="2"/>
      <c r="E23" s="216">
        <v>27</v>
      </c>
      <c r="F23" s="181">
        <v>36</v>
      </c>
      <c r="G23" s="181">
        <v>27</v>
      </c>
      <c r="H23" s="181">
        <v>33</v>
      </c>
      <c r="I23" s="181">
        <v>42</v>
      </c>
      <c r="J23" s="52"/>
      <c r="K23" s="52"/>
      <c r="L23" s="52"/>
      <c r="M23" s="52"/>
      <c r="N23" s="52"/>
      <c r="O23" s="52"/>
      <c r="P23" s="52"/>
      <c r="Q23" s="52"/>
      <c r="R23" s="52"/>
      <c r="T23" s="67">
        <f t="shared" si="0"/>
        <v>6.5663474692202461E-2</v>
      </c>
    </row>
    <row r="24" spans="2:20">
      <c r="B24" s="11" t="s">
        <v>194</v>
      </c>
      <c r="C24" s="2" t="s">
        <v>195</v>
      </c>
      <c r="D24" s="2"/>
      <c r="E24" s="221">
        <f>SUM(E20:E23)</f>
        <v>656</v>
      </c>
      <c r="F24" s="191">
        <f>SUM(F20:F23)</f>
        <v>641</v>
      </c>
      <c r="G24" s="191">
        <f>SUM(G20:G23)</f>
        <v>687</v>
      </c>
      <c r="H24" s="191">
        <f>SUM(H20:H23)</f>
        <v>731</v>
      </c>
      <c r="I24" s="191">
        <f>SUM(I20:I23)</f>
        <v>779</v>
      </c>
      <c r="J24" s="52"/>
      <c r="K24" s="52"/>
      <c r="L24" s="52"/>
      <c r="M24" s="52"/>
      <c r="N24" s="52"/>
      <c r="O24" s="52"/>
      <c r="P24" s="52"/>
      <c r="Q24" s="52"/>
      <c r="R24" s="52"/>
      <c r="T24" s="67">
        <f t="shared" si="0"/>
        <v>0.19696969696969696</v>
      </c>
    </row>
    <row r="25" spans="2:20">
      <c r="B25" s="2" t="s">
        <v>196</v>
      </c>
      <c r="C25" s="2" t="s">
        <v>197</v>
      </c>
      <c r="D25" s="2"/>
      <c r="E25" s="216">
        <v>-27</v>
      </c>
      <c r="F25" s="181">
        <v>-45</v>
      </c>
      <c r="G25" s="181">
        <v>-52</v>
      </c>
      <c r="H25" s="181">
        <v>-66</v>
      </c>
      <c r="I25" s="181">
        <v>-79</v>
      </c>
      <c r="J25" s="52"/>
      <c r="K25" s="52"/>
      <c r="L25" s="52"/>
      <c r="M25" s="52"/>
      <c r="N25" s="52"/>
      <c r="O25" s="52"/>
      <c r="P25" s="52"/>
      <c r="Q25" s="52"/>
      <c r="R25" s="52"/>
      <c r="T25" s="67">
        <f t="shared" si="0"/>
        <v>5.2631578947368418E-2</v>
      </c>
    </row>
    <row r="26" spans="2:20" ht="16.2">
      <c r="B26" s="112" t="s">
        <v>110</v>
      </c>
      <c r="C26" s="60" t="s">
        <v>195</v>
      </c>
      <c r="D26" s="60"/>
      <c r="E26" s="236">
        <f>SUM(E24:E25)</f>
        <v>629</v>
      </c>
      <c r="F26" s="237">
        <f>SUM(F24:F25)</f>
        <v>596</v>
      </c>
      <c r="G26" s="237">
        <f>SUM(G24:G25)</f>
        <v>635</v>
      </c>
      <c r="H26" s="237">
        <f>SUM(H24:H25)</f>
        <v>665</v>
      </c>
      <c r="I26" s="237">
        <f>SUM(I24:I25)</f>
        <v>700</v>
      </c>
      <c r="J26" s="52"/>
      <c r="K26" s="52"/>
      <c r="L26" s="52"/>
      <c r="M26" s="52"/>
      <c r="N26" s="52"/>
      <c r="O26" s="52"/>
      <c r="P26" s="52"/>
      <c r="Q26" s="52"/>
      <c r="R26" s="52"/>
      <c r="T26" s="67"/>
    </row>
    <row r="27" spans="2:20">
      <c r="B27" s="5"/>
      <c r="C27" s="2"/>
      <c r="D27" s="2"/>
      <c r="E27" s="216"/>
      <c r="F27" s="181"/>
      <c r="G27" s="181"/>
      <c r="H27" s="181"/>
      <c r="I27" s="181"/>
      <c r="J27" s="52"/>
      <c r="K27" s="52"/>
      <c r="L27" s="52"/>
      <c r="M27" s="52"/>
      <c r="N27" s="52"/>
      <c r="O27" s="52"/>
      <c r="P27" s="52"/>
      <c r="Q27" s="52"/>
      <c r="R27" s="52"/>
      <c r="T27" s="67">
        <f>(SUM(I28,-H28))/H28</f>
        <v>2.437043054427295E-3</v>
      </c>
    </row>
    <row r="28" spans="2:20">
      <c r="B28" s="12" t="s">
        <v>198</v>
      </c>
      <c r="C28" s="13" t="s">
        <v>199</v>
      </c>
      <c r="D28" s="13"/>
      <c r="E28" s="224">
        <f>SUM(E10,-E17,-E26)</f>
        <v>1048</v>
      </c>
      <c r="F28" s="192">
        <f>SUM(F10,-F17,-F26)</f>
        <v>1162</v>
      </c>
      <c r="G28" s="192">
        <f>SUM(G10,-G17,-G26)</f>
        <v>1199</v>
      </c>
      <c r="H28" s="192">
        <f>SUM(H10,-H17,-H26)</f>
        <v>1231</v>
      </c>
      <c r="I28" s="192">
        <f>SUM(I10,-I17,-I26)</f>
        <v>1234</v>
      </c>
      <c r="J28" s="52"/>
      <c r="K28" s="52"/>
      <c r="L28" s="52"/>
      <c r="M28" s="52"/>
      <c r="N28" s="52"/>
      <c r="O28" s="52"/>
      <c r="P28" s="52"/>
      <c r="Q28" s="52"/>
      <c r="R28" s="52"/>
      <c r="T28" s="67"/>
    </row>
    <row r="29" spans="2:20">
      <c r="B29" s="5"/>
      <c r="C29" s="2"/>
      <c r="D29" s="2"/>
      <c r="E29" s="216"/>
      <c r="F29" s="181"/>
      <c r="G29" s="181"/>
      <c r="H29" s="179"/>
      <c r="I29" s="179"/>
      <c r="J29" s="52"/>
      <c r="K29" s="52"/>
      <c r="L29" s="52"/>
      <c r="M29" s="52"/>
      <c r="N29" s="52"/>
      <c r="O29" s="52"/>
      <c r="P29" s="52"/>
      <c r="Q29" s="52"/>
      <c r="R29" s="52"/>
      <c r="T29" s="67"/>
    </row>
    <row r="30" spans="2:20" ht="28.8">
      <c r="B30" s="23" t="s">
        <v>200</v>
      </c>
      <c r="C30" s="2" t="s">
        <v>201</v>
      </c>
      <c r="D30" s="2"/>
      <c r="E30" s="216"/>
      <c r="F30" s="181"/>
      <c r="G30" s="181"/>
      <c r="H30" s="179"/>
      <c r="I30" s="179"/>
      <c r="J30" s="52"/>
      <c r="K30" s="52"/>
      <c r="L30" s="52"/>
      <c r="M30" s="52"/>
      <c r="N30" s="52"/>
      <c r="O30" s="52"/>
      <c r="P30" s="52"/>
      <c r="Q30" s="52"/>
      <c r="R30" s="52"/>
      <c r="T30" s="67">
        <f t="shared" ref="T30:T36" si="1">(SUM(I31,-H31))/H31</f>
        <v>0.35164835164835168</v>
      </c>
    </row>
    <row r="31" spans="2:20">
      <c r="B31" s="2" t="s">
        <v>202</v>
      </c>
      <c r="C31" s="2" t="s">
        <v>203</v>
      </c>
      <c r="D31" s="2"/>
      <c r="E31" s="216">
        <v>54</v>
      </c>
      <c r="F31" s="181">
        <v>55</v>
      </c>
      <c r="G31" s="181">
        <v>72</v>
      </c>
      <c r="H31" s="181">
        <v>91</v>
      </c>
      <c r="I31" s="181">
        <v>123</v>
      </c>
      <c r="J31" s="52"/>
      <c r="K31" s="52"/>
      <c r="L31" s="52"/>
      <c r="M31" s="52"/>
      <c r="N31" s="52"/>
      <c r="O31" s="52"/>
      <c r="P31" s="52"/>
      <c r="Q31" s="52"/>
      <c r="R31" s="52"/>
      <c r="T31" s="67">
        <f t="shared" si="1"/>
        <v>1.8817204301075269E-2</v>
      </c>
    </row>
    <row r="32" spans="2:20">
      <c r="B32" s="2" t="s">
        <v>204</v>
      </c>
      <c r="C32" s="2" t="s">
        <v>205</v>
      </c>
      <c r="D32" s="2"/>
      <c r="E32" s="216">
        <v>341</v>
      </c>
      <c r="F32" s="181">
        <v>348</v>
      </c>
      <c r="G32" s="181">
        <v>338</v>
      </c>
      <c r="H32" s="181">
        <v>372</v>
      </c>
      <c r="I32" s="181">
        <v>379</v>
      </c>
      <c r="J32" s="52"/>
      <c r="K32" s="52"/>
      <c r="L32" s="52"/>
      <c r="M32" s="52"/>
      <c r="N32" s="52"/>
      <c r="O32" s="52"/>
      <c r="P32" s="52"/>
      <c r="Q32" s="52"/>
      <c r="R32" s="52"/>
      <c r="T32" s="67">
        <f t="shared" si="1"/>
        <v>-0.94374999999999998</v>
      </c>
    </row>
    <row r="33" spans="2:20">
      <c r="B33" s="2" t="s">
        <v>206</v>
      </c>
      <c r="C33" s="2" t="s">
        <v>207</v>
      </c>
      <c r="D33" s="2"/>
      <c r="E33" s="216">
        <v>359</v>
      </c>
      <c r="F33" s="181">
        <v>245</v>
      </c>
      <c r="G33" s="181">
        <v>34</v>
      </c>
      <c r="H33" s="181">
        <v>160</v>
      </c>
      <c r="I33" s="181">
        <v>9</v>
      </c>
      <c r="J33" s="52"/>
      <c r="K33" s="52"/>
      <c r="L33" s="52"/>
      <c r="M33" s="52"/>
      <c r="N33" s="52"/>
      <c r="O33" s="52"/>
      <c r="P33" s="52"/>
      <c r="Q33" s="52"/>
      <c r="R33" s="52"/>
      <c r="T33" s="67">
        <f t="shared" si="1"/>
        <v>-0.1797752808988764</v>
      </c>
    </row>
    <row r="34" spans="2:20">
      <c r="B34" s="113" t="s">
        <v>208</v>
      </c>
      <c r="C34" s="114" t="s">
        <v>209</v>
      </c>
      <c r="D34" s="114"/>
      <c r="E34" s="225">
        <f>SUM(E31:E33)</f>
        <v>754</v>
      </c>
      <c r="F34" s="226">
        <f>SUM(F31:F33)</f>
        <v>648</v>
      </c>
      <c r="G34" s="226">
        <f>SUM(G31:G33)</f>
        <v>444</v>
      </c>
      <c r="H34" s="226">
        <f>SUM(H31:H33)</f>
        <v>623</v>
      </c>
      <c r="I34" s="226">
        <f>SUM(I31:I33)</f>
        <v>511</v>
      </c>
      <c r="J34" s="52"/>
      <c r="K34" s="52"/>
      <c r="L34" s="52"/>
      <c r="M34" s="52"/>
      <c r="N34" s="52"/>
      <c r="O34" s="52"/>
      <c r="P34" s="52"/>
      <c r="Q34" s="52"/>
      <c r="R34" s="52"/>
      <c r="T34" s="67">
        <f t="shared" si="1"/>
        <v>-5.2</v>
      </c>
    </row>
    <row r="35" spans="2:20">
      <c r="B35" s="2" t="s">
        <v>210</v>
      </c>
      <c r="C35" s="2" t="s">
        <v>211</v>
      </c>
      <c r="D35" s="2"/>
      <c r="E35" s="216">
        <v>57</v>
      </c>
      <c r="F35" s="181">
        <v>50</v>
      </c>
      <c r="G35" s="181">
        <v>10</v>
      </c>
      <c r="H35" s="181">
        <v>-5</v>
      </c>
      <c r="I35" s="181">
        <v>21</v>
      </c>
      <c r="J35" s="52"/>
      <c r="K35" s="52"/>
      <c r="L35" s="52"/>
      <c r="M35" s="52"/>
      <c r="N35" s="52"/>
      <c r="O35" s="52"/>
      <c r="P35" s="52"/>
      <c r="Q35" s="52"/>
      <c r="R35" s="52"/>
      <c r="T35" s="67">
        <f t="shared" si="1"/>
        <v>-0.4</v>
      </c>
    </row>
    <row r="36" spans="2:20">
      <c r="B36" s="2" t="s">
        <v>212</v>
      </c>
      <c r="C36" s="2" t="s">
        <v>213</v>
      </c>
      <c r="D36" s="2"/>
      <c r="E36" s="216">
        <v>22</v>
      </c>
      <c r="F36" s="181">
        <v>21</v>
      </c>
      <c r="G36" s="181">
        <v>35</v>
      </c>
      <c r="H36" s="181">
        <v>25</v>
      </c>
      <c r="I36" s="181">
        <v>15</v>
      </c>
      <c r="J36" s="52"/>
      <c r="K36" s="52"/>
      <c r="L36" s="52"/>
      <c r="M36" s="52"/>
      <c r="N36" s="52"/>
      <c r="O36" s="52"/>
      <c r="P36" s="52"/>
      <c r="Q36" s="52"/>
      <c r="R36" s="52"/>
      <c r="T36" s="67">
        <f t="shared" si="1"/>
        <v>-0.14930015552099535</v>
      </c>
    </row>
    <row r="37" spans="2:20">
      <c r="B37" s="112" t="s">
        <v>110</v>
      </c>
      <c r="C37" s="60" t="s">
        <v>214</v>
      </c>
      <c r="D37" s="60"/>
      <c r="E37" s="219">
        <f>SUM(E34:E36)</f>
        <v>833</v>
      </c>
      <c r="F37" s="220">
        <f>SUM(F34:F36)</f>
        <v>719</v>
      </c>
      <c r="G37" s="220">
        <f>SUM(G34:G36)</f>
        <v>489</v>
      </c>
      <c r="H37" s="220">
        <f>SUM(H34:H36)</f>
        <v>643</v>
      </c>
      <c r="I37" s="220">
        <f>SUM(I34:I36)</f>
        <v>547</v>
      </c>
      <c r="J37" s="52"/>
      <c r="K37" s="52"/>
      <c r="L37" s="52"/>
      <c r="M37" s="52"/>
      <c r="N37" s="52"/>
      <c r="O37" s="52"/>
      <c r="P37" s="52"/>
      <c r="Q37" s="52"/>
      <c r="R37" s="52"/>
      <c r="T37" s="67"/>
    </row>
    <row r="38" spans="2:20">
      <c r="B38" s="5"/>
      <c r="C38" s="2"/>
      <c r="D38" s="2"/>
      <c r="E38" s="216"/>
      <c r="F38" s="181"/>
      <c r="G38" s="181"/>
      <c r="H38" s="179"/>
      <c r="I38" s="179"/>
      <c r="J38" s="52"/>
      <c r="K38" s="52"/>
      <c r="L38" s="52"/>
      <c r="M38" s="52"/>
      <c r="N38" s="52"/>
      <c r="O38" s="52"/>
      <c r="P38" s="52"/>
      <c r="Q38" s="52"/>
      <c r="R38" s="52"/>
      <c r="T38" s="67">
        <f>(SUM(I39,-H39))/H39</f>
        <v>0.1683673469387755</v>
      </c>
    </row>
    <row r="39" spans="2:20">
      <c r="B39" s="21" t="s">
        <v>215</v>
      </c>
      <c r="C39" s="22" t="s">
        <v>216</v>
      </c>
      <c r="D39" s="22"/>
      <c r="E39" s="227">
        <f>SUM(E28,-E37)</f>
        <v>215</v>
      </c>
      <c r="F39" s="193">
        <f>SUM(F28,-F37)</f>
        <v>443</v>
      </c>
      <c r="G39" s="193">
        <f>SUM(G28,-G37)</f>
        <v>710</v>
      </c>
      <c r="H39" s="193">
        <f>SUM(H28,-H37)</f>
        <v>588</v>
      </c>
      <c r="I39" s="193">
        <f>SUM(I28,-I37)</f>
        <v>687</v>
      </c>
      <c r="J39" s="52"/>
      <c r="K39" s="52"/>
      <c r="L39" s="52"/>
      <c r="M39" s="52"/>
      <c r="N39" s="52"/>
      <c r="O39" s="52"/>
      <c r="P39" s="52"/>
      <c r="Q39" s="52"/>
      <c r="R39" s="52"/>
      <c r="T39" s="67"/>
    </row>
    <row r="40" spans="2:20">
      <c r="B40" s="5"/>
      <c r="C40" s="2"/>
      <c r="D40" s="2"/>
      <c r="E40" s="216"/>
      <c r="F40" s="181"/>
      <c r="G40" s="181"/>
      <c r="H40" s="179"/>
      <c r="I40" s="179"/>
      <c r="J40" s="52"/>
      <c r="K40" s="52"/>
      <c r="L40" s="52"/>
      <c r="M40" s="52"/>
      <c r="N40" s="52"/>
      <c r="O40" s="52"/>
      <c r="P40" s="52"/>
      <c r="Q40" s="52"/>
      <c r="R40" s="52"/>
      <c r="T40" s="67">
        <f>(SUM(I41,-H41))/H41</f>
        <v>-0.7142857142857143</v>
      </c>
    </row>
    <row r="41" spans="2:20">
      <c r="B41" s="5" t="s">
        <v>217</v>
      </c>
      <c r="C41" s="2" t="s">
        <v>218</v>
      </c>
      <c r="D41" s="2"/>
      <c r="E41" s="216">
        <v>1</v>
      </c>
      <c r="F41" s="181">
        <v>52</v>
      </c>
      <c r="G41" s="181">
        <v>0</v>
      </c>
      <c r="H41" s="179">
        <v>14</v>
      </c>
      <c r="I41" s="179">
        <v>4</v>
      </c>
      <c r="J41" s="52"/>
      <c r="K41" s="52"/>
      <c r="L41" s="52"/>
      <c r="M41" s="52"/>
      <c r="N41" s="52"/>
      <c r="O41" s="52"/>
      <c r="P41" s="52"/>
      <c r="Q41" s="52"/>
      <c r="R41" s="52"/>
      <c r="T41" s="67"/>
    </row>
    <row r="42" spans="2:20">
      <c r="B42" s="5"/>
      <c r="C42" s="2"/>
      <c r="D42" s="2"/>
      <c r="E42" s="216"/>
      <c r="F42" s="181"/>
      <c r="G42" s="181"/>
      <c r="H42" s="179"/>
      <c r="I42" s="179"/>
      <c r="J42" s="52"/>
      <c r="K42" s="52"/>
      <c r="L42" s="52"/>
      <c r="M42" s="52"/>
      <c r="N42" s="52"/>
      <c r="O42" s="52"/>
      <c r="P42" s="52"/>
      <c r="Q42" s="52"/>
      <c r="R42" s="52"/>
      <c r="T42" s="67"/>
    </row>
    <row r="43" spans="2:20">
      <c r="B43" s="5" t="s">
        <v>219</v>
      </c>
      <c r="C43" s="2" t="s">
        <v>220</v>
      </c>
      <c r="D43" s="2"/>
      <c r="E43" s="216"/>
      <c r="F43" s="181"/>
      <c r="G43" s="181"/>
      <c r="H43" s="181"/>
      <c r="I43" s="181"/>
      <c r="J43" s="52"/>
      <c r="K43" s="52"/>
      <c r="L43" s="52"/>
      <c r="M43" s="52"/>
      <c r="N43" s="52"/>
      <c r="O43" s="52"/>
      <c r="P43" s="52"/>
      <c r="Q43" s="52"/>
      <c r="R43" s="52"/>
      <c r="T43" s="67"/>
    </row>
    <row r="44" spans="2:20">
      <c r="B44" s="174" t="s">
        <v>221</v>
      </c>
      <c r="C44" s="2" t="s">
        <v>222</v>
      </c>
      <c r="D44" s="2"/>
      <c r="E44" s="216"/>
      <c r="F44" s="181"/>
      <c r="G44" s="181"/>
      <c r="H44" s="181"/>
      <c r="I44" s="181"/>
      <c r="J44" s="52"/>
      <c r="K44" s="52"/>
      <c r="L44" s="52"/>
      <c r="M44" s="52"/>
      <c r="N44" s="52"/>
      <c r="O44" s="52"/>
      <c r="P44" s="52"/>
      <c r="Q44" s="52"/>
      <c r="R44" s="52"/>
      <c r="T44" s="67"/>
    </row>
    <row r="45" spans="2:20">
      <c r="B45" s="2" t="s">
        <v>223</v>
      </c>
      <c r="C45" s="2"/>
      <c r="D45" s="2"/>
      <c r="E45" s="216"/>
      <c r="F45" s="181"/>
      <c r="G45" s="181"/>
      <c r="H45" s="181">
        <v>0</v>
      </c>
      <c r="I45" s="181">
        <v>4</v>
      </c>
      <c r="J45" s="52"/>
      <c r="K45" s="52"/>
      <c r="L45" s="52"/>
      <c r="M45" s="52"/>
      <c r="N45" s="52"/>
      <c r="O45" s="52"/>
      <c r="P45" s="52"/>
      <c r="Q45" s="52"/>
      <c r="R45" s="52"/>
      <c r="T45" s="67">
        <f>(SUM(I46,-H46))/H46</f>
        <v>-0.25</v>
      </c>
    </row>
    <row r="46" spans="2:20">
      <c r="B46" s="2" t="s">
        <v>224</v>
      </c>
      <c r="C46" s="2"/>
      <c r="D46" s="2"/>
      <c r="E46" s="216"/>
      <c r="F46" s="181"/>
      <c r="G46" s="181"/>
      <c r="H46" s="181">
        <v>16</v>
      </c>
      <c r="I46" s="181">
        <v>12</v>
      </c>
      <c r="J46" s="52"/>
      <c r="K46" s="52"/>
      <c r="L46" s="52"/>
      <c r="M46" s="52"/>
      <c r="N46" s="52"/>
      <c r="O46" s="52"/>
      <c r="P46" s="52"/>
      <c r="Q46" s="52"/>
      <c r="R46" s="52"/>
      <c r="T46" s="67">
        <f>(SUM(I47,-H47))/H47</f>
        <v>0</v>
      </c>
    </row>
    <row r="47" spans="2:20">
      <c r="B47" s="112" t="s">
        <v>110</v>
      </c>
      <c r="C47" s="110"/>
      <c r="D47" s="110"/>
      <c r="E47" s="219">
        <v>28</v>
      </c>
      <c r="F47" s="220">
        <v>34</v>
      </c>
      <c r="G47" s="220">
        <v>19</v>
      </c>
      <c r="H47" s="220">
        <f t="shared" ref="H47" si="2">SUM(H45:H46)</f>
        <v>16</v>
      </c>
      <c r="I47" s="220">
        <f>SUM(I45:I46)</f>
        <v>16</v>
      </c>
      <c r="J47" s="52"/>
      <c r="K47" s="52"/>
      <c r="L47" s="52"/>
      <c r="M47" s="52"/>
      <c r="N47" s="52"/>
      <c r="O47" s="52"/>
      <c r="P47" s="52"/>
      <c r="Q47" s="52"/>
      <c r="R47" s="52"/>
      <c r="T47" s="67"/>
    </row>
    <row r="48" spans="2:20">
      <c r="B48" s="174" t="s">
        <v>226</v>
      </c>
      <c r="C48" s="2" t="s">
        <v>227</v>
      </c>
      <c r="D48" s="2"/>
      <c r="E48" s="216"/>
      <c r="F48" s="181"/>
      <c r="G48" s="181"/>
      <c r="H48" s="181"/>
      <c r="I48" s="181"/>
      <c r="J48" s="52"/>
      <c r="K48" s="52"/>
      <c r="L48" s="52"/>
      <c r="M48" s="52"/>
      <c r="N48" s="52"/>
      <c r="O48" s="52"/>
      <c r="P48" s="52"/>
      <c r="Q48" s="52"/>
      <c r="R48" s="52"/>
      <c r="T48" s="67">
        <f t="shared" ref="T48:T53" si="3">(SUM(I49,-H49))/H49</f>
        <v>-7.8431372549019607E-2</v>
      </c>
    </row>
    <row r="49" spans="2:20">
      <c r="B49" s="2" t="s">
        <v>228</v>
      </c>
      <c r="C49" s="2" t="s">
        <v>229</v>
      </c>
      <c r="D49" s="2"/>
      <c r="E49" s="216">
        <v>125</v>
      </c>
      <c r="F49" s="181">
        <v>125</v>
      </c>
      <c r="G49" s="181">
        <v>104</v>
      </c>
      <c r="H49" s="181">
        <v>102</v>
      </c>
      <c r="I49" s="181">
        <v>94</v>
      </c>
      <c r="J49" s="52"/>
      <c r="K49" s="52"/>
      <c r="L49" s="52"/>
      <c r="M49" s="52"/>
      <c r="N49" s="52"/>
      <c r="O49" s="52"/>
      <c r="P49" s="52"/>
      <c r="Q49" s="52"/>
      <c r="R49" s="52"/>
      <c r="T49" s="67">
        <f t="shared" si="3"/>
        <v>-0.33333333333333331</v>
      </c>
    </row>
    <row r="50" spans="2:20">
      <c r="B50" s="2" t="s">
        <v>230</v>
      </c>
      <c r="C50" s="2" t="s">
        <v>231</v>
      </c>
      <c r="D50" s="2"/>
      <c r="E50" s="216">
        <v>15</v>
      </c>
      <c r="F50" s="181">
        <v>9</v>
      </c>
      <c r="G50" s="181">
        <v>9</v>
      </c>
      <c r="H50" s="181">
        <v>6</v>
      </c>
      <c r="I50" s="181">
        <v>4</v>
      </c>
      <c r="J50" s="52"/>
      <c r="K50" s="52"/>
      <c r="L50" s="52"/>
      <c r="M50" s="52"/>
      <c r="N50" s="52"/>
      <c r="O50" s="52"/>
      <c r="P50" s="52"/>
      <c r="Q50" s="52"/>
      <c r="R50" s="52"/>
      <c r="T50" s="67">
        <f t="shared" si="3"/>
        <v>-0.125</v>
      </c>
    </row>
    <row r="51" spans="2:20">
      <c r="B51" s="2" t="s">
        <v>232</v>
      </c>
      <c r="C51" s="2" t="s">
        <v>233</v>
      </c>
      <c r="D51" s="2"/>
      <c r="E51" s="216">
        <v>5</v>
      </c>
      <c r="F51" s="181">
        <v>6</v>
      </c>
      <c r="G51" s="181">
        <v>8</v>
      </c>
      <c r="H51" s="181">
        <v>8</v>
      </c>
      <c r="I51" s="181">
        <v>7</v>
      </c>
      <c r="J51" s="52"/>
      <c r="K51" s="52"/>
      <c r="L51" s="52"/>
      <c r="M51" s="52"/>
      <c r="N51" s="52"/>
      <c r="O51" s="52"/>
      <c r="P51" s="52"/>
      <c r="Q51" s="52"/>
      <c r="R51" s="52"/>
      <c r="T51" s="67">
        <f t="shared" si="3"/>
        <v>-0.5</v>
      </c>
    </row>
    <row r="52" spans="2:20">
      <c r="B52" s="2" t="s">
        <v>234</v>
      </c>
      <c r="C52" s="2" t="s">
        <v>235</v>
      </c>
      <c r="D52" s="2"/>
      <c r="E52" s="216">
        <v>0</v>
      </c>
      <c r="F52" s="181">
        <v>1</v>
      </c>
      <c r="G52" s="181">
        <v>2</v>
      </c>
      <c r="H52" s="181">
        <v>2</v>
      </c>
      <c r="I52" s="181">
        <v>1</v>
      </c>
      <c r="J52" s="52"/>
      <c r="K52" s="52"/>
      <c r="L52" s="52"/>
      <c r="M52" s="52"/>
      <c r="N52" s="52"/>
      <c r="O52" s="52"/>
      <c r="P52" s="52"/>
      <c r="Q52" s="52"/>
      <c r="R52" s="52"/>
      <c r="T52" s="67">
        <f t="shared" si="3"/>
        <v>0.7142857142857143</v>
      </c>
    </row>
    <row r="53" spans="2:20">
      <c r="B53" s="2" t="s">
        <v>236</v>
      </c>
      <c r="C53" s="2" t="s">
        <v>237</v>
      </c>
      <c r="D53" s="2"/>
      <c r="E53" s="216">
        <v>17</v>
      </c>
      <c r="F53" s="181">
        <v>51</v>
      </c>
      <c r="G53" s="181">
        <v>35</v>
      </c>
      <c r="H53" s="181">
        <v>14</v>
      </c>
      <c r="I53" s="181">
        <v>24</v>
      </c>
      <c r="J53" s="52"/>
      <c r="K53" s="52"/>
      <c r="L53" s="52"/>
      <c r="M53" s="52"/>
      <c r="N53" s="52"/>
      <c r="O53" s="52"/>
      <c r="P53" s="52"/>
      <c r="Q53" s="52"/>
      <c r="R53" s="52"/>
      <c r="T53" s="67">
        <f t="shared" si="3"/>
        <v>-1.5151515151515152E-2</v>
      </c>
    </row>
    <row r="54" spans="2:20">
      <c r="B54" s="115" t="s">
        <v>110</v>
      </c>
      <c r="C54" s="114" t="s">
        <v>239</v>
      </c>
      <c r="D54" s="114"/>
      <c r="E54" s="228">
        <v>162</v>
      </c>
      <c r="F54" s="229">
        <f>SUM(F49:F53)</f>
        <v>192</v>
      </c>
      <c r="G54" s="229">
        <f>SUM(G49:G53)</f>
        <v>158</v>
      </c>
      <c r="H54" s="229">
        <f>SUM(H49:H53)</f>
        <v>132</v>
      </c>
      <c r="I54" s="229">
        <f>SUM(I49:I53)</f>
        <v>130</v>
      </c>
      <c r="J54" s="52"/>
      <c r="K54" s="52"/>
      <c r="L54" s="52"/>
      <c r="M54" s="52"/>
      <c r="N54" s="52"/>
      <c r="O54" s="52"/>
      <c r="P54" s="52"/>
      <c r="Q54" s="52"/>
      <c r="R54" s="52"/>
      <c r="T54" s="67"/>
    </row>
    <row r="55" spans="2:20">
      <c r="B55" s="2" t="s">
        <v>240</v>
      </c>
      <c r="C55" s="2" t="s">
        <v>241</v>
      </c>
      <c r="D55" s="2"/>
      <c r="E55" s="216">
        <v>0</v>
      </c>
      <c r="F55" s="181">
        <v>0</v>
      </c>
      <c r="G55" s="181">
        <v>0</v>
      </c>
      <c r="H55" s="181">
        <v>0</v>
      </c>
      <c r="I55" s="181">
        <v>0</v>
      </c>
      <c r="J55" s="52"/>
      <c r="K55" s="52"/>
      <c r="L55" s="52"/>
      <c r="M55" s="52"/>
      <c r="N55" s="52"/>
      <c r="O55" s="52"/>
      <c r="P55" s="52"/>
      <c r="Q55" s="52"/>
      <c r="R55" s="52"/>
      <c r="T55" s="67">
        <f>(SUM(I56,-H56))/H56</f>
        <v>-1.5151515151515152E-2</v>
      </c>
    </row>
    <row r="56" spans="2:20">
      <c r="B56" s="112" t="s">
        <v>110</v>
      </c>
      <c r="C56" s="110" t="s">
        <v>243</v>
      </c>
      <c r="D56" s="110"/>
      <c r="E56" s="219">
        <f>SUM(E54:E55)</f>
        <v>162</v>
      </c>
      <c r="F56" s="220">
        <f>SUM(F54:F55)</f>
        <v>192</v>
      </c>
      <c r="G56" s="220">
        <f>SUM(G54:G55)</f>
        <v>158</v>
      </c>
      <c r="H56" s="220">
        <f>SUM(H54:H55)</f>
        <v>132</v>
      </c>
      <c r="I56" s="220">
        <f>SUM(I54:I55)</f>
        <v>130</v>
      </c>
      <c r="J56" s="52"/>
      <c r="K56" s="52"/>
      <c r="L56" s="52"/>
      <c r="M56" s="52"/>
      <c r="N56" s="52"/>
      <c r="O56" s="52"/>
      <c r="P56" s="52"/>
      <c r="Q56" s="52"/>
      <c r="R56" s="52"/>
      <c r="T56" s="67">
        <f>(SUM(I57,-H57))/H57</f>
        <v>0</v>
      </c>
    </row>
    <row r="57" spans="2:20" ht="24" customHeight="1">
      <c r="B57" s="2" t="s">
        <v>244</v>
      </c>
      <c r="C57" s="106" t="s">
        <v>245</v>
      </c>
      <c r="D57" s="106"/>
      <c r="E57" s="216">
        <v>-4</v>
      </c>
      <c r="F57" s="181">
        <v>-3</v>
      </c>
      <c r="G57" s="181">
        <v>5</v>
      </c>
      <c r="H57" s="181">
        <v>4</v>
      </c>
      <c r="I57" s="181">
        <v>4</v>
      </c>
      <c r="J57" s="52"/>
      <c r="K57" s="52"/>
      <c r="L57" s="52"/>
      <c r="M57" s="52"/>
      <c r="N57" s="52"/>
      <c r="O57" s="52"/>
      <c r="P57" s="52"/>
      <c r="Q57" s="52"/>
      <c r="R57" s="52"/>
      <c r="T57" s="67"/>
    </row>
    <row r="58" spans="2:20">
      <c r="B58" s="2" t="s">
        <v>246</v>
      </c>
      <c r="C58" s="2" t="s">
        <v>247</v>
      </c>
      <c r="D58" s="2"/>
      <c r="E58" s="216">
        <v>0</v>
      </c>
      <c r="F58" s="181">
        <v>0</v>
      </c>
      <c r="G58" s="181">
        <v>0</v>
      </c>
      <c r="H58" s="181">
        <v>0</v>
      </c>
      <c r="I58" s="181">
        <v>0</v>
      </c>
      <c r="J58" s="52"/>
      <c r="K58" s="52"/>
      <c r="L58" s="52"/>
      <c r="M58" s="52"/>
      <c r="N58" s="52"/>
      <c r="O58" s="52"/>
      <c r="P58" s="52"/>
      <c r="Q58" s="52"/>
      <c r="R58" s="52"/>
      <c r="T58" s="67">
        <f>(SUM(I59,-H59))/H59</f>
        <v>-1.7857142857142856E-2</v>
      </c>
    </row>
    <row r="59" spans="2:20">
      <c r="B59" s="12" t="s">
        <v>248</v>
      </c>
      <c r="C59" s="13" t="s">
        <v>249</v>
      </c>
      <c r="D59" s="13"/>
      <c r="E59" s="224">
        <f>SUM(E47,-E56,E57)</f>
        <v>-138</v>
      </c>
      <c r="F59" s="192">
        <f>SUM(F47,-F56,F57)</f>
        <v>-161</v>
      </c>
      <c r="G59" s="192">
        <f>SUM(G47,-G56,G57)</f>
        <v>-134</v>
      </c>
      <c r="H59" s="192">
        <f>SUM(H47,-H56,H57)</f>
        <v>-112</v>
      </c>
      <c r="I59" s="192">
        <f>SUM(I47,-I56,I57)</f>
        <v>-110</v>
      </c>
      <c r="J59" s="52"/>
      <c r="K59" s="52"/>
      <c r="L59" s="52"/>
      <c r="M59" s="52"/>
      <c r="N59" s="52"/>
      <c r="O59" s="52"/>
      <c r="P59" s="52"/>
      <c r="Q59" s="52"/>
      <c r="R59" s="52"/>
      <c r="T59" s="67"/>
    </row>
    <row r="60" spans="2:20">
      <c r="B60" s="5"/>
      <c r="C60" s="2"/>
      <c r="D60" s="2"/>
      <c r="E60" s="216"/>
      <c r="F60" s="181"/>
      <c r="G60" s="181"/>
      <c r="H60" s="179"/>
      <c r="I60" s="179"/>
      <c r="J60" s="52"/>
      <c r="K60" s="52"/>
      <c r="L60" s="52"/>
      <c r="M60" s="52"/>
      <c r="N60" s="52"/>
      <c r="O60" s="52"/>
      <c r="P60" s="52"/>
      <c r="Q60" s="52"/>
      <c r="R60" s="52"/>
      <c r="T60" s="67">
        <f>(SUM(I61,-H61))/H61</f>
        <v>0.18571428571428572</v>
      </c>
    </row>
    <row r="61" spans="2:20">
      <c r="B61" s="21" t="s">
        <v>250</v>
      </c>
      <c r="C61" s="22" t="s">
        <v>251</v>
      </c>
      <c r="D61" s="22"/>
      <c r="E61" s="227">
        <f>SUM(E39,E41,E59)</f>
        <v>78</v>
      </c>
      <c r="F61" s="193">
        <f>SUM(F39,F41,F59)</f>
        <v>334</v>
      </c>
      <c r="G61" s="193">
        <f>SUM(G39,G41,G59)</f>
        <v>576</v>
      </c>
      <c r="H61" s="193">
        <f>SUM(H39,H41,H59)</f>
        <v>490</v>
      </c>
      <c r="I61" s="193">
        <f>SUM(I39,I41,I59)</f>
        <v>581</v>
      </c>
      <c r="J61" s="52"/>
      <c r="K61" s="52"/>
      <c r="L61" s="52"/>
      <c r="M61" s="52"/>
      <c r="N61" s="52"/>
      <c r="O61" s="52"/>
      <c r="P61" s="52"/>
      <c r="Q61" s="52"/>
      <c r="R61" s="52"/>
      <c r="T61" s="67"/>
    </row>
    <row r="62" spans="2:20">
      <c r="B62" s="5"/>
      <c r="C62" s="2"/>
      <c r="D62" s="2"/>
      <c r="E62" s="216"/>
      <c r="F62" s="181"/>
      <c r="G62" s="181"/>
      <c r="H62" s="179"/>
      <c r="I62" s="179"/>
      <c r="J62" s="52"/>
      <c r="K62" s="52"/>
      <c r="L62" s="52"/>
      <c r="M62" s="52"/>
      <c r="N62" s="52"/>
      <c r="O62" s="52"/>
      <c r="P62" s="52"/>
      <c r="Q62" s="52"/>
      <c r="R62" s="52"/>
      <c r="T62" s="67"/>
    </row>
    <row r="63" spans="2:20">
      <c r="B63" s="5" t="s">
        <v>252</v>
      </c>
      <c r="C63" s="2" t="s">
        <v>253</v>
      </c>
      <c r="D63" s="2"/>
      <c r="E63" s="216"/>
      <c r="F63" s="181"/>
      <c r="G63" s="181"/>
      <c r="H63" s="179"/>
      <c r="I63" s="179"/>
      <c r="J63" s="52"/>
      <c r="K63" s="52"/>
      <c r="L63" s="52"/>
      <c r="M63" s="52"/>
      <c r="N63" s="52"/>
      <c r="O63" s="52"/>
      <c r="P63" s="52"/>
      <c r="Q63" s="52"/>
      <c r="R63" s="52"/>
      <c r="T63" s="67">
        <f t="shared" ref="T63:T71" si="4">(SUM(I64,-H64))/H64</f>
        <v>6.8493150684931503E-3</v>
      </c>
    </row>
    <row r="64" spans="2:20">
      <c r="B64" s="2" t="s">
        <v>254</v>
      </c>
      <c r="C64" s="2" t="s">
        <v>255</v>
      </c>
      <c r="D64" s="2"/>
      <c r="E64" s="216">
        <v>105</v>
      </c>
      <c r="F64" s="181">
        <v>138</v>
      </c>
      <c r="G64" s="181">
        <v>107</v>
      </c>
      <c r="H64" s="181">
        <v>146</v>
      </c>
      <c r="I64" s="181">
        <v>147</v>
      </c>
      <c r="J64" s="52"/>
      <c r="K64" s="52"/>
      <c r="L64" s="52"/>
      <c r="M64" s="52"/>
      <c r="N64" s="52"/>
      <c r="O64" s="52"/>
      <c r="P64" s="52"/>
      <c r="Q64" s="52"/>
      <c r="R64" s="52"/>
      <c r="T64" s="67">
        <f t="shared" si="4"/>
        <v>0</v>
      </c>
    </row>
    <row r="65" spans="2:20">
      <c r="B65" s="2" t="s">
        <v>256</v>
      </c>
      <c r="C65" s="2" t="s">
        <v>257</v>
      </c>
      <c r="D65" s="2"/>
      <c r="E65" s="216">
        <v>23</v>
      </c>
      <c r="F65" s="181">
        <v>25</v>
      </c>
      <c r="G65" s="181">
        <v>26</v>
      </c>
      <c r="H65" s="181">
        <v>30</v>
      </c>
      <c r="I65" s="181">
        <v>30</v>
      </c>
      <c r="J65" s="52"/>
      <c r="K65" s="52"/>
      <c r="L65" s="52"/>
      <c r="M65" s="52"/>
      <c r="N65" s="52"/>
      <c r="O65" s="52"/>
      <c r="P65" s="52"/>
      <c r="Q65" s="52"/>
      <c r="R65" s="52"/>
      <c r="T65" s="67">
        <f t="shared" si="4"/>
        <v>1.5</v>
      </c>
    </row>
    <row r="66" spans="2:20">
      <c r="B66" s="2" t="s">
        <v>258</v>
      </c>
      <c r="C66" s="2" t="s">
        <v>259</v>
      </c>
      <c r="D66" s="2"/>
      <c r="E66" s="216">
        <v>-17</v>
      </c>
      <c r="F66" s="181">
        <v>4</v>
      </c>
      <c r="G66" s="181">
        <v>-1</v>
      </c>
      <c r="H66" s="181">
        <v>2</v>
      </c>
      <c r="I66" s="181">
        <v>5</v>
      </c>
      <c r="J66" s="52"/>
      <c r="K66" s="52"/>
      <c r="L66" s="52"/>
      <c r="M66" s="52"/>
      <c r="N66" s="52"/>
      <c r="O66" s="52"/>
      <c r="P66" s="52"/>
      <c r="Q66" s="52"/>
      <c r="R66" s="52"/>
      <c r="T66" s="67">
        <f t="shared" si="4"/>
        <v>2.247191011235955E-2</v>
      </c>
    </row>
    <row r="67" spans="2:20">
      <c r="B67" s="111" t="s">
        <v>260</v>
      </c>
      <c r="C67" s="60" t="s">
        <v>261</v>
      </c>
      <c r="D67" s="60"/>
      <c r="E67" s="230">
        <f>SUM(E64:E66)</f>
        <v>111</v>
      </c>
      <c r="F67" s="231">
        <f>SUM(F64:F66)</f>
        <v>167</v>
      </c>
      <c r="G67" s="231">
        <f>SUM(G64:G66)</f>
        <v>132</v>
      </c>
      <c r="H67" s="231">
        <f>SUM(H64:H66)</f>
        <v>178</v>
      </c>
      <c r="I67" s="231">
        <f>SUM(I64:I66)</f>
        <v>182</v>
      </c>
      <c r="J67" s="52"/>
      <c r="K67" s="52"/>
      <c r="L67" s="52"/>
      <c r="M67" s="52"/>
      <c r="N67" s="52"/>
      <c r="O67" s="52"/>
      <c r="P67" s="52"/>
      <c r="Q67" s="52"/>
      <c r="R67" s="52"/>
      <c r="T67" s="67">
        <f t="shared" si="4"/>
        <v>1.1515151515151516</v>
      </c>
    </row>
    <row r="68" spans="2:20">
      <c r="B68" s="2" t="s">
        <v>33</v>
      </c>
      <c r="C68" s="2" t="s">
        <v>262</v>
      </c>
      <c r="D68" s="2"/>
      <c r="E68" s="216">
        <v>142</v>
      </c>
      <c r="F68" s="181">
        <v>44</v>
      </c>
      <c r="G68" s="181">
        <v>88</v>
      </c>
      <c r="H68" s="181">
        <v>33</v>
      </c>
      <c r="I68" s="181">
        <v>71</v>
      </c>
      <c r="J68" s="52"/>
      <c r="K68" s="52"/>
      <c r="L68" s="52"/>
      <c r="M68" s="52"/>
      <c r="N68" s="52"/>
      <c r="O68" s="52"/>
      <c r="P68" s="52"/>
      <c r="Q68" s="52"/>
      <c r="R68" s="52"/>
      <c r="T68" s="67">
        <f t="shared" si="4"/>
        <v>0.18518518518518517</v>
      </c>
    </row>
    <row r="69" spans="2:20">
      <c r="B69" s="2" t="s">
        <v>263</v>
      </c>
      <c r="C69" s="2" t="s">
        <v>264</v>
      </c>
      <c r="D69" s="2"/>
      <c r="E69" s="216">
        <v>-120</v>
      </c>
      <c r="F69" s="181">
        <v>-89</v>
      </c>
      <c r="G69" s="181">
        <v>-28</v>
      </c>
      <c r="H69" s="181">
        <v>-54</v>
      </c>
      <c r="I69" s="181">
        <v>-64</v>
      </c>
      <c r="J69" s="52"/>
      <c r="K69" s="52"/>
      <c r="L69" s="52"/>
      <c r="M69" s="52"/>
      <c r="N69" s="52"/>
      <c r="O69" s="52"/>
      <c r="P69" s="52"/>
      <c r="Q69" s="52"/>
      <c r="R69" s="52"/>
      <c r="T69" s="67">
        <f t="shared" si="4"/>
        <v>0.20382165605095542</v>
      </c>
    </row>
    <row r="70" spans="2:20">
      <c r="B70" s="116" t="s">
        <v>265</v>
      </c>
      <c r="C70" s="117" t="s">
        <v>266</v>
      </c>
      <c r="D70" s="117"/>
      <c r="E70" s="232">
        <f>SUM(E67:E69)</f>
        <v>133</v>
      </c>
      <c r="F70" s="233">
        <f>SUM(F67:F69)</f>
        <v>122</v>
      </c>
      <c r="G70" s="233">
        <f>SUM(G67:G69)</f>
        <v>192</v>
      </c>
      <c r="H70" s="233">
        <f>SUM(H67:H69)</f>
        <v>157</v>
      </c>
      <c r="I70" s="233">
        <f>SUM(I67:I69)</f>
        <v>189</v>
      </c>
      <c r="J70" s="52"/>
      <c r="K70" s="52"/>
      <c r="L70" s="52"/>
      <c r="M70" s="52"/>
      <c r="N70" s="52"/>
      <c r="O70" s="52"/>
      <c r="P70" s="52"/>
      <c r="Q70" s="52"/>
      <c r="R70" s="52"/>
      <c r="T70" s="67">
        <f t="shared" si="4"/>
        <v>0.17717717717717718</v>
      </c>
    </row>
    <row r="71" spans="2:20">
      <c r="B71" s="5" t="s">
        <v>267</v>
      </c>
      <c r="C71" s="2" t="s">
        <v>268</v>
      </c>
      <c r="D71" s="2"/>
      <c r="E71" s="234">
        <f>SUM(E61,-E70)</f>
        <v>-55</v>
      </c>
      <c r="F71" s="179">
        <f>SUM(F61,-F70)</f>
        <v>212</v>
      </c>
      <c r="G71" s="179">
        <f>SUM(G61,-G70)</f>
        <v>384</v>
      </c>
      <c r="H71" s="179">
        <f>SUM(H61,-H70)</f>
        <v>333</v>
      </c>
      <c r="I71" s="179">
        <f>SUM(I61,-I70)</f>
        <v>392</v>
      </c>
      <c r="J71" s="52"/>
      <c r="K71" s="52"/>
      <c r="L71" s="52"/>
      <c r="M71" s="52"/>
      <c r="N71" s="52"/>
      <c r="O71" s="52"/>
      <c r="P71" s="52"/>
      <c r="Q71" s="52"/>
      <c r="R71" s="52"/>
      <c r="T71" s="67">
        <f t="shared" si="4"/>
        <v>-0.95238095238095233</v>
      </c>
    </row>
    <row r="72" spans="2:20">
      <c r="B72" s="5" t="s">
        <v>269</v>
      </c>
      <c r="C72" s="2" t="s">
        <v>270</v>
      </c>
      <c r="D72" s="2"/>
      <c r="E72" s="216">
        <v>0</v>
      </c>
      <c r="F72" s="181">
        <v>19</v>
      </c>
      <c r="G72" s="181">
        <v>-85</v>
      </c>
      <c r="H72" s="179">
        <v>21</v>
      </c>
      <c r="I72" s="179">
        <v>1</v>
      </c>
      <c r="J72" s="52"/>
      <c r="K72" s="52"/>
      <c r="L72" s="52"/>
      <c r="M72" s="52"/>
      <c r="N72" s="52"/>
      <c r="O72" s="52"/>
      <c r="P72" s="52"/>
      <c r="Q72" s="52"/>
      <c r="R72" s="52"/>
      <c r="T72" s="67"/>
    </row>
    <row r="73" spans="2:20">
      <c r="B73" s="5"/>
      <c r="C73" s="2"/>
      <c r="D73" s="2"/>
      <c r="E73" s="216"/>
      <c r="F73" s="181"/>
      <c r="G73" s="181"/>
      <c r="H73" s="179"/>
      <c r="I73" s="179"/>
      <c r="J73" s="52"/>
      <c r="K73" s="52"/>
      <c r="L73" s="52"/>
      <c r="M73" s="52"/>
      <c r="N73" s="52"/>
      <c r="O73" s="52"/>
      <c r="P73" s="52"/>
      <c r="Q73" s="52"/>
      <c r="R73" s="52"/>
      <c r="T73" s="67">
        <f>(SUM(I74,-H74))/H74</f>
        <v>0.11016949152542373</v>
      </c>
    </row>
    <row r="74" spans="2:20">
      <c r="B74" s="12" t="s">
        <v>271</v>
      </c>
      <c r="C74" s="13" t="s">
        <v>272</v>
      </c>
      <c r="D74" s="13"/>
      <c r="E74" s="224">
        <f>SUM(E71:E72)</f>
        <v>-55</v>
      </c>
      <c r="F74" s="192">
        <f>SUM(F71:F72)</f>
        <v>231</v>
      </c>
      <c r="G74" s="192">
        <f>SUM(G71:G72)</f>
        <v>299</v>
      </c>
      <c r="H74" s="192">
        <f>SUM(H71:H72)</f>
        <v>354</v>
      </c>
      <c r="I74" s="192">
        <f>SUM(I71:I72)</f>
        <v>393</v>
      </c>
      <c r="J74" s="52"/>
      <c r="K74" s="52"/>
      <c r="L74" s="52"/>
      <c r="M74" s="52"/>
      <c r="N74" s="52"/>
      <c r="O74" s="52"/>
      <c r="P74" s="52"/>
      <c r="Q74" s="52"/>
      <c r="R74" s="52"/>
      <c r="T74" s="67"/>
    </row>
    <row r="75" spans="2:20">
      <c r="B75" s="2" t="s">
        <v>273</v>
      </c>
      <c r="C75" s="2" t="s">
        <v>274</v>
      </c>
      <c r="D75" s="2"/>
      <c r="E75" s="216">
        <v>130</v>
      </c>
      <c r="F75" s="181">
        <v>1</v>
      </c>
      <c r="G75" s="181">
        <v>-6</v>
      </c>
      <c r="H75" s="181">
        <v>-10</v>
      </c>
      <c r="I75" s="181">
        <v>-4</v>
      </c>
      <c r="J75" s="52"/>
      <c r="K75" s="52"/>
      <c r="L75" s="52"/>
      <c r="M75" s="52"/>
      <c r="N75" s="52"/>
      <c r="O75" s="52"/>
      <c r="P75" s="52"/>
      <c r="Q75" s="52"/>
      <c r="R75" s="52"/>
      <c r="T75" s="67"/>
    </row>
    <row r="76" spans="2:20" ht="15" thickBot="1">
      <c r="B76" s="2"/>
      <c r="C76" s="2"/>
      <c r="D76" s="2"/>
      <c r="E76" s="216"/>
      <c r="F76" s="181"/>
      <c r="G76" s="181"/>
      <c r="H76" s="181"/>
      <c r="I76" s="181"/>
      <c r="J76" s="52"/>
      <c r="K76" s="52"/>
      <c r="L76" s="52"/>
      <c r="M76" s="52"/>
      <c r="N76" s="52"/>
      <c r="O76" s="52"/>
      <c r="P76" s="52"/>
      <c r="Q76" s="52"/>
      <c r="R76" s="52"/>
      <c r="T76" s="70">
        <f>(SUM(I77,-H77))/H77</f>
        <v>0.1308139534883721</v>
      </c>
    </row>
    <row r="77" spans="2:20">
      <c r="B77" s="21" t="s">
        <v>275</v>
      </c>
      <c r="C77" s="22" t="s">
        <v>276</v>
      </c>
      <c r="D77" s="22"/>
      <c r="E77" s="235">
        <v>73</v>
      </c>
      <c r="F77" s="183">
        <v>232</v>
      </c>
      <c r="G77" s="183">
        <v>293</v>
      </c>
      <c r="H77" s="193">
        <f t="shared" ref="H77" si="5">SUM(H74:H75)</f>
        <v>344</v>
      </c>
      <c r="I77" s="193">
        <f>SUM(I74:I75)</f>
        <v>389</v>
      </c>
      <c r="J77" s="52"/>
      <c r="K77" s="52"/>
      <c r="L77" s="52"/>
      <c r="M77" s="100"/>
      <c r="N77" s="52"/>
      <c r="O77" s="52"/>
      <c r="P77" s="52"/>
      <c r="Q77" s="52"/>
      <c r="R77" s="52"/>
    </row>
    <row r="78" spans="2:20">
      <c r="B78" s="100"/>
      <c r="C78" s="52"/>
      <c r="D78" s="52"/>
      <c r="E78" s="52"/>
      <c r="F78" s="52"/>
      <c r="G78" s="52"/>
      <c r="H78" s="52"/>
      <c r="I78" s="52"/>
      <c r="M78" s="96"/>
    </row>
    <row r="79" spans="2:20" ht="15" thickBot="1">
      <c r="B79" s="98" t="s">
        <v>277</v>
      </c>
      <c r="C79" s="99" t="s">
        <v>278</v>
      </c>
      <c r="D79" s="52"/>
      <c r="H79" s="71"/>
      <c r="I79" s="71"/>
      <c r="M79" s="66"/>
    </row>
    <row r="80" spans="2:20">
      <c r="B80" s="73" t="s">
        <v>279</v>
      </c>
      <c r="C80" s="74" t="s">
        <v>280</v>
      </c>
      <c r="D80" s="101"/>
      <c r="E80" s="72"/>
      <c r="F80" s="65"/>
      <c r="G80" s="65"/>
      <c r="H80" s="65"/>
      <c r="I80" s="65"/>
      <c r="M80" s="66"/>
    </row>
    <row r="81" spans="2:13">
      <c r="B81" s="73" t="s">
        <v>281</v>
      </c>
      <c r="C81" s="74" t="s">
        <v>282</v>
      </c>
      <c r="D81" s="102"/>
      <c r="E81" s="69"/>
      <c r="F81" s="66">
        <v>7.4499999999999997E-2</v>
      </c>
      <c r="G81" s="66">
        <v>9.4399999999999998E-2</v>
      </c>
      <c r="H81" s="66">
        <v>0.1106</v>
      </c>
      <c r="I81" s="66">
        <v>0.1249</v>
      </c>
      <c r="M81" s="66"/>
    </row>
    <row r="82" spans="2:13">
      <c r="B82" s="73" t="s">
        <v>283</v>
      </c>
      <c r="C82" s="74" t="s">
        <v>284</v>
      </c>
      <c r="D82" s="102"/>
      <c r="E82" s="69"/>
      <c r="F82" s="66">
        <v>6.8400000000000002E-2</v>
      </c>
      <c r="G82" s="66">
        <v>0.1215</v>
      </c>
      <c r="H82" s="66">
        <v>0.104</v>
      </c>
      <c r="I82" s="66">
        <v>0.12470000000000001</v>
      </c>
      <c r="M82" s="66"/>
    </row>
    <row r="83" spans="2:13">
      <c r="B83" s="73" t="s">
        <v>285</v>
      </c>
      <c r="C83" s="74" t="s">
        <v>286</v>
      </c>
      <c r="D83" s="102"/>
      <c r="E83" s="69"/>
      <c r="F83" s="66">
        <v>6.1999999999999998E-3</v>
      </c>
      <c r="G83" s="66">
        <v>-2.7099999999999999E-2</v>
      </c>
      <c r="H83" s="66">
        <v>6.6E-3</v>
      </c>
      <c r="I83" s="66">
        <v>2.0000000000000001E-4</v>
      </c>
      <c r="M83" s="66"/>
    </row>
    <row r="84" spans="2:13" ht="15" thickBot="1">
      <c r="B84" s="73" t="s">
        <v>287</v>
      </c>
      <c r="C84" s="74" t="s">
        <v>288</v>
      </c>
      <c r="D84" s="102"/>
      <c r="E84" s="69"/>
      <c r="F84" s="66">
        <v>7.4499999999999997E-2</v>
      </c>
      <c r="G84" s="66">
        <v>9.4399999999999998E-2</v>
      </c>
      <c r="H84" s="66">
        <v>0.1106</v>
      </c>
      <c r="I84" s="66">
        <v>0.1249</v>
      </c>
      <c r="M84" s="77"/>
    </row>
    <row r="85" spans="2:13" ht="15" thickBot="1">
      <c r="B85" s="75" t="s">
        <v>289</v>
      </c>
      <c r="C85" s="76" t="s">
        <v>290</v>
      </c>
      <c r="D85" s="103"/>
      <c r="E85" s="69"/>
      <c r="F85" s="66">
        <v>6.8400000000000002E-2</v>
      </c>
      <c r="G85" s="66">
        <v>0.1215</v>
      </c>
      <c r="H85" s="66">
        <v>0.104</v>
      </c>
      <c r="I85" s="66">
        <v>0.12470000000000001</v>
      </c>
    </row>
    <row r="86" spans="2:13" ht="15" thickBot="1">
      <c r="E86" s="78"/>
      <c r="F86" s="77">
        <v>6.1999999999999998E-3</v>
      </c>
      <c r="G86" s="77">
        <v>-2.7099999999999999E-2</v>
      </c>
      <c r="H86" s="77">
        <v>6.6E-3</v>
      </c>
      <c r="I86" s="77">
        <v>2E-3</v>
      </c>
    </row>
    <row r="87" spans="2:13" ht="15" thickBot="1">
      <c r="M87" s="80"/>
    </row>
    <row r="88" spans="2:13" ht="15" thickBot="1">
      <c r="B88" s="79" t="s">
        <v>291</v>
      </c>
      <c r="C88" s="80"/>
      <c r="D88" s="104"/>
      <c r="M88" s="84"/>
    </row>
    <row r="89" spans="2:13">
      <c r="B89" s="83" t="s">
        <v>297</v>
      </c>
      <c r="E89" s="72" t="s">
        <v>296</v>
      </c>
      <c r="F89" s="82" t="s">
        <v>295</v>
      </c>
      <c r="G89" s="82" t="s">
        <v>294</v>
      </c>
      <c r="H89" s="82" t="s">
        <v>293</v>
      </c>
      <c r="I89" s="81" t="s">
        <v>292</v>
      </c>
      <c r="M89" s="85"/>
    </row>
    <row r="90" spans="2:13">
      <c r="B90" s="83" t="s">
        <v>298</v>
      </c>
      <c r="E90" s="69">
        <v>4.1000000000000002E-2</v>
      </c>
      <c r="F90" s="68">
        <v>4.9200000000000001E-2</v>
      </c>
      <c r="G90" s="68">
        <v>5.7799999999999997E-2</v>
      </c>
      <c r="H90" s="68">
        <v>7.0000000000000007E-2</v>
      </c>
      <c r="I90" s="68">
        <v>7.7499999999999999E-2</v>
      </c>
      <c r="M90" s="86"/>
    </row>
    <row r="91" spans="2:13" ht="15" thickBot="1">
      <c r="B91" s="83" t="s">
        <v>299</v>
      </c>
      <c r="E91" s="85">
        <f>PRODUCT(E90,E97)</f>
        <v>127.346</v>
      </c>
      <c r="F91" s="85">
        <f>PRODUCT(F90,F97)</f>
        <v>152.9718457152</v>
      </c>
      <c r="G91" s="85">
        <f>PRODUCT(G90,G97)</f>
        <v>179.71082687679998</v>
      </c>
      <c r="H91" s="85">
        <f>PRODUCT(H90,H97)</f>
        <v>217.64286992000004</v>
      </c>
      <c r="I91" s="85">
        <f>PRODUCT(I90,I97)</f>
        <v>240.96174884000001</v>
      </c>
      <c r="M91" s="89"/>
    </row>
    <row r="92" spans="2:13" ht="15" thickBot="1">
      <c r="B92" s="87" t="s">
        <v>300</v>
      </c>
      <c r="C92" s="88"/>
      <c r="D92" s="104"/>
      <c r="E92" s="86">
        <f>(E91/E77)</f>
        <v>1.7444657534246575</v>
      </c>
      <c r="F92" s="86">
        <f>(F91/F77)</f>
        <v>0.65936140394482756</v>
      </c>
      <c r="G92" s="86">
        <f>(G91/G77)</f>
        <v>0.61334753200273029</v>
      </c>
      <c r="H92" s="86">
        <f>(H91/H77)</f>
        <v>0.63268276139534896</v>
      </c>
      <c r="I92" s="86">
        <f>(I91/I77)</f>
        <v>0.61943894303341906</v>
      </c>
    </row>
    <row r="93" spans="2:13" ht="15" thickBot="1">
      <c r="E93" s="89">
        <f>SUM(1,-E92)</f>
        <v>-0.74446575342465748</v>
      </c>
      <c r="F93" s="89">
        <f>SUM(1,-F92)</f>
        <v>0.34063859605517244</v>
      </c>
      <c r="G93" s="89">
        <f>SUM(1,-G92)</f>
        <v>0.38665246799726971</v>
      </c>
      <c r="H93" s="89">
        <f>SUM(1,-H92)</f>
        <v>0.36731723860465104</v>
      </c>
      <c r="I93" s="89">
        <f>SUM(1,-I92)</f>
        <v>0.38056105696658094</v>
      </c>
    </row>
    <row r="94" spans="2:13" ht="15" thickBot="1">
      <c r="M94" s="63"/>
    </row>
    <row r="95" spans="2:13" ht="15" thickBot="1">
      <c r="B95" s="90" t="s">
        <v>301</v>
      </c>
      <c r="C95" s="63"/>
      <c r="D95" s="105"/>
    </row>
    <row r="96" spans="2:13" ht="15" thickBot="1">
      <c r="B96" s="93" t="s">
        <v>279</v>
      </c>
      <c r="E96" s="72"/>
      <c r="F96" s="82"/>
      <c r="G96" s="82"/>
      <c r="H96" s="92"/>
      <c r="I96" s="91"/>
    </row>
    <row r="97" spans="5:9" ht="15" thickBot="1">
      <c r="E97" s="69">
        <v>3106</v>
      </c>
      <c r="F97" s="95">
        <v>3109.1838560000001</v>
      </c>
      <c r="G97" s="95">
        <v>3109.1838560000001</v>
      </c>
      <c r="H97" s="95">
        <v>3109.1838560000001</v>
      </c>
      <c r="I97" s="94">
        <v>3109.1838560000001</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A2F6-3F0D-4770-954F-DCD44B8A0D2B}">
  <dimension ref="A1:AE434"/>
  <sheetViews>
    <sheetView topLeftCell="B15" zoomScale="74" zoomScaleNormal="60" workbookViewId="0">
      <selection activeCell="D141" sqref="D141"/>
    </sheetView>
  </sheetViews>
  <sheetFormatPr defaultRowHeight="14.4" outlineLevelRow="1"/>
  <cols>
    <col min="1" max="1" width="2.88671875" customWidth="1"/>
    <col min="2" max="2" width="53.44140625" customWidth="1"/>
    <col min="3" max="3" width="8.109375" customWidth="1"/>
    <col min="4" max="8" width="14.33203125" bestFit="1" customWidth="1"/>
    <col min="9" max="9" width="28.6640625" customWidth="1"/>
  </cols>
  <sheetData>
    <row r="1" spans="1:31" ht="27" customHeight="1">
      <c r="A1" s="123"/>
      <c r="B1" s="916" t="s">
        <v>315</v>
      </c>
      <c r="C1" s="917"/>
      <c r="D1" s="125"/>
      <c r="E1" s="125"/>
      <c r="F1" s="125"/>
      <c r="G1" s="125"/>
      <c r="H1" s="288"/>
      <c r="I1" s="1"/>
      <c r="J1" s="1"/>
      <c r="K1" s="1"/>
      <c r="L1" s="1"/>
      <c r="M1" s="1"/>
      <c r="N1" s="1"/>
      <c r="O1" s="1"/>
      <c r="P1" s="1"/>
      <c r="Q1" s="1"/>
      <c r="R1" s="1"/>
      <c r="S1" s="1"/>
      <c r="T1" s="1"/>
      <c r="U1" s="1"/>
      <c r="V1" s="1"/>
      <c r="W1" s="1"/>
      <c r="X1" s="1"/>
      <c r="Y1" s="1"/>
      <c r="Z1" s="1"/>
      <c r="AA1" s="1"/>
      <c r="AB1" s="1"/>
      <c r="AC1" s="1"/>
      <c r="AD1" s="1"/>
      <c r="AE1" s="1"/>
    </row>
    <row r="2" spans="1:31">
      <c r="A2" s="123"/>
      <c r="B2" s="289"/>
      <c r="C2" s="914" t="s">
        <v>158</v>
      </c>
      <c r="D2" s="914"/>
      <c r="E2" s="914"/>
      <c r="F2" s="914"/>
      <c r="G2" s="914"/>
      <c r="H2" s="915"/>
      <c r="I2" s="1"/>
      <c r="J2" s="1"/>
      <c r="K2" s="1"/>
      <c r="L2" s="1"/>
      <c r="M2" s="1"/>
      <c r="N2" s="1"/>
      <c r="O2" s="1"/>
      <c r="P2" s="1"/>
      <c r="Q2" s="1"/>
      <c r="R2" s="1"/>
      <c r="S2" s="1"/>
      <c r="T2" s="1"/>
      <c r="U2" s="1"/>
      <c r="V2" s="1"/>
      <c r="W2" s="1"/>
      <c r="X2" s="1"/>
      <c r="Y2" s="1"/>
      <c r="Z2" s="1"/>
      <c r="AA2" s="1"/>
      <c r="AB2" s="1"/>
      <c r="AC2" s="1"/>
      <c r="AD2" s="1"/>
      <c r="AE2" s="1"/>
    </row>
    <row r="3" spans="1:31" ht="18" customHeight="1">
      <c r="A3" s="62"/>
      <c r="B3" s="255"/>
      <c r="C3" s="122" t="s">
        <v>1</v>
      </c>
      <c r="D3" s="124">
        <v>42369</v>
      </c>
      <c r="E3" s="124">
        <v>42735</v>
      </c>
      <c r="F3" s="124">
        <v>43100</v>
      </c>
      <c r="G3" s="124">
        <v>43465</v>
      </c>
      <c r="H3" s="290">
        <v>43830</v>
      </c>
      <c r="I3" s="1"/>
      <c r="J3" s="1"/>
      <c r="K3" s="1"/>
      <c r="L3" s="1"/>
      <c r="M3" s="1"/>
      <c r="N3" s="1"/>
      <c r="O3" s="1"/>
      <c r="P3" s="1"/>
      <c r="Q3" s="1"/>
      <c r="R3" s="1"/>
      <c r="S3" s="1"/>
      <c r="T3" s="1"/>
      <c r="U3" s="1"/>
      <c r="V3" s="1"/>
      <c r="W3" s="1"/>
      <c r="X3" s="1"/>
      <c r="Y3" s="1"/>
      <c r="Z3" s="1"/>
      <c r="AA3" s="1"/>
      <c r="AB3" s="1"/>
      <c r="AC3" s="1"/>
      <c r="AD3" s="1"/>
    </row>
    <row r="4" spans="1:31">
      <c r="A4" s="1"/>
      <c r="B4" s="291"/>
      <c r="C4" s="2"/>
      <c r="D4" s="28"/>
      <c r="E4" s="26"/>
      <c r="F4" s="26"/>
      <c r="G4" s="26"/>
      <c r="H4" s="258"/>
      <c r="I4" s="1"/>
      <c r="J4" s="1"/>
      <c r="K4" s="1"/>
      <c r="L4" s="1"/>
      <c r="M4" s="1"/>
      <c r="N4" s="1"/>
      <c r="O4" s="1"/>
      <c r="P4" s="1"/>
      <c r="Q4" s="1"/>
      <c r="R4" s="1"/>
      <c r="S4" s="1"/>
      <c r="T4" s="1"/>
      <c r="U4" s="1"/>
      <c r="V4" s="1"/>
      <c r="W4" s="1"/>
      <c r="X4" s="1"/>
      <c r="Y4" s="1"/>
      <c r="Z4" s="1"/>
      <c r="AA4" s="1"/>
      <c r="AB4" s="1"/>
      <c r="AC4" s="1"/>
      <c r="AD4" s="1"/>
    </row>
    <row r="5" spans="1:31">
      <c r="A5" s="1"/>
      <c r="B5" s="292" t="s">
        <v>326</v>
      </c>
      <c r="C5" s="137"/>
      <c r="D5" s="147">
        <f>'Financial statements'!F18</f>
        <v>5067</v>
      </c>
      <c r="E5" s="139">
        <f>'Financial statements'!G18</f>
        <v>5129</v>
      </c>
      <c r="F5" s="139">
        <f>'Financial statements'!H18</f>
        <v>4606</v>
      </c>
      <c r="G5" s="139">
        <f>'Financial statements'!I18</f>
        <v>4620</v>
      </c>
      <c r="H5" s="293">
        <f>'Financial statements'!J18</f>
        <v>4869</v>
      </c>
      <c r="I5" s="1"/>
      <c r="J5" s="1"/>
      <c r="K5" s="1"/>
      <c r="L5" s="1"/>
      <c r="M5" s="1"/>
      <c r="N5" s="1"/>
      <c r="O5" s="1"/>
      <c r="P5" s="1"/>
      <c r="Q5" s="1"/>
      <c r="R5" s="1"/>
      <c r="S5" s="1"/>
      <c r="T5" s="1"/>
      <c r="U5" s="1"/>
      <c r="V5" s="1"/>
      <c r="W5" s="1"/>
      <c r="X5" s="1"/>
      <c r="Y5" s="1"/>
      <c r="Z5" s="1"/>
      <c r="AA5" s="1"/>
      <c r="AB5" s="1"/>
      <c r="AC5" s="1"/>
      <c r="AD5" s="1"/>
    </row>
    <row r="6" spans="1:31">
      <c r="A6" s="1"/>
      <c r="B6" s="292" t="s">
        <v>327</v>
      </c>
      <c r="C6" s="137"/>
      <c r="D6" s="147">
        <f>'Financial statements'!F29</f>
        <v>1348</v>
      </c>
      <c r="E6" s="139">
        <f>'Financial statements'!G29</f>
        <v>1704</v>
      </c>
      <c r="F6" s="139">
        <f>'Financial statements'!H29</f>
        <v>1863</v>
      </c>
      <c r="G6" s="139">
        <f>'Financial statements'!I29</f>
        <v>2302</v>
      </c>
      <c r="H6" s="293">
        <f>'Financial statements'!J29</f>
        <v>2379</v>
      </c>
      <c r="I6" s="1"/>
      <c r="J6" s="1"/>
      <c r="K6" s="1"/>
      <c r="L6" s="1"/>
      <c r="M6" s="1"/>
      <c r="N6" s="1"/>
      <c r="O6" s="1"/>
      <c r="P6" s="1"/>
      <c r="Q6" s="1"/>
      <c r="R6" s="1"/>
      <c r="S6" s="1"/>
      <c r="T6" s="1"/>
      <c r="U6" s="1"/>
      <c r="V6" s="1"/>
      <c r="W6" s="1"/>
      <c r="X6" s="1"/>
      <c r="Y6" s="1"/>
      <c r="Z6" s="1"/>
      <c r="AA6" s="1"/>
      <c r="AB6" s="1"/>
      <c r="AC6" s="1"/>
      <c r="AD6" s="1"/>
    </row>
    <row r="7" spans="1:31">
      <c r="A7" s="1"/>
      <c r="B7" s="292" t="s">
        <v>322</v>
      </c>
      <c r="C7" s="137"/>
      <c r="D7" s="147">
        <v>137</v>
      </c>
      <c r="E7" s="139">
        <v>136</v>
      </c>
      <c r="F7" s="139">
        <v>107</v>
      </c>
      <c r="G7" s="139">
        <v>45</v>
      </c>
      <c r="H7" s="293">
        <v>65</v>
      </c>
      <c r="I7" s="1"/>
      <c r="J7" s="1"/>
      <c r="K7" s="1"/>
      <c r="L7" s="1"/>
      <c r="M7" s="1"/>
      <c r="N7" s="1"/>
      <c r="O7" s="1"/>
      <c r="P7" s="1"/>
      <c r="Q7" s="1"/>
      <c r="R7" s="1"/>
      <c r="S7" s="1"/>
      <c r="T7" s="1"/>
      <c r="U7" s="1"/>
      <c r="V7" s="1"/>
      <c r="W7" s="1"/>
      <c r="X7" s="1"/>
      <c r="Y7" s="1"/>
      <c r="Z7" s="1"/>
      <c r="AA7" s="1"/>
      <c r="AB7" s="1"/>
      <c r="AC7" s="1"/>
      <c r="AD7" s="1"/>
    </row>
    <row r="8" spans="1:31">
      <c r="A8" s="1"/>
      <c r="B8" s="294" t="s">
        <v>328</v>
      </c>
      <c r="C8" s="295"/>
      <c r="D8" s="152">
        <f>SUM(D5:D7)</f>
        <v>6552</v>
      </c>
      <c r="E8" s="142">
        <f>SUM(E5:E7)</f>
        <v>6969</v>
      </c>
      <c r="F8" s="142">
        <f>SUM(F5:F7)</f>
        <v>6576</v>
      </c>
      <c r="G8" s="142">
        <f>SUM(G5:G7)</f>
        <v>6967</v>
      </c>
      <c r="H8" s="296">
        <f>SUM(H5:H7)</f>
        <v>7313</v>
      </c>
      <c r="I8" s="1"/>
      <c r="J8" s="1"/>
      <c r="K8" s="1"/>
      <c r="L8" s="1"/>
      <c r="M8" s="1"/>
      <c r="N8" s="1"/>
      <c r="O8" s="1"/>
      <c r="P8" s="1"/>
      <c r="Q8" s="1"/>
      <c r="R8" s="1"/>
      <c r="S8" s="1"/>
      <c r="T8" s="1"/>
      <c r="U8" s="1"/>
      <c r="V8" s="1"/>
      <c r="W8" s="1"/>
      <c r="X8" s="1"/>
      <c r="Y8" s="1"/>
      <c r="Z8" s="1"/>
      <c r="AA8" s="1"/>
      <c r="AB8" s="1"/>
      <c r="AC8" s="1"/>
      <c r="AD8" s="1"/>
    </row>
    <row r="9" spans="1:31">
      <c r="A9" s="1"/>
      <c r="B9" s="292"/>
      <c r="C9" s="137"/>
      <c r="D9" s="147"/>
      <c r="E9" s="139"/>
      <c r="F9" s="139"/>
      <c r="G9" s="139"/>
      <c r="H9" s="293"/>
      <c r="I9" s="1"/>
      <c r="J9" s="1"/>
      <c r="K9" s="1"/>
      <c r="L9" s="1"/>
      <c r="M9" s="1"/>
      <c r="N9" s="1"/>
      <c r="O9" s="1"/>
      <c r="P9" s="1"/>
      <c r="Q9" s="1"/>
      <c r="R9" s="1"/>
      <c r="S9" s="1"/>
      <c r="T9" s="1"/>
      <c r="U9" s="1"/>
      <c r="V9" s="1"/>
      <c r="W9" s="1"/>
      <c r="X9" s="1"/>
      <c r="Y9" s="1"/>
      <c r="Z9" s="1"/>
      <c r="AA9" s="1"/>
      <c r="AB9" s="1"/>
      <c r="AC9" s="1"/>
      <c r="AD9" s="1"/>
    </row>
    <row r="10" spans="1:31">
      <c r="A10" s="1"/>
      <c r="B10" s="292" t="s">
        <v>317</v>
      </c>
      <c r="C10" s="137"/>
      <c r="D10" s="147">
        <v>184</v>
      </c>
      <c r="E10" s="139">
        <v>159</v>
      </c>
      <c r="F10" s="139">
        <v>147</v>
      </c>
      <c r="G10" s="139">
        <v>187</v>
      </c>
      <c r="H10" s="293">
        <v>184</v>
      </c>
      <c r="I10" s="1"/>
      <c r="J10" s="1"/>
      <c r="K10" s="1"/>
      <c r="L10" s="1"/>
      <c r="M10" s="1"/>
      <c r="N10" s="1"/>
      <c r="O10" s="1"/>
      <c r="P10" s="1"/>
      <c r="Q10" s="1"/>
      <c r="R10" s="1"/>
      <c r="S10" s="1"/>
      <c r="T10" s="1"/>
      <c r="U10" s="1"/>
      <c r="V10" s="1"/>
      <c r="W10" s="1"/>
      <c r="X10" s="1"/>
      <c r="Y10" s="1"/>
      <c r="Z10" s="1"/>
      <c r="AA10" s="1"/>
      <c r="AB10" s="1"/>
      <c r="AC10" s="1"/>
      <c r="AD10" s="1"/>
    </row>
    <row r="11" spans="1:31">
      <c r="A11" s="1"/>
      <c r="B11" s="292" t="s">
        <v>318</v>
      </c>
      <c r="C11" s="137"/>
      <c r="D11" s="147">
        <v>1485</v>
      </c>
      <c r="E11" s="139">
        <v>1821</v>
      </c>
      <c r="F11" s="139">
        <v>1671</v>
      </c>
      <c r="G11" s="139">
        <v>1781</v>
      </c>
      <c r="H11" s="293">
        <v>1852</v>
      </c>
      <c r="I11" s="1"/>
      <c r="J11" s="1"/>
      <c r="K11" s="1"/>
      <c r="L11" s="1"/>
      <c r="M11" s="1"/>
      <c r="N11" s="1"/>
      <c r="O11" s="1"/>
      <c r="P11" s="1"/>
      <c r="Q11" s="1"/>
      <c r="R11" s="1"/>
      <c r="S11" s="1"/>
      <c r="T11" s="1"/>
      <c r="U11" s="1"/>
      <c r="V11" s="1"/>
      <c r="W11" s="1"/>
      <c r="X11" s="1"/>
      <c r="Y11" s="1"/>
      <c r="Z11" s="1"/>
      <c r="AA11" s="1"/>
      <c r="AB11" s="1"/>
      <c r="AC11" s="1"/>
      <c r="AD11" s="1"/>
    </row>
    <row r="12" spans="1:31">
      <c r="A12" s="1"/>
      <c r="B12" s="292" t="s">
        <v>323</v>
      </c>
      <c r="C12" s="137"/>
      <c r="D12" s="147">
        <v>-1170</v>
      </c>
      <c r="E12" s="139">
        <v>-1384</v>
      </c>
      <c r="F12" s="139">
        <v>-1381</v>
      </c>
      <c r="G12" s="139">
        <v>-1413</v>
      </c>
      <c r="H12" s="293">
        <v>-1481</v>
      </c>
      <c r="I12" s="1"/>
      <c r="J12" s="1"/>
      <c r="K12" s="1"/>
      <c r="L12" s="1"/>
      <c r="M12" s="1"/>
      <c r="N12" s="1"/>
      <c r="O12" s="1"/>
      <c r="P12" s="1"/>
      <c r="Q12" s="1"/>
      <c r="R12" s="1"/>
      <c r="S12" s="1"/>
      <c r="T12" s="1"/>
      <c r="U12" s="1"/>
      <c r="V12" s="1"/>
      <c r="W12" s="1"/>
      <c r="X12" s="1"/>
      <c r="Y12" s="1"/>
      <c r="Z12" s="1"/>
      <c r="AA12" s="1"/>
      <c r="AB12" s="1"/>
      <c r="AC12" s="1"/>
      <c r="AD12" s="1"/>
    </row>
    <row r="13" spans="1:31">
      <c r="A13" s="1"/>
      <c r="B13" s="297" t="s">
        <v>329</v>
      </c>
      <c r="C13" s="298"/>
      <c r="D13" s="155">
        <f>SUM(D10:D12)</f>
        <v>499</v>
      </c>
      <c r="E13" s="156">
        <f>SUM(E10:E12)</f>
        <v>596</v>
      </c>
      <c r="F13" s="156">
        <f>SUM(F10:F12)</f>
        <v>437</v>
      </c>
      <c r="G13" s="156">
        <f>SUM(G10:G12)</f>
        <v>555</v>
      </c>
      <c r="H13" s="299">
        <f>SUM(H10:H12)</f>
        <v>555</v>
      </c>
      <c r="I13" s="1"/>
      <c r="J13" s="1"/>
      <c r="K13" s="1"/>
      <c r="L13" s="1"/>
      <c r="M13" s="1"/>
      <c r="N13" s="1"/>
      <c r="O13" s="1"/>
      <c r="P13" s="1"/>
      <c r="Q13" s="1"/>
      <c r="R13" s="1"/>
      <c r="S13" s="1"/>
      <c r="T13" s="1"/>
      <c r="U13" s="1"/>
      <c r="V13" s="1"/>
      <c r="W13" s="1"/>
      <c r="X13" s="1"/>
      <c r="Y13" s="1"/>
      <c r="Z13" s="1"/>
      <c r="AA13" s="1"/>
      <c r="AB13" s="1"/>
      <c r="AC13" s="1"/>
      <c r="AD13" s="1"/>
    </row>
    <row r="14" spans="1:31">
      <c r="A14" s="1"/>
      <c r="B14" s="300"/>
      <c r="C14" s="136"/>
      <c r="D14" s="146"/>
      <c r="E14" s="141"/>
      <c r="F14" s="141"/>
      <c r="G14" s="141"/>
      <c r="H14" s="301"/>
      <c r="I14" s="1"/>
      <c r="J14" s="1"/>
      <c r="K14" s="1"/>
      <c r="L14" s="1"/>
      <c r="M14" s="1"/>
      <c r="N14" s="1"/>
      <c r="O14" s="1"/>
      <c r="P14" s="1"/>
      <c r="Q14" s="1"/>
      <c r="R14" s="1"/>
      <c r="S14" s="1"/>
      <c r="T14" s="1"/>
      <c r="U14" s="1"/>
      <c r="V14" s="1"/>
      <c r="W14" s="1"/>
      <c r="X14" s="1"/>
      <c r="Y14" s="1"/>
      <c r="Z14" s="1"/>
      <c r="AA14" s="1"/>
      <c r="AB14" s="1"/>
      <c r="AC14" s="1"/>
      <c r="AD14" s="1"/>
    </row>
    <row r="15" spans="1:31" ht="17.25" customHeight="1">
      <c r="A15" s="1"/>
      <c r="B15" s="292" t="s">
        <v>11</v>
      </c>
      <c r="C15" s="137"/>
      <c r="D15" s="147">
        <f>SUM(D16:D19)+D20</f>
        <v>636</v>
      </c>
      <c r="E15" s="139">
        <f>SUM(E16:E19)+E20</f>
        <v>695</v>
      </c>
      <c r="F15" s="139">
        <f>SUM(F16:F19)+F20</f>
        <v>563</v>
      </c>
      <c r="G15" s="139">
        <f>SUM(G16:G19)+G20</f>
        <v>510</v>
      </c>
      <c r="H15" s="293">
        <f>SUM(H16:H19)+H20</f>
        <v>665</v>
      </c>
      <c r="I15" s="1"/>
      <c r="J15" s="1"/>
      <c r="K15" s="1"/>
      <c r="L15" s="1"/>
      <c r="M15" s="1"/>
      <c r="N15" s="1"/>
      <c r="O15" s="1"/>
      <c r="P15" s="1"/>
      <c r="Q15" s="1"/>
      <c r="R15" s="1"/>
      <c r="S15" s="1"/>
      <c r="T15" s="1"/>
      <c r="U15" s="1"/>
      <c r="V15" s="1"/>
      <c r="W15" s="1"/>
      <c r="X15" s="1"/>
      <c r="Y15" s="1"/>
      <c r="Z15" s="1"/>
      <c r="AA15" s="1"/>
      <c r="AB15" s="1"/>
      <c r="AC15" s="1"/>
      <c r="AD15" s="1"/>
    </row>
    <row r="16" spans="1:31" hidden="1" outlineLevel="1">
      <c r="A16" s="1"/>
      <c r="B16" s="292" t="s">
        <v>319</v>
      </c>
      <c r="C16" s="137"/>
      <c r="D16" s="147">
        <f>'Financial statements'!F82</f>
        <v>183</v>
      </c>
      <c r="E16" s="139">
        <f>'Financial statements'!G82</f>
        <v>389</v>
      </c>
      <c r="F16" s="139">
        <f>'Financial statements'!H82</f>
        <v>216</v>
      </c>
      <c r="G16" s="139">
        <f>'Financial statements'!I82</f>
        <v>313</v>
      </c>
      <c r="H16" s="293">
        <f>'Financial statements'!J82</f>
        <v>567</v>
      </c>
      <c r="I16" s="1"/>
      <c r="J16" s="1"/>
      <c r="K16" s="1"/>
      <c r="L16" s="1"/>
      <c r="M16" s="1"/>
      <c r="N16" s="1"/>
      <c r="O16" s="1"/>
      <c r="P16" s="1"/>
      <c r="Q16" s="1"/>
      <c r="R16" s="1"/>
      <c r="S16" s="1"/>
      <c r="T16" s="1"/>
      <c r="U16" s="1"/>
      <c r="V16" s="1"/>
      <c r="W16" s="1"/>
      <c r="X16" s="1"/>
      <c r="Y16" s="1"/>
      <c r="Z16" s="1"/>
      <c r="AA16" s="1"/>
      <c r="AB16" s="1"/>
      <c r="AC16" s="1"/>
      <c r="AD16" s="1"/>
    </row>
    <row r="17" spans="1:30" hidden="1" outlineLevel="1">
      <c r="A17" s="1"/>
      <c r="B17" s="292" t="s">
        <v>320</v>
      </c>
      <c r="C17" s="137"/>
      <c r="D17" s="147">
        <f>'Financial statements'!F87</f>
        <v>171</v>
      </c>
      <c r="E17" s="139">
        <f>'Financial statements'!G87</f>
        <v>218</v>
      </c>
      <c r="F17" s="139">
        <f>'Financial statements'!H87</f>
        <v>8</v>
      </c>
      <c r="G17" s="139">
        <f>'Financial statements'!I87</f>
        <v>16</v>
      </c>
      <c r="H17" s="293">
        <f>'Financial statements'!J87</f>
        <v>10</v>
      </c>
      <c r="I17" s="1"/>
      <c r="J17" s="1"/>
      <c r="K17" s="1"/>
      <c r="L17" s="1"/>
      <c r="M17" s="1"/>
      <c r="N17" s="1"/>
      <c r="O17" s="1"/>
      <c r="P17" s="1"/>
      <c r="Q17" s="1"/>
      <c r="R17" s="1"/>
      <c r="S17" s="1"/>
      <c r="T17" s="1"/>
      <c r="U17" s="1"/>
      <c r="V17" s="1"/>
      <c r="W17" s="1"/>
      <c r="X17" s="1"/>
      <c r="Y17" s="1"/>
      <c r="Z17" s="1"/>
      <c r="AA17" s="1"/>
      <c r="AB17" s="1"/>
      <c r="AC17" s="1"/>
      <c r="AD17" s="1"/>
    </row>
    <row r="18" spans="1:30" hidden="1" outlineLevel="1">
      <c r="A18" s="1"/>
      <c r="B18" s="303" t="s">
        <v>31</v>
      </c>
      <c r="C18" s="149"/>
      <c r="D18" s="147">
        <f>'Financial statements'!F42</f>
        <v>6</v>
      </c>
      <c r="E18" s="139">
        <f>'Financial statements'!G42</f>
        <v>12</v>
      </c>
      <c r="F18" s="139">
        <f>'Financial statements'!H42</f>
        <v>8</v>
      </c>
      <c r="G18" s="139">
        <f>'Financial statements'!I42</f>
        <v>20</v>
      </c>
      <c r="H18" s="293">
        <f>'Financial statements'!J42</f>
        <v>25</v>
      </c>
      <c r="I18" s="1"/>
      <c r="J18" s="1"/>
      <c r="K18" s="1"/>
      <c r="L18" s="1"/>
      <c r="M18" s="1"/>
      <c r="N18" s="1"/>
      <c r="O18" s="1"/>
      <c r="P18" s="1"/>
      <c r="Q18" s="1"/>
      <c r="R18" s="1"/>
      <c r="S18" s="1"/>
      <c r="T18" s="1"/>
      <c r="U18" s="1"/>
      <c r="V18" s="1"/>
      <c r="W18" s="1"/>
      <c r="X18" s="1"/>
      <c r="Y18" s="1"/>
      <c r="Z18" s="1"/>
      <c r="AA18" s="1"/>
      <c r="AB18" s="1"/>
      <c r="AC18" s="1"/>
      <c r="AD18" s="1"/>
    </row>
    <row r="19" spans="1:30" hidden="1" outlineLevel="1">
      <c r="A19" s="1"/>
      <c r="B19" s="292" t="s">
        <v>75</v>
      </c>
      <c r="C19" s="137"/>
      <c r="D19" s="146">
        <f>71</f>
        <v>71</v>
      </c>
      <c r="E19" s="141">
        <f>70</f>
        <v>70</v>
      </c>
      <c r="F19" s="141">
        <f>107</f>
        <v>107</v>
      </c>
      <c r="G19" s="141">
        <f>49</f>
        <v>49</v>
      </c>
      <c r="H19" s="301">
        <f>63</f>
        <v>63</v>
      </c>
      <c r="I19" s="1"/>
      <c r="J19" s="1"/>
      <c r="K19" s="1"/>
      <c r="L19" s="1"/>
      <c r="M19" s="1"/>
      <c r="N19" s="1"/>
      <c r="O19" s="1"/>
      <c r="P19" s="1"/>
      <c r="Q19" s="1"/>
      <c r="R19" s="1"/>
      <c r="S19" s="1"/>
      <c r="T19" s="1"/>
      <c r="U19" s="1"/>
      <c r="V19" s="1"/>
      <c r="W19" s="1"/>
      <c r="X19" s="1"/>
      <c r="Y19" s="1"/>
      <c r="Z19" s="1"/>
      <c r="AA19" s="1"/>
      <c r="AB19" s="1"/>
      <c r="AC19" s="1"/>
      <c r="AD19" s="1"/>
    </row>
    <row r="20" spans="1:30" ht="15" hidden="1" customHeight="1" outlineLevel="1">
      <c r="A20" s="1"/>
      <c r="B20" s="303" t="s">
        <v>321</v>
      </c>
      <c r="C20" s="137"/>
      <c r="D20" s="147">
        <f>'Financial statements'!F93</f>
        <v>205</v>
      </c>
      <c r="E20" s="139">
        <f>'Financial statements'!G93</f>
        <v>6</v>
      </c>
      <c r="F20" s="139">
        <f>'Financial statements'!H93</f>
        <v>224</v>
      </c>
      <c r="G20" s="139">
        <f>'Financial statements'!I93</f>
        <v>112</v>
      </c>
      <c r="H20" s="293">
        <f>'Financial statements'!J93</f>
        <v>0</v>
      </c>
      <c r="I20" s="1"/>
      <c r="J20" s="1"/>
      <c r="K20" s="1"/>
      <c r="L20" s="1"/>
      <c r="M20" s="1"/>
      <c r="N20" s="1"/>
      <c r="O20" s="1"/>
      <c r="P20" s="1"/>
      <c r="Q20" s="1"/>
      <c r="R20" s="1"/>
      <c r="S20" s="1"/>
      <c r="T20" s="1"/>
      <c r="U20" s="1"/>
      <c r="V20" s="1"/>
      <c r="W20" s="1"/>
      <c r="X20" s="1"/>
      <c r="Y20" s="1"/>
      <c r="Z20" s="1"/>
      <c r="AA20" s="1"/>
      <c r="AB20" s="1"/>
      <c r="AC20" s="1"/>
      <c r="AD20" s="1"/>
    </row>
    <row r="21" spans="1:30" collapsed="1">
      <c r="A21" s="1"/>
      <c r="B21" s="292" t="s">
        <v>341</v>
      </c>
      <c r="C21" s="137"/>
      <c r="D21" s="147">
        <f>SUM(D22:D25)</f>
        <v>-683</v>
      </c>
      <c r="E21" s="147">
        <f>SUM(E22:E25)</f>
        <v>-893</v>
      </c>
      <c r="F21" s="147">
        <f>SUM(F22:F25)</f>
        <v>-673</v>
      </c>
      <c r="G21" s="147">
        <f>SUM(G22:G25)</f>
        <v>-763</v>
      </c>
      <c r="H21" s="304">
        <f>SUM(H22:H25)</f>
        <v>-999</v>
      </c>
      <c r="I21" s="1"/>
      <c r="J21" s="1"/>
      <c r="K21" s="1"/>
      <c r="L21" s="1"/>
      <c r="M21" s="1"/>
      <c r="N21" s="1"/>
      <c r="O21" s="1"/>
      <c r="P21" s="1"/>
      <c r="Q21" s="1"/>
      <c r="R21" s="1"/>
      <c r="S21" s="1"/>
      <c r="T21" s="1"/>
      <c r="U21" s="1"/>
      <c r="V21" s="1"/>
      <c r="W21" s="1"/>
      <c r="X21" s="1"/>
      <c r="Y21" s="1"/>
      <c r="Z21" s="1"/>
      <c r="AA21" s="1"/>
      <c r="AB21" s="1"/>
      <c r="AC21" s="1"/>
      <c r="AD21" s="1"/>
    </row>
    <row r="22" spans="1:30" hidden="1" outlineLevel="1">
      <c r="A22" s="1"/>
      <c r="B22" s="292" t="s">
        <v>120</v>
      </c>
      <c r="C22" s="137"/>
      <c r="D22" s="147">
        <v>-99</v>
      </c>
      <c r="E22" s="139">
        <v>-109</v>
      </c>
      <c r="F22" s="139">
        <v>-148</v>
      </c>
      <c r="G22" s="139">
        <v>-148</v>
      </c>
      <c r="H22" s="293">
        <v>-149</v>
      </c>
      <c r="I22" s="1"/>
      <c r="J22" s="1"/>
      <c r="K22" s="1"/>
      <c r="L22" s="1"/>
      <c r="M22" s="1"/>
      <c r="N22" s="1"/>
      <c r="O22" s="1"/>
      <c r="P22" s="1"/>
      <c r="Q22" s="1"/>
      <c r="R22" s="1"/>
      <c r="S22" s="1"/>
      <c r="T22" s="1"/>
      <c r="U22" s="1"/>
      <c r="V22" s="1"/>
      <c r="W22" s="1"/>
      <c r="X22" s="1"/>
      <c r="Y22" s="1"/>
      <c r="Z22" s="1"/>
      <c r="AA22" s="1"/>
      <c r="AB22" s="1"/>
      <c r="AC22" s="1"/>
      <c r="AD22" s="1"/>
    </row>
    <row r="23" spans="1:30" hidden="1" outlineLevel="1">
      <c r="A23" s="1"/>
      <c r="B23" s="292" t="s">
        <v>153</v>
      </c>
      <c r="C23" s="137"/>
      <c r="D23" s="147">
        <v>-43</v>
      </c>
      <c r="E23" s="139">
        <v>-33</v>
      </c>
      <c r="F23" s="139">
        <v>-4</v>
      </c>
      <c r="G23" s="139">
        <v>-34</v>
      </c>
      <c r="H23" s="293">
        <v>-6</v>
      </c>
      <c r="I23" s="1"/>
      <c r="J23" s="1"/>
      <c r="K23" s="1"/>
      <c r="L23" s="1"/>
      <c r="M23" s="1"/>
      <c r="N23" s="1"/>
      <c r="O23" s="1"/>
      <c r="P23" s="1"/>
      <c r="Q23" s="1"/>
      <c r="R23" s="1"/>
      <c r="S23" s="1"/>
      <c r="T23" s="1"/>
      <c r="U23" s="1"/>
      <c r="V23" s="1"/>
      <c r="W23" s="1"/>
      <c r="X23" s="1"/>
      <c r="Y23" s="1"/>
      <c r="Z23" s="1"/>
      <c r="AA23" s="1"/>
      <c r="AB23" s="1"/>
      <c r="AC23" s="1"/>
      <c r="AD23" s="1"/>
    </row>
    <row r="24" spans="1:30" hidden="1" outlineLevel="1">
      <c r="A24" s="1"/>
      <c r="B24" s="292" t="s">
        <v>324</v>
      </c>
      <c r="C24" s="137"/>
      <c r="D24" s="147">
        <v>-521</v>
      </c>
      <c r="E24" s="139">
        <v>-744</v>
      </c>
      <c r="F24" s="139">
        <v>-521</v>
      </c>
      <c r="G24" s="139">
        <v>-581</v>
      </c>
      <c r="H24" s="293">
        <v>-844</v>
      </c>
      <c r="I24" s="1"/>
      <c r="J24" s="1"/>
      <c r="K24" s="1"/>
      <c r="L24" s="1"/>
      <c r="M24" s="1"/>
      <c r="N24" s="1"/>
      <c r="O24" s="1"/>
      <c r="P24" s="1"/>
      <c r="Q24" s="1"/>
      <c r="R24" s="1"/>
      <c r="S24" s="1"/>
      <c r="T24" s="1"/>
      <c r="U24" s="1"/>
      <c r="V24" s="1"/>
      <c r="W24" s="1"/>
      <c r="X24" s="1"/>
      <c r="Y24" s="1"/>
      <c r="Z24" s="1"/>
      <c r="AA24" s="1"/>
      <c r="AB24" s="1"/>
      <c r="AC24" s="1"/>
      <c r="AD24" s="1"/>
    </row>
    <row r="25" spans="1:30" hidden="1" outlineLevel="1">
      <c r="A25" s="1"/>
      <c r="B25" s="292" t="s">
        <v>375</v>
      </c>
      <c r="C25" s="137"/>
      <c r="D25" s="147">
        <v>-20</v>
      </c>
      <c r="E25" s="139">
        <v>-7</v>
      </c>
      <c r="F25" s="139">
        <v>0</v>
      </c>
      <c r="G25" s="139">
        <v>0</v>
      </c>
      <c r="H25" s="293">
        <v>0</v>
      </c>
      <c r="I25" s="1"/>
      <c r="J25" s="1"/>
      <c r="K25" s="1"/>
      <c r="L25" s="1"/>
      <c r="M25" s="1"/>
      <c r="N25" s="1"/>
      <c r="O25" s="1"/>
      <c r="P25" s="1"/>
      <c r="Q25" s="1"/>
      <c r="R25" s="1"/>
      <c r="S25" s="1"/>
      <c r="T25" s="1"/>
      <c r="U25" s="1"/>
      <c r="V25" s="1"/>
      <c r="W25" s="1"/>
      <c r="X25" s="1"/>
      <c r="Y25" s="1"/>
      <c r="Z25" s="1"/>
      <c r="AA25" s="1"/>
      <c r="AB25" s="1"/>
      <c r="AC25" s="1"/>
      <c r="AD25" s="1"/>
    </row>
    <row r="26" spans="1:30" collapsed="1">
      <c r="A26" s="1"/>
      <c r="B26" s="294" t="s">
        <v>330</v>
      </c>
      <c r="C26" s="295"/>
      <c r="D26" s="152">
        <f>D13+D15+D21</f>
        <v>452</v>
      </c>
      <c r="E26" s="152">
        <f>E13+E15+E21</f>
        <v>398</v>
      </c>
      <c r="F26" s="152">
        <f>F13+F15+F21</f>
        <v>327</v>
      </c>
      <c r="G26" s="152">
        <f>G13+G15+G21</f>
        <v>302</v>
      </c>
      <c r="H26" s="305">
        <f>H13+H15+H21</f>
        <v>221</v>
      </c>
      <c r="I26" s="1"/>
      <c r="J26" s="1"/>
      <c r="K26" s="1"/>
      <c r="L26" s="1"/>
      <c r="M26" s="1"/>
      <c r="N26" s="1"/>
      <c r="O26" s="1"/>
      <c r="P26" s="1"/>
      <c r="Q26" s="1"/>
      <c r="R26" s="1"/>
      <c r="S26" s="1"/>
      <c r="T26" s="1"/>
      <c r="U26" s="1"/>
      <c r="V26" s="1"/>
      <c r="W26" s="1"/>
      <c r="X26" s="1"/>
      <c r="Y26" s="1"/>
      <c r="Z26" s="1"/>
      <c r="AA26" s="1"/>
      <c r="AB26" s="1"/>
      <c r="AC26" s="1"/>
      <c r="AD26" s="1"/>
    </row>
    <row r="27" spans="1:30">
      <c r="A27" s="1"/>
      <c r="B27" s="292"/>
      <c r="C27" s="137"/>
      <c r="D27" s="147"/>
      <c r="E27" s="139"/>
      <c r="F27" s="139"/>
      <c r="G27" s="139"/>
      <c r="H27" s="293"/>
      <c r="I27" s="1"/>
      <c r="J27" s="1"/>
      <c r="K27" s="1"/>
      <c r="L27" s="1"/>
      <c r="M27" s="1"/>
      <c r="N27" s="1"/>
      <c r="O27" s="1"/>
      <c r="P27" s="1"/>
      <c r="Q27" s="1"/>
      <c r="R27" s="1"/>
      <c r="S27" s="1"/>
      <c r="T27" s="1"/>
      <c r="U27" s="1"/>
      <c r="V27" s="1"/>
      <c r="W27" s="1"/>
      <c r="X27" s="1"/>
      <c r="Y27" s="1"/>
      <c r="Z27" s="1"/>
      <c r="AA27" s="1"/>
      <c r="AB27" s="1"/>
      <c r="AC27" s="1"/>
      <c r="AD27" s="1"/>
    </row>
    <row r="28" spans="1:30">
      <c r="A28" s="1"/>
      <c r="B28" s="292" t="s">
        <v>374</v>
      </c>
      <c r="C28" s="137"/>
      <c r="D28" s="147">
        <v>308</v>
      </c>
      <c r="E28" s="139">
        <v>341</v>
      </c>
      <c r="F28" s="139">
        <v>301</v>
      </c>
      <c r="G28" s="139">
        <v>264</v>
      </c>
      <c r="H28" s="293">
        <v>277</v>
      </c>
      <c r="I28" s="1"/>
      <c r="J28" s="1"/>
      <c r="K28" s="1"/>
      <c r="L28" s="1"/>
      <c r="M28" s="1"/>
      <c r="N28" s="1"/>
      <c r="O28" s="1"/>
      <c r="P28" s="1"/>
      <c r="Q28" s="1"/>
      <c r="R28" s="1"/>
      <c r="S28" s="1"/>
      <c r="T28" s="1"/>
      <c r="U28" s="1"/>
      <c r="V28" s="1"/>
      <c r="W28" s="1"/>
      <c r="X28" s="1"/>
      <c r="Y28" s="1"/>
      <c r="Z28" s="1"/>
      <c r="AA28" s="1"/>
      <c r="AB28" s="1"/>
      <c r="AC28" s="1"/>
      <c r="AD28" s="1"/>
    </row>
    <row r="29" spans="1:30">
      <c r="A29" s="126"/>
      <c r="B29" s="292" t="s">
        <v>113</v>
      </c>
      <c r="C29" s="137"/>
      <c r="D29" s="147">
        <v>-332</v>
      </c>
      <c r="E29" s="139">
        <v>-365</v>
      </c>
      <c r="F29" s="139">
        <v>-319</v>
      </c>
      <c r="G29" s="139">
        <v>-314</v>
      </c>
      <c r="H29" s="293">
        <v>-307</v>
      </c>
      <c r="I29" s="1"/>
      <c r="J29" s="1"/>
      <c r="K29" s="1"/>
      <c r="L29" s="1"/>
      <c r="M29" s="1"/>
      <c r="N29" s="1"/>
      <c r="O29" s="1"/>
      <c r="P29" s="1"/>
      <c r="Q29" s="1"/>
      <c r="R29" s="1"/>
      <c r="S29" s="1"/>
      <c r="T29" s="1"/>
      <c r="U29" s="1"/>
      <c r="V29" s="1"/>
      <c r="W29" s="1"/>
      <c r="X29" s="1"/>
      <c r="Y29" s="1"/>
      <c r="Z29" s="1"/>
      <c r="AA29" s="1"/>
      <c r="AB29" s="1"/>
      <c r="AC29" s="1"/>
      <c r="AD29" s="1"/>
    </row>
    <row r="30" spans="1:30">
      <c r="A30" s="1"/>
      <c r="B30" s="292" t="s">
        <v>325</v>
      </c>
      <c r="C30" s="137"/>
      <c r="D30" s="147">
        <v>-576</v>
      </c>
      <c r="E30" s="139">
        <v>-671</v>
      </c>
      <c r="F30" s="139">
        <v>-625</v>
      </c>
      <c r="G30" s="139">
        <v>-642</v>
      </c>
      <c r="H30" s="293">
        <v>-676</v>
      </c>
      <c r="I30" s="1"/>
      <c r="J30" s="1"/>
      <c r="K30" s="1"/>
      <c r="L30" s="1"/>
      <c r="M30" s="1"/>
      <c r="N30" s="1"/>
      <c r="O30" s="1"/>
      <c r="P30" s="1"/>
      <c r="Q30" s="1"/>
      <c r="R30" s="1"/>
      <c r="S30" s="1"/>
      <c r="T30" s="1"/>
      <c r="U30" s="1"/>
      <c r="V30" s="1"/>
      <c r="W30" s="1"/>
      <c r="X30" s="1"/>
      <c r="Y30" s="1"/>
      <c r="Z30" s="1"/>
      <c r="AA30" s="1"/>
      <c r="AB30" s="1"/>
      <c r="AC30" s="1"/>
      <c r="AD30" s="1"/>
    </row>
    <row r="31" spans="1:30" ht="15" customHeight="1">
      <c r="A31" s="1"/>
      <c r="B31" s="306" t="s">
        <v>331</v>
      </c>
      <c r="C31" s="307"/>
      <c r="D31" s="151">
        <f>D8+D26+D28+D29+D30</f>
        <v>6404</v>
      </c>
      <c r="E31" s="151">
        <f>E8+E26+E28+E29+E30</f>
        <v>6672</v>
      </c>
      <c r="F31" s="151">
        <f>F8+F26+F28+F29+F30</f>
        <v>6260</v>
      </c>
      <c r="G31" s="151">
        <f>G8+G26+G28+G29+G30</f>
        <v>6577</v>
      </c>
      <c r="H31" s="308">
        <f>H8+H26+H28+H29+H30</f>
        <v>6828</v>
      </c>
      <c r="I31" s="1"/>
      <c r="J31" s="1"/>
      <c r="K31" s="1"/>
      <c r="L31" s="1"/>
      <c r="M31" s="1"/>
      <c r="N31" s="1"/>
      <c r="O31" s="1"/>
      <c r="P31" s="1"/>
      <c r="Q31" s="1"/>
      <c r="R31" s="1"/>
      <c r="S31" s="1"/>
      <c r="T31" s="1"/>
      <c r="U31" s="1"/>
      <c r="V31" s="1"/>
      <c r="W31" s="1"/>
      <c r="X31" s="1"/>
      <c r="Y31" s="1"/>
      <c r="Z31" s="1"/>
      <c r="AA31" s="1"/>
      <c r="AB31" s="1"/>
      <c r="AC31" s="1"/>
      <c r="AD31" s="1"/>
    </row>
    <row r="32" spans="1:30">
      <c r="A32" s="1"/>
      <c r="B32" s="292"/>
      <c r="C32" s="137"/>
      <c r="D32" s="147"/>
      <c r="E32" s="139"/>
      <c r="F32" s="139"/>
      <c r="G32" s="139"/>
      <c r="H32" s="293"/>
      <c r="I32" s="1"/>
      <c r="J32" s="1"/>
      <c r="K32" s="1"/>
      <c r="L32" s="1"/>
      <c r="M32" s="1"/>
      <c r="N32" s="1"/>
      <c r="O32" s="1"/>
      <c r="P32" s="1"/>
      <c r="Q32" s="1"/>
      <c r="R32" s="1"/>
      <c r="S32" s="1"/>
      <c r="T32" s="1"/>
      <c r="U32" s="1"/>
      <c r="V32" s="1"/>
      <c r="W32" s="1"/>
      <c r="X32" s="1"/>
      <c r="Y32" s="1"/>
      <c r="Z32" s="1"/>
      <c r="AA32" s="1"/>
      <c r="AB32" s="1"/>
      <c r="AC32" s="1"/>
      <c r="AD32" s="1"/>
    </row>
    <row r="33" spans="1:30">
      <c r="A33" s="1"/>
      <c r="B33" s="292"/>
      <c r="C33" s="137"/>
      <c r="D33" s="147"/>
      <c r="E33" s="139"/>
      <c r="F33" s="139"/>
      <c r="G33" s="139"/>
      <c r="H33" s="293"/>
      <c r="I33" s="1"/>
      <c r="J33" s="1"/>
      <c r="K33" s="1"/>
      <c r="L33" s="1"/>
      <c r="M33" s="1"/>
      <c r="N33" s="1"/>
      <c r="O33" s="1"/>
      <c r="P33" s="1"/>
      <c r="Q33" s="1"/>
      <c r="R33" s="1"/>
      <c r="S33" s="1"/>
      <c r="T33" s="1"/>
      <c r="U33" s="1"/>
      <c r="V33" s="1"/>
      <c r="W33" s="1"/>
      <c r="X33" s="1"/>
      <c r="Y33" s="1"/>
      <c r="Z33" s="1"/>
      <c r="AA33" s="1"/>
      <c r="AB33" s="1"/>
      <c r="AC33" s="1"/>
      <c r="AD33" s="1"/>
    </row>
    <row r="34" spans="1:30">
      <c r="A34" s="1"/>
      <c r="B34" s="292"/>
      <c r="C34" s="137"/>
      <c r="D34" s="147"/>
      <c r="E34" s="139"/>
      <c r="F34" s="139"/>
      <c r="G34" s="139"/>
      <c r="H34" s="293"/>
      <c r="I34" s="1"/>
      <c r="J34" s="1"/>
      <c r="K34" s="1"/>
      <c r="L34" s="1"/>
      <c r="M34" s="1"/>
      <c r="N34" s="1"/>
      <c r="O34" s="1"/>
      <c r="P34" s="1"/>
      <c r="Q34" s="1"/>
      <c r="R34" s="1"/>
      <c r="S34" s="1"/>
      <c r="T34" s="1"/>
      <c r="U34" s="1"/>
      <c r="V34" s="1"/>
      <c r="W34" s="1"/>
      <c r="X34" s="1"/>
      <c r="Y34" s="1"/>
      <c r="Z34" s="1"/>
      <c r="AA34" s="1"/>
      <c r="AB34" s="1"/>
      <c r="AC34" s="1"/>
      <c r="AD34" s="1"/>
    </row>
    <row r="35" spans="1:30" ht="15" customHeight="1">
      <c r="A35" s="1"/>
      <c r="B35" s="309" t="s">
        <v>338</v>
      </c>
      <c r="C35" s="310"/>
      <c r="D35" s="153">
        <v>-3259</v>
      </c>
      <c r="E35" s="154">
        <v>-3279</v>
      </c>
      <c r="F35" s="154">
        <v>-3013</v>
      </c>
      <c r="G35" s="154">
        <v>-3523</v>
      </c>
      <c r="H35" s="331">
        <v>-3651</v>
      </c>
      <c r="I35" s="1"/>
      <c r="J35" s="1"/>
      <c r="K35" s="1"/>
      <c r="L35" s="1"/>
      <c r="M35" s="1"/>
      <c r="N35" s="1"/>
      <c r="O35" s="1"/>
      <c r="P35" s="1"/>
      <c r="Q35" s="1"/>
      <c r="R35" s="1"/>
      <c r="S35" s="1"/>
      <c r="T35" s="1"/>
      <c r="U35" s="1"/>
      <c r="V35" s="1"/>
      <c r="W35" s="1"/>
      <c r="X35" s="1"/>
      <c r="Y35" s="1"/>
      <c r="Z35" s="1"/>
      <c r="AA35" s="1"/>
      <c r="AB35" s="1"/>
      <c r="AC35" s="1"/>
      <c r="AD35" s="1"/>
    </row>
    <row r="36" spans="1:30">
      <c r="A36" s="1"/>
      <c r="B36" s="292"/>
      <c r="C36" s="137"/>
      <c r="D36" s="147"/>
      <c r="E36" s="139"/>
      <c r="F36" s="139"/>
      <c r="G36" s="139"/>
      <c r="H36" s="293"/>
      <c r="I36" s="1"/>
      <c r="J36" s="1"/>
      <c r="K36" s="1"/>
      <c r="L36" s="1"/>
      <c r="M36" s="1"/>
      <c r="N36" s="1"/>
      <c r="O36" s="1"/>
      <c r="P36" s="1"/>
      <c r="Q36" s="1"/>
      <c r="R36" s="1"/>
      <c r="S36" s="1"/>
      <c r="T36" s="1"/>
      <c r="U36" s="1"/>
      <c r="V36" s="1"/>
      <c r="W36" s="1"/>
      <c r="X36" s="1"/>
      <c r="Y36" s="1"/>
      <c r="Z36" s="1"/>
      <c r="AA36" s="1"/>
      <c r="AB36" s="1"/>
      <c r="AC36" s="1"/>
      <c r="AD36" s="1"/>
    </row>
    <row r="37" spans="1:30" ht="15" customHeight="1">
      <c r="A37" s="1"/>
      <c r="B37" s="292" t="s">
        <v>105</v>
      </c>
      <c r="C37" s="137"/>
      <c r="D37" s="147">
        <v>-3089</v>
      </c>
      <c r="E37" s="139">
        <v>-3436</v>
      </c>
      <c r="F37" s="139">
        <v>-3501</v>
      </c>
      <c r="G37" s="139">
        <v>-2984</v>
      </c>
      <c r="H37" s="293">
        <v>-3307</v>
      </c>
      <c r="I37" s="1"/>
      <c r="J37" s="1"/>
      <c r="K37" s="1"/>
      <c r="L37" s="1"/>
      <c r="M37" s="1"/>
      <c r="N37" s="1"/>
      <c r="O37" s="1"/>
      <c r="P37" s="1"/>
      <c r="Q37" s="1"/>
      <c r="R37" s="1"/>
      <c r="S37" s="1"/>
      <c r="T37" s="1"/>
      <c r="U37" s="1"/>
      <c r="V37" s="1"/>
      <c r="W37" s="1"/>
      <c r="X37" s="1"/>
      <c r="Y37" s="1"/>
      <c r="Z37" s="1"/>
      <c r="AA37" s="1"/>
      <c r="AB37" s="1"/>
      <c r="AC37" s="1"/>
      <c r="AD37" s="1"/>
    </row>
    <row r="38" spans="1:30">
      <c r="A38" s="5"/>
      <c r="B38" s="292" t="s">
        <v>150</v>
      </c>
      <c r="C38" s="137"/>
      <c r="D38" s="147">
        <v>-692</v>
      </c>
      <c r="E38" s="139">
        <v>-359</v>
      </c>
      <c r="F38" s="139">
        <v>-437</v>
      </c>
      <c r="G38" s="139">
        <v>-694</v>
      </c>
      <c r="H38" s="293">
        <v>-304</v>
      </c>
      <c r="I38" s="1"/>
      <c r="J38" s="1"/>
      <c r="K38" s="1"/>
      <c r="L38" s="1"/>
      <c r="M38" s="1"/>
      <c r="N38" s="1"/>
      <c r="O38" s="1"/>
      <c r="P38" s="1"/>
      <c r="Q38" s="1"/>
      <c r="R38" s="1"/>
      <c r="S38" s="1"/>
      <c r="T38" s="1"/>
      <c r="U38" s="1"/>
      <c r="V38" s="1"/>
      <c r="W38" s="1"/>
      <c r="X38" s="1"/>
      <c r="Y38" s="1"/>
      <c r="Z38" s="1"/>
      <c r="AA38" s="1"/>
      <c r="AB38" s="1"/>
      <c r="AC38" s="1"/>
      <c r="AD38" s="1"/>
    </row>
    <row r="39" spans="1:30">
      <c r="A39" s="128"/>
      <c r="B39" s="311" t="s">
        <v>337</v>
      </c>
      <c r="C39" s="312"/>
      <c r="D39" s="157">
        <f>D37+D38</f>
        <v>-3781</v>
      </c>
      <c r="E39" s="158">
        <f>E37+E38</f>
        <v>-3795</v>
      </c>
      <c r="F39" s="158">
        <f>F37+F38</f>
        <v>-3938</v>
      </c>
      <c r="G39" s="158">
        <f>G37+G38</f>
        <v>-3678</v>
      </c>
      <c r="H39" s="348">
        <f>H37+H38</f>
        <v>-3611</v>
      </c>
      <c r="I39" s="1"/>
      <c r="J39" s="1"/>
      <c r="K39" s="1"/>
      <c r="L39" s="1"/>
      <c r="M39" s="1"/>
      <c r="N39" s="1"/>
      <c r="O39" s="1"/>
      <c r="P39" s="1"/>
      <c r="Q39" s="1"/>
      <c r="R39" s="1"/>
      <c r="S39" s="1"/>
      <c r="T39" s="1"/>
      <c r="U39" s="1"/>
      <c r="V39" s="1"/>
      <c r="W39" s="1"/>
      <c r="X39" s="1"/>
      <c r="Y39" s="1"/>
      <c r="Z39" s="1"/>
      <c r="AA39" s="1"/>
      <c r="AB39" s="1"/>
      <c r="AC39" s="1"/>
      <c r="AD39" s="1"/>
    </row>
    <row r="40" spans="1:30">
      <c r="A40" s="1"/>
      <c r="B40" s="302"/>
      <c r="C40" s="138"/>
      <c r="D40" s="148"/>
      <c r="E40" s="140"/>
      <c r="F40" s="140"/>
      <c r="G40" s="140"/>
      <c r="H40" s="314"/>
      <c r="I40" s="1"/>
      <c r="J40" s="1"/>
      <c r="K40" s="1"/>
      <c r="L40" s="1"/>
      <c r="M40" s="1"/>
      <c r="N40" s="1"/>
      <c r="O40" s="1"/>
      <c r="P40" s="1"/>
      <c r="Q40" s="1"/>
      <c r="R40" s="1"/>
      <c r="S40" s="1"/>
      <c r="T40" s="1"/>
      <c r="U40" s="1"/>
      <c r="V40" s="1"/>
      <c r="W40" s="1"/>
      <c r="X40" s="1"/>
      <c r="Y40" s="1"/>
      <c r="Z40" s="1"/>
      <c r="AA40" s="1"/>
      <c r="AB40" s="1"/>
      <c r="AC40" s="1"/>
      <c r="AD40" s="1"/>
    </row>
    <row r="41" spans="1:30">
      <c r="A41" s="1"/>
      <c r="B41" s="292" t="s">
        <v>77</v>
      </c>
      <c r="C41" s="137"/>
      <c r="D41" s="147">
        <v>636</v>
      </c>
      <c r="E41" s="139">
        <v>402</v>
      </c>
      <c r="F41" s="139">
        <v>691</v>
      </c>
      <c r="G41" s="139">
        <v>624</v>
      </c>
      <c r="H41" s="293">
        <v>434</v>
      </c>
      <c r="I41" s="1"/>
      <c r="J41" s="1"/>
      <c r="K41" s="1"/>
      <c r="L41" s="1"/>
      <c r="M41" s="1"/>
      <c r="N41" s="1"/>
      <c r="O41" s="1"/>
      <c r="P41" s="1"/>
      <c r="Q41" s="1"/>
      <c r="R41" s="1"/>
      <c r="S41" s="1"/>
      <c r="T41" s="1"/>
      <c r="U41" s="1"/>
      <c r="V41" s="1"/>
      <c r="W41" s="1"/>
      <c r="X41" s="1"/>
      <c r="Y41" s="1"/>
      <c r="Z41" s="1"/>
      <c r="AA41" s="1"/>
      <c r="AB41" s="1"/>
      <c r="AC41" s="1"/>
      <c r="AD41" s="1"/>
    </row>
    <row r="42" spans="1:30">
      <c r="A42" s="1"/>
      <c r="B42" s="294" t="s">
        <v>332</v>
      </c>
      <c r="C42" s="295"/>
      <c r="D42" s="142">
        <f>D39+D41</f>
        <v>-3145</v>
      </c>
      <c r="E42" s="142">
        <f>E39+E41</f>
        <v>-3393</v>
      </c>
      <c r="F42" s="142">
        <f>F39+F41</f>
        <v>-3247</v>
      </c>
      <c r="G42" s="142">
        <f>G39+G41</f>
        <v>-3054</v>
      </c>
      <c r="H42" s="296">
        <f>H39+H41</f>
        <v>-3177</v>
      </c>
      <c r="I42" s="1"/>
      <c r="J42" s="1"/>
      <c r="K42" s="1"/>
      <c r="L42" s="1"/>
      <c r="M42" s="1"/>
      <c r="N42" s="1"/>
      <c r="O42" s="1"/>
      <c r="P42" s="1"/>
      <c r="Q42" s="1"/>
      <c r="R42" s="1"/>
      <c r="S42" s="1"/>
      <c r="T42" s="1"/>
      <c r="U42" s="1"/>
      <c r="V42" s="1"/>
      <c r="W42" s="1"/>
      <c r="X42" s="1"/>
      <c r="Y42" s="1"/>
      <c r="Z42" s="1"/>
      <c r="AA42" s="1"/>
      <c r="AB42" s="1"/>
      <c r="AC42" s="1"/>
      <c r="AD42" s="1"/>
    </row>
    <row r="43" spans="1:30">
      <c r="A43" s="1"/>
      <c r="B43" s="292"/>
      <c r="C43" s="137"/>
      <c r="D43" s="147"/>
      <c r="E43" s="139"/>
      <c r="F43" s="139"/>
      <c r="G43" s="139"/>
      <c r="H43" s="293"/>
      <c r="I43" s="1"/>
      <c r="J43" s="1"/>
      <c r="K43" s="1"/>
      <c r="L43" s="1"/>
      <c r="M43" s="1"/>
      <c r="N43" s="1"/>
      <c r="O43" s="1"/>
      <c r="P43" s="1"/>
      <c r="Q43" s="1"/>
      <c r="R43" s="1"/>
      <c r="S43" s="1"/>
      <c r="T43" s="1"/>
      <c r="U43" s="1"/>
      <c r="V43" s="1"/>
      <c r="W43" s="1"/>
      <c r="X43" s="1"/>
      <c r="Y43" s="1"/>
      <c r="Z43" s="1"/>
      <c r="AA43" s="1"/>
      <c r="AB43" s="1"/>
      <c r="AC43" s="1"/>
      <c r="AD43" s="1"/>
    </row>
    <row r="44" spans="1:30">
      <c r="A44" s="1"/>
      <c r="B44" s="306" t="s">
        <v>331</v>
      </c>
      <c r="C44" s="307"/>
      <c r="D44" s="151">
        <f>D35+D42</f>
        <v>-6404</v>
      </c>
      <c r="E44" s="144">
        <f>E35+E42</f>
        <v>-6672</v>
      </c>
      <c r="F44" s="144">
        <f>F35+F42</f>
        <v>-6260</v>
      </c>
      <c r="G44" s="144">
        <f>G35+G42</f>
        <v>-6577</v>
      </c>
      <c r="H44" s="372">
        <f>H35+H42</f>
        <v>-6828</v>
      </c>
      <c r="I44" s="1"/>
      <c r="J44" s="1"/>
      <c r="K44" s="1"/>
      <c r="L44" s="1"/>
      <c r="M44" s="1"/>
      <c r="N44" s="1"/>
      <c r="O44" s="1"/>
      <c r="P44" s="1"/>
      <c r="Q44" s="1"/>
      <c r="R44" s="1"/>
      <c r="S44" s="1"/>
      <c r="T44" s="1"/>
      <c r="U44" s="1"/>
      <c r="V44" s="1"/>
      <c r="W44" s="1"/>
      <c r="X44" s="1"/>
      <c r="Y44" s="1"/>
      <c r="Z44" s="1"/>
      <c r="AA44" s="1"/>
      <c r="AB44" s="1"/>
      <c r="AC44" s="1"/>
      <c r="AD44" s="1"/>
    </row>
    <row r="45" spans="1:30" ht="15" thickBot="1">
      <c r="A45" s="1"/>
      <c r="B45" s="349" t="s">
        <v>344</v>
      </c>
      <c r="C45" s="350"/>
      <c r="D45" s="351">
        <f>D31+D44</f>
        <v>0</v>
      </c>
      <c r="E45" s="351">
        <f>E31+E44</f>
        <v>0</v>
      </c>
      <c r="F45" s="351">
        <f>F31+F44</f>
        <v>0</v>
      </c>
      <c r="G45" s="351">
        <f>G31+G44</f>
        <v>0</v>
      </c>
      <c r="H45" s="352">
        <f>H31+H44</f>
        <v>0</v>
      </c>
      <c r="I45" s="1"/>
      <c r="J45" s="1"/>
      <c r="K45" s="1"/>
      <c r="L45" s="1"/>
      <c r="M45" s="1"/>
      <c r="N45" s="1"/>
      <c r="O45" s="1"/>
      <c r="P45" s="1"/>
      <c r="Q45" s="1"/>
      <c r="R45" s="1"/>
      <c r="S45" s="1"/>
      <c r="T45" s="1"/>
      <c r="U45" s="1"/>
      <c r="V45" s="1"/>
      <c r="W45" s="1"/>
      <c r="X45" s="1"/>
      <c r="Y45" s="1"/>
      <c r="Z45" s="1"/>
      <c r="AA45" s="1"/>
      <c r="AB45" s="1"/>
      <c r="AC45" s="1"/>
      <c r="AD45" s="1"/>
    </row>
    <row r="46" spans="1:30">
      <c r="A46" s="1"/>
      <c r="B46" s="165"/>
      <c r="C46" s="166"/>
      <c r="D46" s="166"/>
      <c r="E46" s="166"/>
      <c r="F46" s="166"/>
      <c r="G46" s="166"/>
      <c r="H46" s="166"/>
      <c r="J46" s="1"/>
      <c r="K46" s="1"/>
      <c r="L46" s="1"/>
      <c r="M46" s="1"/>
      <c r="N46" s="1"/>
      <c r="O46" s="1"/>
      <c r="P46" s="1"/>
      <c r="Q46" s="1"/>
      <c r="R46" s="1"/>
      <c r="S46" s="1"/>
      <c r="T46" s="1"/>
      <c r="U46" s="1"/>
      <c r="V46" s="1"/>
      <c r="W46" s="1"/>
      <c r="X46" s="1"/>
      <c r="Y46" s="1"/>
      <c r="Z46" s="1"/>
      <c r="AA46" s="1"/>
      <c r="AB46" s="1"/>
      <c r="AC46" s="1"/>
      <c r="AD46" s="1"/>
    </row>
    <row r="47" spans="1:30" ht="15" thickBot="1">
      <c r="B47" s="167"/>
      <c r="C47" s="168"/>
      <c r="D47" s="167"/>
      <c r="E47" s="167"/>
      <c r="F47" s="167"/>
      <c r="G47" s="167"/>
      <c r="H47" s="167"/>
      <c r="I47" s="1"/>
      <c r="J47" s="2"/>
      <c r="K47" s="1"/>
      <c r="L47" s="1"/>
      <c r="M47" s="1"/>
      <c r="N47" s="1"/>
      <c r="O47" s="1"/>
      <c r="P47" s="1"/>
      <c r="Q47" s="1"/>
      <c r="R47" s="1"/>
      <c r="S47" s="1"/>
      <c r="T47" s="1"/>
      <c r="U47" s="1"/>
      <c r="V47" s="1"/>
      <c r="W47" s="1"/>
      <c r="X47" s="1"/>
      <c r="Y47" s="1"/>
      <c r="Z47" s="1"/>
      <c r="AA47" s="1"/>
      <c r="AB47" s="1"/>
      <c r="AC47" s="1"/>
      <c r="AD47" s="1"/>
    </row>
    <row r="48" spans="1:30" ht="27" customHeight="1">
      <c r="A48" s="373"/>
      <c r="B48" s="319" t="s">
        <v>302</v>
      </c>
      <c r="C48" s="320"/>
      <c r="D48" s="320"/>
      <c r="E48" s="320"/>
      <c r="F48" s="320"/>
      <c r="G48" s="320"/>
      <c r="H48" s="321"/>
      <c r="I48" s="1"/>
      <c r="J48" s="145"/>
      <c r="K48" s="1"/>
      <c r="L48" s="1"/>
      <c r="M48" s="1"/>
      <c r="N48" s="1"/>
      <c r="O48" s="1"/>
      <c r="P48" s="1"/>
      <c r="Q48" s="1"/>
      <c r="R48" s="1"/>
      <c r="S48" s="1"/>
      <c r="T48" s="1"/>
      <c r="U48" s="1"/>
      <c r="V48" s="1"/>
      <c r="W48" s="1"/>
      <c r="X48" s="1"/>
      <c r="Y48" s="1"/>
      <c r="Z48" s="1"/>
      <c r="AA48" s="1"/>
      <c r="AB48" s="1"/>
      <c r="AC48" s="1"/>
      <c r="AD48" s="1"/>
    </row>
    <row r="49" spans="1:30" ht="15" customHeight="1">
      <c r="A49" s="289"/>
      <c r="B49" s="322"/>
      <c r="C49" s="107"/>
      <c r="D49" s="918" t="s">
        <v>163</v>
      </c>
      <c r="E49" s="918"/>
      <c r="F49" s="918"/>
      <c r="G49" s="918"/>
      <c r="H49" s="919"/>
      <c r="I49" s="2"/>
      <c r="J49" s="1"/>
      <c r="K49" s="1"/>
      <c r="L49" s="1"/>
      <c r="M49" s="1"/>
      <c r="N49" s="1"/>
      <c r="O49" s="1"/>
      <c r="P49" s="1"/>
      <c r="Q49" s="1"/>
      <c r="R49" s="1"/>
      <c r="S49" s="1"/>
      <c r="T49" s="1"/>
      <c r="U49" s="1"/>
      <c r="V49" s="1"/>
      <c r="W49" s="1"/>
      <c r="X49" s="1"/>
      <c r="Y49" s="1"/>
      <c r="Z49" s="1"/>
      <c r="AA49" s="1"/>
      <c r="AB49" s="1"/>
      <c r="AC49" s="1"/>
      <c r="AD49" s="1"/>
    </row>
    <row r="50" spans="1:30" ht="15" customHeight="1">
      <c r="A50" s="255"/>
      <c r="B50" s="323"/>
      <c r="C50" s="121" t="s">
        <v>1</v>
      </c>
      <c r="D50" s="108">
        <v>42369</v>
      </c>
      <c r="E50" s="108">
        <v>42735</v>
      </c>
      <c r="F50" s="108">
        <v>43100</v>
      </c>
      <c r="G50" s="108">
        <v>43465</v>
      </c>
      <c r="H50" s="256">
        <v>43830</v>
      </c>
      <c r="I50" s="145"/>
      <c r="J50" s="1"/>
      <c r="K50" s="1"/>
      <c r="L50" s="1"/>
      <c r="M50" s="1"/>
      <c r="N50" s="1"/>
      <c r="O50" s="1"/>
      <c r="P50" s="1"/>
      <c r="Q50" s="1"/>
      <c r="R50" s="1"/>
      <c r="S50" s="1"/>
      <c r="T50" s="1"/>
      <c r="U50" s="1"/>
      <c r="V50" s="1"/>
      <c r="W50" s="1"/>
      <c r="X50" s="1"/>
      <c r="Y50" s="1"/>
      <c r="Z50" s="1"/>
      <c r="AA50" s="1"/>
      <c r="AB50" s="1"/>
      <c r="AC50" s="1"/>
      <c r="AD50" s="1"/>
    </row>
    <row r="51" spans="1:30">
      <c r="A51" s="257"/>
      <c r="B51" s="325"/>
      <c r="C51" s="166"/>
      <c r="D51" s="172"/>
      <c r="E51" s="173"/>
      <c r="F51" s="173"/>
      <c r="G51" s="173"/>
      <c r="H51" s="326"/>
      <c r="I51" s="1"/>
      <c r="J51" s="1"/>
      <c r="K51" s="1"/>
      <c r="L51" s="1"/>
      <c r="M51" s="1"/>
      <c r="N51" s="1"/>
      <c r="O51" s="1"/>
      <c r="P51" s="1"/>
      <c r="Q51" s="1"/>
      <c r="R51" s="1"/>
      <c r="S51" s="1"/>
      <c r="T51" s="1"/>
      <c r="U51" s="1"/>
      <c r="V51" s="1"/>
      <c r="W51" s="1"/>
      <c r="X51" s="1"/>
      <c r="Y51" s="1"/>
      <c r="Z51" s="1"/>
      <c r="AA51" s="1"/>
      <c r="AB51" s="1"/>
      <c r="AC51" s="1"/>
      <c r="AD51" s="1"/>
    </row>
    <row r="52" spans="1:30">
      <c r="A52" s="257"/>
      <c r="B52" s="291" t="s">
        <v>343</v>
      </c>
      <c r="C52" s="166"/>
      <c r="D52" s="146">
        <f>SUM(D55:D56)</f>
        <v>4921</v>
      </c>
      <c r="E52" s="141">
        <f>SUM(E55:E56)</f>
        <v>4860</v>
      </c>
      <c r="F52" s="141">
        <f>SUM(F55:F56)</f>
        <v>5796</v>
      </c>
      <c r="G52" s="141">
        <f>SUM(G55:G56)</f>
        <v>6494</v>
      </c>
      <c r="H52" s="301">
        <f>SUM(H55:H56)</f>
        <v>7324</v>
      </c>
      <c r="I52" s="1"/>
      <c r="J52" s="1"/>
      <c r="K52" s="1"/>
      <c r="L52" s="1"/>
      <c r="M52" s="1"/>
      <c r="N52" s="1"/>
      <c r="O52" s="1"/>
      <c r="P52" s="1"/>
      <c r="Q52" s="1"/>
      <c r="R52" s="1"/>
      <c r="S52" s="1"/>
      <c r="T52" s="1"/>
      <c r="U52" s="1"/>
      <c r="V52" s="1"/>
      <c r="W52" s="1"/>
      <c r="X52" s="1"/>
      <c r="Y52" s="1"/>
      <c r="Z52" s="1"/>
      <c r="AA52" s="1"/>
      <c r="AB52" s="1"/>
      <c r="AC52" s="1"/>
      <c r="AD52" s="1"/>
    </row>
    <row r="53" spans="1:30" hidden="1" outlineLevel="1">
      <c r="A53" s="257"/>
      <c r="B53" s="175" t="s">
        <v>167</v>
      </c>
      <c r="C53" s="166"/>
      <c r="D53" s="147">
        <v>3947</v>
      </c>
      <c r="E53" s="139">
        <v>3734</v>
      </c>
      <c r="F53" s="139">
        <v>4633</v>
      </c>
      <c r="G53" s="139">
        <v>5268</v>
      </c>
      <c r="H53" s="293">
        <v>6046</v>
      </c>
      <c r="I53" s="1"/>
      <c r="J53" s="1"/>
      <c r="K53" s="1"/>
      <c r="L53" s="1"/>
      <c r="M53" s="1"/>
      <c r="N53" s="1"/>
      <c r="O53" s="1"/>
      <c r="P53" s="1"/>
      <c r="Q53" s="1"/>
      <c r="R53" s="1"/>
      <c r="S53" s="1"/>
      <c r="T53" s="1"/>
      <c r="U53" s="1"/>
      <c r="V53" s="1"/>
      <c r="W53" s="1"/>
      <c r="X53" s="1"/>
      <c r="Y53" s="1"/>
      <c r="Z53" s="1"/>
      <c r="AA53" s="1"/>
      <c r="AB53" s="1"/>
      <c r="AC53" s="1"/>
      <c r="AD53" s="1"/>
    </row>
    <row r="54" spans="1:30" hidden="1" outlineLevel="1">
      <c r="A54" s="257"/>
      <c r="B54" s="175" t="s">
        <v>169</v>
      </c>
      <c r="C54" s="166"/>
      <c r="D54" s="147">
        <v>785</v>
      </c>
      <c r="E54" s="139">
        <v>847</v>
      </c>
      <c r="F54" s="139">
        <v>957</v>
      </c>
      <c r="G54" s="139">
        <v>1003</v>
      </c>
      <c r="H54" s="293">
        <v>1076</v>
      </c>
      <c r="I54" s="1"/>
      <c r="J54" s="1"/>
      <c r="K54" s="1"/>
      <c r="L54" s="1"/>
      <c r="M54" s="1"/>
      <c r="N54" s="1"/>
      <c r="O54" s="1"/>
      <c r="P54" s="1"/>
      <c r="Q54" s="1"/>
      <c r="R54" s="1"/>
      <c r="S54" s="1"/>
      <c r="T54" s="1"/>
      <c r="U54" s="1"/>
      <c r="V54" s="1"/>
      <c r="W54" s="1"/>
      <c r="X54" s="1"/>
      <c r="Y54" s="1"/>
      <c r="Z54" s="1"/>
      <c r="AA54" s="1"/>
      <c r="AB54" s="1"/>
      <c r="AC54" s="1"/>
      <c r="AD54" s="1"/>
    </row>
    <row r="55" spans="1:30" hidden="1" outlineLevel="1">
      <c r="A55" s="257"/>
      <c r="B55" s="354" t="s">
        <v>171</v>
      </c>
      <c r="C55" s="166"/>
      <c r="D55" s="148">
        <f>SUM(D53:D54)</f>
        <v>4732</v>
      </c>
      <c r="E55" s="140">
        <f>SUM(E53:E54)</f>
        <v>4581</v>
      </c>
      <c r="F55" s="140">
        <f>SUM(F53:F54)</f>
        <v>5590</v>
      </c>
      <c r="G55" s="140">
        <f>SUM(G53:G54)</f>
        <v>6271</v>
      </c>
      <c r="H55" s="314">
        <f>SUM(H53:H54)</f>
        <v>7122</v>
      </c>
      <c r="I55" s="1"/>
      <c r="J55" s="1"/>
      <c r="K55" s="1"/>
      <c r="L55" s="1"/>
      <c r="M55" s="1"/>
      <c r="N55" s="1"/>
      <c r="O55" s="1"/>
      <c r="P55" s="1"/>
      <c r="Q55" s="1"/>
      <c r="R55" s="1"/>
      <c r="S55" s="1"/>
      <c r="T55" s="1"/>
      <c r="U55" s="1"/>
      <c r="V55" s="1"/>
      <c r="W55" s="1"/>
      <c r="X55" s="1"/>
      <c r="Y55" s="1"/>
      <c r="Z55" s="1"/>
      <c r="AA55" s="1"/>
      <c r="AB55" s="1"/>
      <c r="AC55" s="1"/>
      <c r="AD55" s="1"/>
    </row>
    <row r="56" spans="1:30" hidden="1" outlineLevel="1">
      <c r="A56" s="257"/>
      <c r="B56" s="175" t="s">
        <v>173</v>
      </c>
      <c r="C56" s="166"/>
      <c r="D56" s="147">
        <v>189</v>
      </c>
      <c r="E56" s="139">
        <v>279</v>
      </c>
      <c r="F56" s="139">
        <v>206</v>
      </c>
      <c r="G56" s="137">
        <v>223</v>
      </c>
      <c r="H56" s="293">
        <v>202</v>
      </c>
      <c r="I56" s="1"/>
      <c r="J56" s="1"/>
      <c r="K56" s="1"/>
      <c r="L56" s="1"/>
      <c r="M56" s="1"/>
      <c r="N56" s="1"/>
      <c r="O56" s="1"/>
      <c r="P56" s="1"/>
      <c r="Q56" s="1"/>
      <c r="R56" s="1"/>
      <c r="S56" s="1"/>
      <c r="T56" s="1"/>
      <c r="U56" s="1"/>
      <c r="V56" s="1"/>
      <c r="W56" s="1"/>
      <c r="X56" s="1"/>
      <c r="Y56" s="1"/>
      <c r="Z56" s="1"/>
      <c r="AA56" s="1"/>
      <c r="AB56" s="1"/>
      <c r="AC56" s="1"/>
      <c r="AD56" s="1"/>
    </row>
    <row r="57" spans="1:30" collapsed="1">
      <c r="A57" s="257"/>
      <c r="B57" s="175"/>
      <c r="C57" s="166"/>
      <c r="D57" s="147"/>
      <c r="E57" s="147"/>
      <c r="F57" s="139"/>
      <c r="G57" s="139"/>
      <c r="H57" s="293"/>
      <c r="I57" s="1"/>
      <c r="J57" s="1"/>
      <c r="K57" s="1"/>
      <c r="L57" s="1"/>
      <c r="M57" s="1"/>
      <c r="N57" s="1"/>
      <c r="O57" s="1"/>
      <c r="P57" s="1"/>
      <c r="Q57" s="1"/>
      <c r="R57" s="1"/>
      <c r="S57" s="1"/>
      <c r="T57" s="1"/>
      <c r="U57" s="1"/>
      <c r="V57" s="1"/>
      <c r="W57" s="1"/>
      <c r="X57" s="1"/>
      <c r="Y57" s="1"/>
      <c r="Z57" s="1"/>
      <c r="AA57" s="1"/>
      <c r="AB57" s="1"/>
      <c r="AC57" s="1"/>
      <c r="AD57" s="1"/>
    </row>
    <row r="58" spans="1:30">
      <c r="A58" s="257"/>
      <c r="B58" s="175" t="s">
        <v>177</v>
      </c>
      <c r="C58" s="166"/>
      <c r="D58" s="147">
        <v>-2286</v>
      </c>
      <c r="E58" s="147">
        <v>-2101</v>
      </c>
      <c r="F58" s="139">
        <v>-2831</v>
      </c>
      <c r="G58" s="139">
        <v>-3346</v>
      </c>
      <c r="H58" s="293">
        <v>-4004</v>
      </c>
      <c r="I58" s="1"/>
      <c r="J58" s="1"/>
      <c r="K58" s="1"/>
      <c r="L58" s="1"/>
      <c r="M58" s="1"/>
      <c r="N58" s="1"/>
      <c r="O58" s="1"/>
      <c r="P58" s="1"/>
      <c r="Q58" s="1"/>
      <c r="R58" s="1"/>
      <c r="S58" s="1"/>
      <c r="T58" s="1"/>
      <c r="U58" s="1"/>
      <c r="V58" s="1"/>
      <c r="W58" s="1"/>
      <c r="X58" s="1"/>
      <c r="Y58" s="1"/>
      <c r="Z58" s="1"/>
      <c r="AA58" s="1"/>
      <c r="AB58" s="1"/>
      <c r="AC58" s="1"/>
      <c r="AD58" s="1"/>
    </row>
    <row r="59" spans="1:30">
      <c r="A59" s="257"/>
      <c r="B59" s="175" t="s">
        <v>179</v>
      </c>
      <c r="C59" s="166"/>
      <c r="D59" s="147">
        <v>-706</v>
      </c>
      <c r="E59" s="147">
        <v>-758</v>
      </c>
      <c r="F59" s="139">
        <v>-850</v>
      </c>
      <c r="G59" s="139">
        <v>-986</v>
      </c>
      <c r="H59" s="293">
        <v>-1152</v>
      </c>
      <c r="I59" s="1"/>
      <c r="J59" s="1"/>
      <c r="K59" s="1"/>
      <c r="L59" s="1"/>
      <c r="M59" s="1"/>
      <c r="N59" s="1"/>
      <c r="O59" s="1"/>
      <c r="P59" s="1"/>
      <c r="Q59" s="1"/>
      <c r="R59" s="1"/>
      <c r="S59" s="1"/>
      <c r="T59" s="1"/>
      <c r="U59" s="1"/>
      <c r="V59" s="1"/>
      <c r="W59" s="1"/>
      <c r="X59" s="1"/>
      <c r="Y59" s="1"/>
      <c r="Z59" s="1"/>
      <c r="AA59" s="1"/>
      <c r="AB59" s="1"/>
      <c r="AC59" s="1"/>
      <c r="AD59" s="1"/>
    </row>
    <row r="60" spans="1:30">
      <c r="A60" s="257"/>
      <c r="B60" s="175" t="s">
        <v>183</v>
      </c>
      <c r="C60" s="166"/>
      <c r="D60" s="147">
        <v>-252</v>
      </c>
      <c r="E60" s="147">
        <v>-243</v>
      </c>
      <c r="F60" s="139">
        <v>-281</v>
      </c>
      <c r="G60" s="139">
        <v>-266</v>
      </c>
      <c r="H60" s="293">
        <v>-234</v>
      </c>
      <c r="I60" s="1"/>
      <c r="J60" s="1"/>
      <c r="K60" s="1"/>
      <c r="L60" s="1"/>
      <c r="M60" s="1"/>
      <c r="N60" s="1"/>
      <c r="O60" s="1"/>
      <c r="P60" s="1"/>
      <c r="Q60" s="1"/>
      <c r="R60" s="1"/>
      <c r="S60" s="1"/>
      <c r="T60" s="1"/>
      <c r="U60" s="1"/>
      <c r="V60" s="1"/>
      <c r="W60" s="1"/>
      <c r="X60" s="1"/>
      <c r="Y60" s="1"/>
      <c r="Z60" s="1"/>
      <c r="AA60" s="1"/>
      <c r="AB60" s="1"/>
      <c r="AC60" s="1"/>
      <c r="AD60" s="1"/>
    </row>
    <row r="61" spans="1:30">
      <c r="A61" s="257"/>
      <c r="B61" s="175" t="s">
        <v>333</v>
      </c>
      <c r="C61" s="166"/>
      <c r="D61" s="147">
        <f>-SUM(D66:D67)</f>
        <v>-629</v>
      </c>
      <c r="E61" s="147">
        <f>-SUM(E66:E67)</f>
        <v>-596</v>
      </c>
      <c r="F61" s="139">
        <f>-SUM(F66:F67)</f>
        <v>-635</v>
      </c>
      <c r="G61" s="139">
        <f>-SUM(G66:G67)</f>
        <v>-665</v>
      </c>
      <c r="H61" s="293">
        <f>-SUM(H66:H67)</f>
        <v>-700</v>
      </c>
      <c r="I61" s="1"/>
      <c r="J61" s="1"/>
      <c r="K61" s="1"/>
      <c r="L61" s="1"/>
      <c r="M61" s="1"/>
      <c r="N61" s="1"/>
      <c r="O61" s="1"/>
      <c r="P61" s="1"/>
      <c r="Q61" s="1"/>
      <c r="R61" s="1"/>
      <c r="S61" s="1"/>
      <c r="T61" s="1"/>
      <c r="U61" s="1"/>
      <c r="V61" s="1"/>
      <c r="W61" s="1"/>
      <c r="X61" s="1"/>
      <c r="Y61" s="1"/>
      <c r="Z61" s="1"/>
      <c r="AA61" s="1"/>
      <c r="AB61" s="1"/>
      <c r="AC61" s="1"/>
      <c r="AD61" s="1"/>
    </row>
    <row r="62" spans="1:30" hidden="1" outlineLevel="1">
      <c r="A62" s="257"/>
      <c r="B62" s="175" t="s">
        <v>187</v>
      </c>
      <c r="C62" s="166"/>
      <c r="D62" s="147">
        <v>441</v>
      </c>
      <c r="E62" s="147">
        <v>433</v>
      </c>
      <c r="F62" s="139">
        <v>471</v>
      </c>
      <c r="G62" s="139">
        <v>494</v>
      </c>
      <c r="H62" s="293">
        <v>527</v>
      </c>
      <c r="I62" s="1"/>
      <c r="J62" s="1"/>
      <c r="K62" s="1"/>
      <c r="L62" s="1"/>
      <c r="M62" s="1"/>
      <c r="N62" s="1"/>
      <c r="O62" s="1"/>
      <c r="P62" s="1"/>
      <c r="Q62" s="1"/>
      <c r="R62" s="1"/>
      <c r="S62" s="1"/>
      <c r="T62" s="1"/>
      <c r="U62" s="1"/>
      <c r="V62" s="1"/>
      <c r="W62" s="1"/>
      <c r="X62" s="1"/>
      <c r="Y62" s="1"/>
      <c r="Z62" s="1"/>
      <c r="AA62" s="1"/>
      <c r="AB62" s="1"/>
      <c r="AC62" s="1"/>
      <c r="AD62" s="1"/>
    </row>
    <row r="63" spans="1:30" hidden="1" outlineLevel="1">
      <c r="A63" s="257"/>
      <c r="B63" s="175" t="s">
        <v>189</v>
      </c>
      <c r="C63" s="166"/>
      <c r="D63" s="147">
        <v>163</v>
      </c>
      <c r="E63" s="147">
        <v>146</v>
      </c>
      <c r="F63" s="139">
        <v>160</v>
      </c>
      <c r="G63" s="139">
        <v>173</v>
      </c>
      <c r="H63" s="293">
        <v>179</v>
      </c>
      <c r="I63" s="1"/>
      <c r="J63" s="1"/>
      <c r="K63" s="1"/>
      <c r="L63" s="1"/>
      <c r="M63" s="1"/>
      <c r="N63" s="1"/>
      <c r="O63" s="1"/>
      <c r="P63" s="1"/>
      <c r="Q63" s="1"/>
      <c r="R63" s="1"/>
      <c r="S63" s="1"/>
      <c r="T63" s="1"/>
      <c r="U63" s="1"/>
      <c r="V63" s="1"/>
      <c r="W63" s="1"/>
      <c r="X63" s="1"/>
      <c r="Y63" s="1"/>
      <c r="Z63" s="1"/>
      <c r="AA63" s="1"/>
      <c r="AB63" s="1"/>
      <c r="AC63" s="1"/>
      <c r="AD63" s="1"/>
    </row>
    <row r="64" spans="1:30" hidden="1" outlineLevel="1">
      <c r="A64" s="257"/>
      <c r="B64" s="175" t="s">
        <v>191</v>
      </c>
      <c r="C64" s="166"/>
      <c r="D64" s="147">
        <v>25</v>
      </c>
      <c r="E64" s="147">
        <v>26</v>
      </c>
      <c r="F64" s="139">
        <v>29</v>
      </c>
      <c r="G64" s="139">
        <v>31</v>
      </c>
      <c r="H64" s="293">
        <v>31</v>
      </c>
      <c r="I64" s="1"/>
      <c r="J64" s="1"/>
      <c r="K64" s="1"/>
      <c r="L64" s="1"/>
      <c r="M64" s="1"/>
      <c r="N64" s="1"/>
      <c r="O64" s="1"/>
      <c r="P64" s="1"/>
      <c r="Q64" s="1"/>
      <c r="R64" s="1"/>
      <c r="S64" s="1"/>
      <c r="T64" s="1"/>
      <c r="U64" s="1"/>
      <c r="V64" s="1"/>
      <c r="W64" s="1"/>
      <c r="X64" s="1"/>
      <c r="Y64" s="1"/>
      <c r="Z64" s="1"/>
      <c r="AA64" s="1"/>
      <c r="AB64" s="1"/>
      <c r="AC64" s="1"/>
      <c r="AD64" s="1"/>
    </row>
    <row r="65" spans="1:30" hidden="1" outlineLevel="1">
      <c r="A65" s="257"/>
      <c r="B65" s="175" t="s">
        <v>192</v>
      </c>
      <c r="C65" s="166"/>
      <c r="D65" s="147">
        <v>27</v>
      </c>
      <c r="E65" s="147">
        <v>36</v>
      </c>
      <c r="F65" s="139">
        <v>27</v>
      </c>
      <c r="G65" s="139">
        <v>33</v>
      </c>
      <c r="H65" s="293">
        <v>42</v>
      </c>
      <c r="I65" s="1"/>
      <c r="J65" s="1"/>
      <c r="K65" s="1"/>
      <c r="L65" s="1"/>
      <c r="M65" s="1"/>
      <c r="N65" s="1"/>
      <c r="O65" s="1"/>
      <c r="P65" s="1"/>
      <c r="Q65" s="1"/>
      <c r="R65" s="1"/>
      <c r="S65" s="1"/>
      <c r="T65" s="1"/>
      <c r="U65" s="1"/>
      <c r="V65" s="1"/>
      <c r="W65" s="1"/>
      <c r="X65" s="1"/>
      <c r="Y65" s="1"/>
      <c r="Z65" s="1"/>
      <c r="AA65" s="1"/>
      <c r="AB65" s="1"/>
      <c r="AC65" s="1"/>
      <c r="AD65" s="1"/>
    </row>
    <row r="66" spans="1:30" hidden="1" outlineLevel="1">
      <c r="A66" s="257"/>
      <c r="B66" s="354" t="s">
        <v>194</v>
      </c>
      <c r="C66" s="166"/>
      <c r="D66" s="148">
        <f>SUM(D62:D65)</f>
        <v>656</v>
      </c>
      <c r="E66" s="148">
        <f>SUM(E62:E65)</f>
        <v>641</v>
      </c>
      <c r="F66" s="140">
        <f>SUM(F62:F65)</f>
        <v>687</v>
      </c>
      <c r="G66" s="140">
        <f t="shared" ref="G66" si="0">SUM(G62:G65)</f>
        <v>731</v>
      </c>
      <c r="H66" s="314">
        <f>SUM(H62:H65)</f>
        <v>779</v>
      </c>
      <c r="I66" s="1"/>
      <c r="J66" s="1"/>
      <c r="K66" s="1"/>
      <c r="L66" s="1"/>
      <c r="M66" s="1"/>
      <c r="N66" s="1"/>
      <c r="O66" s="1"/>
      <c r="P66" s="1"/>
      <c r="Q66" s="1"/>
      <c r="R66" s="1"/>
      <c r="S66" s="1"/>
      <c r="T66" s="1"/>
      <c r="U66" s="1"/>
      <c r="V66" s="1"/>
      <c r="W66" s="1"/>
      <c r="X66" s="1"/>
      <c r="Y66" s="1"/>
      <c r="Z66" s="1"/>
      <c r="AA66" s="1"/>
      <c r="AB66" s="1"/>
      <c r="AC66" s="1"/>
      <c r="AD66" s="1"/>
    </row>
    <row r="67" spans="1:30" hidden="1" outlineLevel="1">
      <c r="A67" s="257"/>
      <c r="B67" s="175" t="s">
        <v>196</v>
      </c>
      <c r="C67" s="166"/>
      <c r="D67" s="147">
        <v>-27</v>
      </c>
      <c r="E67" s="147">
        <v>-45</v>
      </c>
      <c r="F67" s="139">
        <v>-52</v>
      </c>
      <c r="G67" s="139">
        <v>-66</v>
      </c>
      <c r="H67" s="293">
        <v>-79</v>
      </c>
      <c r="I67" s="1"/>
      <c r="J67" s="1"/>
      <c r="K67" s="1"/>
      <c r="L67" s="1"/>
      <c r="M67" s="1"/>
      <c r="N67" s="1"/>
      <c r="O67" s="1"/>
      <c r="P67" s="1"/>
      <c r="Q67" s="1"/>
      <c r="R67" s="1"/>
      <c r="S67" s="1"/>
      <c r="T67" s="1"/>
      <c r="U67" s="1"/>
      <c r="V67" s="1"/>
      <c r="W67" s="1"/>
      <c r="X67" s="1"/>
      <c r="Y67" s="1"/>
      <c r="Z67" s="1"/>
      <c r="AA67" s="1"/>
      <c r="AB67" s="1"/>
      <c r="AC67" s="1"/>
      <c r="AD67" s="1"/>
    </row>
    <row r="68" spans="1:30" collapsed="1">
      <c r="A68" s="257"/>
      <c r="B68" s="355" t="s">
        <v>342</v>
      </c>
      <c r="C68" s="169"/>
      <c r="D68" s="155">
        <f>SUM(D58:D61)</f>
        <v>-3873</v>
      </c>
      <c r="E68" s="155">
        <f>SUM(E58:E61)</f>
        <v>-3698</v>
      </c>
      <c r="F68" s="156">
        <f>SUM(F58:F61)</f>
        <v>-4597</v>
      </c>
      <c r="G68" s="156">
        <f>SUM(G58:G61)</f>
        <v>-5263</v>
      </c>
      <c r="H68" s="299">
        <f>SUM(H58:H61)</f>
        <v>-6090</v>
      </c>
      <c r="I68" s="1"/>
      <c r="J68" s="1"/>
      <c r="K68" s="1"/>
      <c r="L68" s="1"/>
      <c r="M68" s="1"/>
      <c r="N68" s="1"/>
      <c r="O68" s="1"/>
      <c r="P68" s="1"/>
      <c r="Q68" s="1"/>
      <c r="R68" s="1"/>
      <c r="S68" s="1"/>
      <c r="T68" s="1"/>
      <c r="U68" s="1"/>
      <c r="V68" s="1"/>
      <c r="W68" s="1"/>
      <c r="X68" s="1"/>
      <c r="Y68" s="1"/>
      <c r="Z68" s="1"/>
      <c r="AA68" s="1"/>
      <c r="AB68" s="1"/>
      <c r="AC68" s="1"/>
      <c r="AD68" s="1"/>
    </row>
    <row r="69" spans="1:30">
      <c r="A69" s="257"/>
      <c r="B69" s="291"/>
      <c r="C69" s="166"/>
      <c r="D69" s="147"/>
      <c r="E69" s="147"/>
      <c r="F69" s="139"/>
      <c r="G69" s="139"/>
      <c r="H69" s="293"/>
      <c r="I69" s="1"/>
      <c r="J69" s="1"/>
      <c r="K69" s="1"/>
      <c r="L69" s="1"/>
      <c r="M69" s="1"/>
      <c r="N69" s="1"/>
      <c r="O69" s="1"/>
      <c r="P69" s="1"/>
      <c r="Q69" s="1"/>
      <c r="R69" s="1"/>
      <c r="S69" s="1"/>
      <c r="T69" s="1"/>
      <c r="U69" s="1"/>
      <c r="V69" s="1"/>
      <c r="W69" s="1"/>
      <c r="X69" s="1"/>
      <c r="Y69" s="1"/>
      <c r="Z69" s="1"/>
      <c r="AA69" s="1"/>
      <c r="AB69" s="1"/>
      <c r="AC69" s="1"/>
      <c r="AD69" s="1"/>
    </row>
    <row r="70" spans="1:30">
      <c r="A70" s="257"/>
      <c r="B70" s="327" t="s">
        <v>306</v>
      </c>
      <c r="C70" s="170"/>
      <c r="D70" s="152">
        <f>SUM(D52,D68)</f>
        <v>1048</v>
      </c>
      <c r="E70" s="152">
        <f>SUM(E52,E68)</f>
        <v>1162</v>
      </c>
      <c r="F70" s="142">
        <f>SUM(F52,F68)</f>
        <v>1199</v>
      </c>
      <c r="G70" s="142">
        <f>SUM(G52,G68)</f>
        <v>1231</v>
      </c>
      <c r="H70" s="296">
        <f>SUM(H52,H68)</f>
        <v>1234</v>
      </c>
      <c r="I70" s="1"/>
      <c r="J70" s="1"/>
      <c r="K70" s="1"/>
      <c r="L70" s="1"/>
      <c r="M70" s="1"/>
      <c r="N70" s="1"/>
      <c r="O70" s="1"/>
      <c r="P70" s="1"/>
      <c r="Q70" s="1"/>
      <c r="R70" s="1"/>
      <c r="S70" s="1"/>
      <c r="T70" s="1"/>
      <c r="U70" s="1"/>
      <c r="V70" s="1"/>
      <c r="W70" s="1"/>
      <c r="X70" s="1"/>
      <c r="Y70" s="1"/>
      <c r="Z70" s="1"/>
      <c r="AA70" s="1"/>
      <c r="AB70" s="1"/>
      <c r="AC70" s="1"/>
      <c r="AD70" s="1"/>
    </row>
    <row r="71" spans="1:30">
      <c r="A71" s="257"/>
      <c r="B71" s="175"/>
      <c r="C71" s="166"/>
      <c r="D71" s="238"/>
      <c r="E71" s="238"/>
      <c r="F71" s="143"/>
      <c r="G71" s="143"/>
      <c r="H71" s="357"/>
      <c r="I71" s="1"/>
      <c r="J71" s="1"/>
      <c r="K71" s="1"/>
      <c r="L71" s="1"/>
      <c r="M71" s="1"/>
      <c r="N71" s="1"/>
      <c r="O71" s="1"/>
      <c r="P71" s="1"/>
      <c r="Q71" s="1"/>
      <c r="R71" s="1"/>
      <c r="S71" s="1"/>
      <c r="T71" s="1"/>
      <c r="U71" s="1"/>
      <c r="V71" s="1"/>
      <c r="W71" s="1"/>
      <c r="X71" s="1"/>
      <c r="Y71" s="1"/>
      <c r="Z71" s="1"/>
      <c r="AA71" s="1"/>
      <c r="AB71" s="1"/>
      <c r="AC71" s="1"/>
      <c r="AD71" s="1"/>
    </row>
    <row r="72" spans="1:30">
      <c r="A72" s="257"/>
      <c r="B72" s="175" t="s">
        <v>334</v>
      </c>
      <c r="C72" s="166"/>
      <c r="D72" s="147">
        <f>-SUM(D73:D75)</f>
        <v>-754</v>
      </c>
      <c r="E72" s="147">
        <f t="shared" ref="E72:H72" si="1">-SUM(E73:E75)</f>
        <v>-648</v>
      </c>
      <c r="F72" s="139">
        <f t="shared" si="1"/>
        <v>-444</v>
      </c>
      <c r="G72" s="139">
        <f t="shared" si="1"/>
        <v>-623</v>
      </c>
      <c r="H72" s="293">
        <f t="shared" si="1"/>
        <v>-511</v>
      </c>
      <c r="I72" s="1"/>
      <c r="J72" s="1"/>
      <c r="K72" s="1"/>
      <c r="L72" s="1"/>
      <c r="M72" s="1"/>
      <c r="N72" s="1"/>
      <c r="O72" s="1"/>
      <c r="P72" s="1"/>
      <c r="Q72" s="1"/>
      <c r="R72" s="1"/>
      <c r="S72" s="1"/>
      <c r="T72" s="1"/>
      <c r="U72" s="1"/>
      <c r="V72" s="1"/>
      <c r="W72" s="1"/>
      <c r="X72" s="1"/>
      <c r="Y72" s="1"/>
      <c r="Z72" s="1"/>
      <c r="AA72" s="1"/>
      <c r="AB72" s="1"/>
      <c r="AC72" s="1"/>
      <c r="AD72" s="1"/>
    </row>
    <row r="73" spans="1:30" hidden="1" outlineLevel="1">
      <c r="A73" s="257"/>
      <c r="B73" s="175" t="s">
        <v>202</v>
      </c>
      <c r="C73" s="166"/>
      <c r="D73" s="147">
        <v>54</v>
      </c>
      <c r="E73" s="147">
        <v>55</v>
      </c>
      <c r="F73" s="139">
        <v>72</v>
      </c>
      <c r="G73" s="139">
        <v>91</v>
      </c>
      <c r="H73" s="293">
        <v>123</v>
      </c>
      <c r="I73" s="1"/>
      <c r="J73" s="1"/>
      <c r="K73" s="1"/>
      <c r="L73" s="1"/>
      <c r="M73" s="1"/>
      <c r="N73" s="1"/>
      <c r="O73" s="1"/>
      <c r="P73" s="1"/>
      <c r="Q73" s="1"/>
      <c r="R73" s="1"/>
      <c r="S73" s="1"/>
      <c r="T73" s="1"/>
      <c r="U73" s="1"/>
      <c r="V73" s="1"/>
      <c r="W73" s="1"/>
      <c r="X73" s="1"/>
      <c r="Y73" s="1"/>
      <c r="Z73" s="1"/>
      <c r="AA73" s="1"/>
      <c r="AB73" s="1"/>
      <c r="AC73" s="1"/>
      <c r="AD73" s="1"/>
    </row>
    <row r="74" spans="1:30" hidden="1" outlineLevel="1">
      <c r="A74" s="257"/>
      <c r="B74" s="175" t="s">
        <v>204</v>
      </c>
      <c r="C74" s="166"/>
      <c r="D74" s="147">
        <v>341</v>
      </c>
      <c r="E74" s="147">
        <v>348</v>
      </c>
      <c r="F74" s="139">
        <v>338</v>
      </c>
      <c r="G74" s="139">
        <v>372</v>
      </c>
      <c r="H74" s="293">
        <v>379</v>
      </c>
      <c r="I74" s="1"/>
      <c r="J74" s="1"/>
      <c r="K74" s="1"/>
      <c r="L74" s="1"/>
      <c r="M74" s="1"/>
      <c r="N74" s="1"/>
      <c r="O74" s="1"/>
      <c r="P74" s="1"/>
      <c r="Q74" s="1"/>
      <c r="R74" s="1"/>
      <c r="S74" s="1"/>
      <c r="T74" s="1"/>
      <c r="U74" s="1"/>
      <c r="V74" s="1"/>
      <c r="W74" s="1"/>
      <c r="X74" s="1"/>
      <c r="Y74" s="1"/>
      <c r="Z74" s="1"/>
      <c r="AA74" s="1"/>
      <c r="AB74" s="1"/>
      <c r="AC74" s="1"/>
      <c r="AD74" s="1"/>
    </row>
    <row r="75" spans="1:30" hidden="1" outlineLevel="1">
      <c r="A75" s="291"/>
      <c r="B75" s="175" t="s">
        <v>206</v>
      </c>
      <c r="C75" s="166"/>
      <c r="D75" s="147">
        <v>359</v>
      </c>
      <c r="E75" s="147">
        <v>245</v>
      </c>
      <c r="F75" s="139">
        <v>34</v>
      </c>
      <c r="G75" s="139">
        <v>160</v>
      </c>
      <c r="H75" s="293">
        <v>9</v>
      </c>
      <c r="I75" s="1"/>
      <c r="J75" s="1"/>
      <c r="K75" s="1"/>
      <c r="L75" s="1"/>
      <c r="M75" s="1"/>
      <c r="N75" s="1"/>
      <c r="O75" s="1"/>
      <c r="P75" s="1"/>
      <c r="Q75" s="1"/>
      <c r="R75" s="1"/>
      <c r="S75" s="1"/>
      <c r="T75" s="1"/>
      <c r="U75" s="1"/>
      <c r="V75" s="1"/>
      <c r="W75" s="1"/>
      <c r="X75" s="1"/>
      <c r="Y75" s="1"/>
      <c r="Z75" s="1"/>
      <c r="AA75" s="1"/>
      <c r="AB75" s="1"/>
      <c r="AC75" s="1"/>
      <c r="AD75" s="1"/>
    </row>
    <row r="76" spans="1:30" collapsed="1">
      <c r="A76" s="291"/>
      <c r="B76" s="175" t="s">
        <v>456</v>
      </c>
      <c r="C76" s="166"/>
      <c r="D76" s="148">
        <f>-SUM(D77:D78)</f>
        <v>-79</v>
      </c>
      <c r="E76" s="148">
        <f t="shared" ref="E76:H76" si="2">-SUM(E77:E78)</f>
        <v>-71</v>
      </c>
      <c r="F76" s="140">
        <f t="shared" si="2"/>
        <v>-45</v>
      </c>
      <c r="G76" s="140">
        <f t="shared" si="2"/>
        <v>-20</v>
      </c>
      <c r="H76" s="314">
        <f t="shared" si="2"/>
        <v>-36</v>
      </c>
      <c r="I76" s="1"/>
      <c r="J76" s="1"/>
      <c r="K76" s="1"/>
      <c r="L76" s="1"/>
      <c r="M76" s="1"/>
      <c r="N76" s="1"/>
      <c r="O76" s="1"/>
      <c r="P76" s="1"/>
      <c r="Q76" s="1"/>
      <c r="R76" s="1"/>
      <c r="S76" s="1"/>
      <c r="T76" s="1"/>
      <c r="U76" s="1"/>
      <c r="V76" s="1"/>
      <c r="W76" s="1"/>
      <c r="X76" s="1"/>
      <c r="Y76" s="1"/>
      <c r="Z76" s="1"/>
      <c r="AA76" s="1"/>
      <c r="AB76" s="1"/>
      <c r="AC76" s="1"/>
      <c r="AD76" s="1"/>
    </row>
    <row r="77" spans="1:30" hidden="1" outlineLevel="1">
      <c r="A77" s="257"/>
      <c r="B77" s="175" t="s">
        <v>210</v>
      </c>
      <c r="C77" s="166"/>
      <c r="D77" s="147">
        <v>57</v>
      </c>
      <c r="E77" s="147">
        <v>50</v>
      </c>
      <c r="F77" s="139">
        <v>10</v>
      </c>
      <c r="G77" s="139">
        <v>-5</v>
      </c>
      <c r="H77" s="293">
        <v>21</v>
      </c>
      <c r="I77" s="1"/>
      <c r="J77" s="1"/>
      <c r="K77" s="1"/>
      <c r="L77" s="1"/>
      <c r="M77" s="1"/>
      <c r="N77" s="1"/>
      <c r="O77" s="1"/>
      <c r="P77" s="1"/>
      <c r="Q77" s="1"/>
      <c r="R77" s="1"/>
      <c r="S77" s="1"/>
      <c r="T77" s="1"/>
      <c r="U77" s="1"/>
      <c r="V77" s="1"/>
      <c r="W77" s="1"/>
      <c r="X77" s="1"/>
      <c r="Y77" s="1"/>
      <c r="Z77" s="1"/>
      <c r="AA77" s="1"/>
      <c r="AB77" s="1"/>
      <c r="AC77" s="1"/>
      <c r="AD77" s="1"/>
    </row>
    <row r="78" spans="1:30" ht="28.8" hidden="1" outlineLevel="1">
      <c r="A78" s="257"/>
      <c r="B78" s="358" t="s">
        <v>212</v>
      </c>
      <c r="C78" s="166"/>
      <c r="D78" s="147">
        <v>22</v>
      </c>
      <c r="E78" s="147">
        <v>21</v>
      </c>
      <c r="F78" s="139">
        <v>35</v>
      </c>
      <c r="G78" s="139">
        <v>25</v>
      </c>
      <c r="H78" s="293">
        <v>15</v>
      </c>
      <c r="I78" s="1"/>
      <c r="J78" s="1"/>
      <c r="K78" s="1"/>
      <c r="L78" s="1"/>
      <c r="M78" s="1"/>
      <c r="N78" s="1"/>
      <c r="O78" s="1"/>
      <c r="P78" s="1"/>
      <c r="Q78" s="1"/>
      <c r="R78" s="1"/>
      <c r="S78" s="1"/>
      <c r="T78" s="1"/>
      <c r="U78" s="1"/>
      <c r="V78" s="1"/>
      <c r="W78" s="1"/>
      <c r="X78" s="1"/>
      <c r="Y78" s="1"/>
      <c r="Z78" s="1"/>
      <c r="AA78" s="1"/>
      <c r="AB78" s="1"/>
      <c r="AC78" s="1"/>
      <c r="AD78" s="1"/>
    </row>
    <row r="79" spans="1:30" collapsed="1">
      <c r="A79" s="257"/>
      <c r="B79" s="291"/>
      <c r="C79" s="166"/>
      <c r="D79" s="146"/>
      <c r="E79" s="147"/>
      <c r="F79" s="141"/>
      <c r="G79" s="141"/>
      <c r="H79" s="301"/>
      <c r="I79" s="1"/>
      <c r="J79" s="1"/>
      <c r="K79" s="1"/>
      <c r="L79" s="1"/>
      <c r="M79" s="1"/>
      <c r="N79" s="1"/>
      <c r="O79" s="1"/>
      <c r="P79" s="1"/>
      <c r="Q79" s="1"/>
      <c r="R79" s="1"/>
      <c r="S79" s="1"/>
      <c r="T79" s="1"/>
      <c r="U79" s="1"/>
      <c r="V79" s="1"/>
      <c r="W79" s="1"/>
      <c r="X79" s="1"/>
      <c r="Y79" s="1"/>
      <c r="Z79" s="1"/>
      <c r="AA79" s="1"/>
      <c r="AB79" s="1"/>
      <c r="AC79" s="1"/>
      <c r="AD79" s="1"/>
    </row>
    <row r="80" spans="1:30">
      <c r="A80" s="257"/>
      <c r="B80" s="327" t="s">
        <v>303</v>
      </c>
      <c r="C80" s="170"/>
      <c r="D80" s="152">
        <f>SUM(D70,D72,D76)</f>
        <v>215</v>
      </c>
      <c r="E80" s="152">
        <f>SUM(E70,E72,E76)</f>
        <v>443</v>
      </c>
      <c r="F80" s="142">
        <f>SUM(F70,F72,F76)</f>
        <v>710</v>
      </c>
      <c r="G80" s="142">
        <f>SUM(G70,G72,G76)</f>
        <v>588</v>
      </c>
      <c r="H80" s="296">
        <f>SUM(H70,H72,H76)</f>
        <v>687</v>
      </c>
      <c r="I80" s="1"/>
      <c r="J80" s="1"/>
      <c r="K80" s="1"/>
      <c r="L80" s="1"/>
      <c r="M80" s="1"/>
      <c r="N80" s="1"/>
      <c r="O80" s="1"/>
      <c r="P80" s="1"/>
      <c r="Q80" s="1"/>
      <c r="R80" s="1"/>
      <c r="S80" s="1"/>
      <c r="T80" s="1"/>
      <c r="U80" s="1"/>
      <c r="V80" s="1"/>
      <c r="W80" s="1"/>
      <c r="X80" s="1"/>
      <c r="Y80" s="1"/>
      <c r="Z80" s="1"/>
      <c r="AA80" s="1"/>
      <c r="AB80" s="1"/>
      <c r="AC80" s="1"/>
      <c r="AD80" s="1"/>
    </row>
    <row r="81" spans="1:30" ht="15" customHeight="1">
      <c r="A81" s="257"/>
      <c r="B81" s="291"/>
      <c r="C81" s="166"/>
      <c r="D81" s="146"/>
      <c r="E81" s="147"/>
      <c r="F81" s="141"/>
      <c r="G81" s="141"/>
      <c r="H81" s="301"/>
      <c r="I81" s="1"/>
      <c r="J81" s="1"/>
      <c r="K81" s="1"/>
      <c r="L81" s="1"/>
      <c r="M81" s="1"/>
      <c r="N81" s="1"/>
      <c r="O81" s="1"/>
      <c r="P81" s="1"/>
      <c r="Q81" s="1"/>
      <c r="R81" s="1"/>
      <c r="S81" s="1"/>
      <c r="T81" s="1"/>
      <c r="U81" s="1"/>
      <c r="V81" s="1"/>
      <c r="W81" s="1"/>
      <c r="X81" s="1"/>
      <c r="Y81" s="1"/>
      <c r="Z81" s="1"/>
      <c r="AA81" s="1"/>
      <c r="AB81" s="1"/>
      <c r="AC81" s="1"/>
      <c r="AD81" s="1"/>
    </row>
    <row r="82" spans="1:30">
      <c r="A82" s="257"/>
      <c r="B82" s="175" t="s">
        <v>217</v>
      </c>
      <c r="C82" s="166"/>
      <c r="D82" s="147">
        <v>1</v>
      </c>
      <c r="E82" s="147">
        <v>52</v>
      </c>
      <c r="F82" s="139">
        <v>0</v>
      </c>
      <c r="G82" s="139">
        <v>14</v>
      </c>
      <c r="H82" s="293">
        <v>4</v>
      </c>
      <c r="I82" s="1"/>
      <c r="J82" s="1"/>
      <c r="K82" s="1"/>
      <c r="L82" s="1"/>
      <c r="M82" s="1"/>
      <c r="N82" s="1"/>
      <c r="O82" s="1"/>
      <c r="P82" s="1"/>
      <c r="Q82" s="1"/>
      <c r="R82" s="1"/>
      <c r="S82" s="1"/>
      <c r="T82" s="1"/>
      <c r="U82" s="1"/>
      <c r="V82" s="1"/>
      <c r="W82" s="1"/>
      <c r="X82" s="1"/>
      <c r="Y82" s="1"/>
      <c r="Z82" s="1"/>
      <c r="AA82" s="1"/>
      <c r="AB82" s="1"/>
      <c r="AC82" s="1"/>
      <c r="AD82" s="1"/>
    </row>
    <row r="83" spans="1:30">
      <c r="A83" s="175"/>
      <c r="B83" s="175" t="s">
        <v>219</v>
      </c>
      <c r="C83" s="166"/>
      <c r="D83" s="147">
        <f>SUM(D87,-D96,D97)</f>
        <v>-138</v>
      </c>
      <c r="E83" s="147">
        <f t="shared" ref="E83:H83" si="3">SUM(E87,-E96,E97)</f>
        <v>-161</v>
      </c>
      <c r="F83" s="139">
        <f t="shared" si="3"/>
        <v>-134</v>
      </c>
      <c r="G83" s="139">
        <f t="shared" si="3"/>
        <v>-112</v>
      </c>
      <c r="H83" s="293">
        <f t="shared" si="3"/>
        <v>-110</v>
      </c>
      <c r="I83" s="1"/>
      <c r="J83" s="1"/>
      <c r="K83" s="1"/>
      <c r="L83" s="1"/>
      <c r="M83" s="1"/>
      <c r="N83" s="1"/>
      <c r="O83" s="1"/>
      <c r="P83" s="1"/>
      <c r="Q83" s="1"/>
      <c r="R83" s="1"/>
      <c r="S83" s="1"/>
      <c r="T83" s="1"/>
      <c r="U83" s="1"/>
      <c r="V83" s="1"/>
      <c r="W83" s="1"/>
      <c r="X83" s="1"/>
      <c r="Y83" s="1"/>
      <c r="Z83" s="1"/>
      <c r="AA83" s="1"/>
      <c r="AB83" s="1"/>
      <c r="AC83" s="1"/>
      <c r="AD83" s="1"/>
    </row>
    <row r="84" spans="1:30" hidden="1" outlineLevel="1">
      <c r="A84" s="257"/>
      <c r="B84" s="175" t="s">
        <v>221</v>
      </c>
      <c r="C84" s="166"/>
      <c r="D84" s="147"/>
      <c r="E84" s="147"/>
      <c r="F84" s="139"/>
      <c r="G84" s="139"/>
      <c r="H84" s="293"/>
      <c r="I84" s="1"/>
      <c r="J84" s="1"/>
      <c r="K84" s="1"/>
      <c r="L84" s="1"/>
      <c r="M84" s="1"/>
      <c r="N84" s="1"/>
      <c r="O84" s="1"/>
      <c r="P84" s="1"/>
      <c r="Q84" s="1"/>
      <c r="R84" s="1"/>
      <c r="S84" s="1"/>
      <c r="T84" s="1"/>
      <c r="U84" s="1"/>
      <c r="V84" s="1"/>
      <c r="W84" s="1"/>
      <c r="X84" s="1"/>
      <c r="Y84" s="1"/>
      <c r="Z84" s="1"/>
      <c r="AA84" s="1"/>
      <c r="AB84" s="1"/>
      <c r="AC84" s="1"/>
      <c r="AD84" s="1"/>
    </row>
    <row r="85" spans="1:30" hidden="1" outlineLevel="1">
      <c r="A85" s="257"/>
      <c r="B85" s="175" t="s">
        <v>223</v>
      </c>
      <c r="C85" s="166"/>
      <c r="D85" s="147"/>
      <c r="E85" s="147"/>
      <c r="F85" s="139"/>
      <c r="G85" s="139">
        <v>0</v>
      </c>
      <c r="H85" s="293">
        <v>4</v>
      </c>
      <c r="I85" s="1"/>
      <c r="J85" s="1"/>
      <c r="K85" s="1"/>
      <c r="L85" s="1"/>
      <c r="M85" s="1"/>
      <c r="N85" s="1"/>
      <c r="O85" s="1"/>
      <c r="P85" s="1"/>
      <c r="Q85" s="1"/>
      <c r="R85" s="1"/>
      <c r="S85" s="1"/>
      <c r="T85" s="1"/>
      <c r="U85" s="1"/>
      <c r="V85" s="1"/>
      <c r="W85" s="1"/>
      <c r="X85" s="1"/>
      <c r="Y85" s="1"/>
      <c r="Z85" s="1"/>
      <c r="AA85" s="1"/>
      <c r="AB85" s="1"/>
      <c r="AC85" s="1"/>
      <c r="AD85" s="1"/>
    </row>
    <row r="86" spans="1:30" hidden="1" outlineLevel="1">
      <c r="A86" s="374"/>
      <c r="B86" s="175" t="s">
        <v>224</v>
      </c>
      <c r="C86" s="166"/>
      <c r="D86" s="147"/>
      <c r="E86" s="147"/>
      <c r="F86" s="139"/>
      <c r="G86" s="139">
        <v>16</v>
      </c>
      <c r="H86" s="293">
        <v>12</v>
      </c>
      <c r="I86" s="1"/>
      <c r="J86" s="1"/>
      <c r="K86" s="1"/>
      <c r="L86" s="1"/>
      <c r="M86" s="1"/>
      <c r="N86" s="1"/>
      <c r="O86" s="1"/>
      <c r="P86" s="1"/>
      <c r="Q86" s="1"/>
      <c r="R86" s="1"/>
      <c r="S86" s="1"/>
      <c r="T86" s="1"/>
      <c r="U86" s="1"/>
      <c r="V86" s="1"/>
      <c r="W86" s="1"/>
      <c r="X86" s="1"/>
      <c r="Y86" s="1"/>
      <c r="Z86" s="1"/>
      <c r="AA86" s="1"/>
      <c r="AB86" s="1"/>
      <c r="AC86" s="1"/>
      <c r="AD86" s="1"/>
    </row>
    <row r="87" spans="1:30" hidden="1" outlineLevel="1">
      <c r="A87" s="257"/>
      <c r="B87" s="175" t="s">
        <v>225</v>
      </c>
      <c r="C87" s="166"/>
      <c r="D87" s="147">
        <v>28</v>
      </c>
      <c r="E87" s="147">
        <v>34</v>
      </c>
      <c r="F87" s="139">
        <v>19</v>
      </c>
      <c r="G87" s="139">
        <f t="shared" ref="G87" si="4">SUM(G85:G86)</f>
        <v>16</v>
      </c>
      <c r="H87" s="293">
        <f>SUM(H85:H86)</f>
        <v>16</v>
      </c>
      <c r="I87" s="1"/>
      <c r="J87" s="1"/>
      <c r="K87" s="1"/>
      <c r="L87" s="1"/>
      <c r="M87" s="1"/>
      <c r="N87" s="1"/>
      <c r="O87" s="1"/>
      <c r="P87" s="1"/>
      <c r="Q87" s="1"/>
      <c r="R87" s="1"/>
      <c r="S87" s="1"/>
      <c r="T87" s="1"/>
      <c r="U87" s="1"/>
      <c r="V87" s="1"/>
      <c r="W87" s="1"/>
      <c r="X87" s="1"/>
      <c r="Y87" s="1"/>
      <c r="Z87" s="1"/>
      <c r="AA87" s="1"/>
      <c r="AB87" s="1"/>
      <c r="AC87" s="1"/>
      <c r="AD87" s="1"/>
    </row>
    <row r="88" spans="1:30" hidden="1" outlineLevel="1">
      <c r="A88" s="175"/>
      <c r="B88" s="175" t="s">
        <v>226</v>
      </c>
      <c r="C88" s="166"/>
      <c r="D88" s="147"/>
      <c r="E88" s="147"/>
      <c r="F88" s="139"/>
      <c r="G88" s="139"/>
      <c r="H88" s="293"/>
      <c r="I88" s="1"/>
      <c r="J88" s="1"/>
      <c r="K88" s="1"/>
      <c r="L88" s="1"/>
      <c r="M88" s="1"/>
      <c r="N88" s="1"/>
      <c r="O88" s="1"/>
      <c r="P88" s="1"/>
      <c r="Q88" s="1"/>
      <c r="R88" s="1"/>
      <c r="S88" s="1"/>
      <c r="T88" s="1"/>
      <c r="U88" s="1"/>
      <c r="V88" s="1"/>
      <c r="W88" s="1"/>
      <c r="X88" s="1"/>
      <c r="Y88" s="1"/>
      <c r="Z88" s="1"/>
      <c r="AA88" s="1"/>
      <c r="AB88" s="1"/>
      <c r="AC88" s="1"/>
      <c r="AD88" s="1"/>
    </row>
    <row r="89" spans="1:30" hidden="1" outlineLevel="1">
      <c r="A89" s="257"/>
      <c r="B89" s="175" t="s">
        <v>228</v>
      </c>
      <c r="C89" s="166"/>
      <c r="D89" s="147">
        <v>125</v>
      </c>
      <c r="E89" s="147">
        <v>125</v>
      </c>
      <c r="F89" s="139">
        <v>104</v>
      </c>
      <c r="G89" s="139">
        <v>102</v>
      </c>
      <c r="H89" s="293">
        <v>94</v>
      </c>
      <c r="I89" s="1"/>
      <c r="J89" s="1"/>
      <c r="K89" s="1"/>
      <c r="L89" s="1"/>
      <c r="M89" s="1"/>
      <c r="N89" s="1"/>
      <c r="O89" s="1"/>
      <c r="P89" s="1"/>
      <c r="Q89" s="1"/>
      <c r="R89" s="1"/>
      <c r="S89" s="1"/>
      <c r="T89" s="1"/>
      <c r="U89" s="1"/>
      <c r="V89" s="1"/>
      <c r="W89" s="1"/>
      <c r="X89" s="1"/>
      <c r="Y89" s="1"/>
      <c r="Z89" s="1"/>
      <c r="AA89" s="1"/>
      <c r="AB89" s="1"/>
      <c r="AC89" s="1"/>
      <c r="AD89" s="1"/>
    </row>
    <row r="90" spans="1:30" hidden="1" outlineLevel="1">
      <c r="A90" s="257"/>
      <c r="B90" s="175" t="s">
        <v>230</v>
      </c>
      <c r="C90" s="166"/>
      <c r="D90" s="147">
        <v>15</v>
      </c>
      <c r="E90" s="147">
        <v>9</v>
      </c>
      <c r="F90" s="139">
        <v>9</v>
      </c>
      <c r="G90" s="139">
        <v>6</v>
      </c>
      <c r="H90" s="293">
        <v>4</v>
      </c>
      <c r="I90" s="1"/>
      <c r="J90" s="1"/>
      <c r="K90" s="1"/>
      <c r="L90" s="1"/>
      <c r="M90" s="1"/>
      <c r="N90" s="1"/>
      <c r="O90" s="1"/>
      <c r="P90" s="1"/>
      <c r="Q90" s="1"/>
      <c r="R90" s="1"/>
      <c r="S90" s="1"/>
      <c r="T90" s="1"/>
      <c r="U90" s="1"/>
      <c r="V90" s="1"/>
      <c r="W90" s="1"/>
      <c r="X90" s="1"/>
      <c r="Y90" s="1"/>
      <c r="Z90" s="1"/>
      <c r="AA90" s="1"/>
      <c r="AB90" s="1"/>
      <c r="AC90" s="1"/>
      <c r="AD90" s="1"/>
    </row>
    <row r="91" spans="1:30" hidden="1" outlineLevel="1">
      <c r="A91" s="257"/>
      <c r="B91" s="175" t="s">
        <v>232</v>
      </c>
      <c r="C91" s="166"/>
      <c r="D91" s="147">
        <v>5</v>
      </c>
      <c r="E91" s="147">
        <v>6</v>
      </c>
      <c r="F91" s="139">
        <v>8</v>
      </c>
      <c r="G91" s="139">
        <v>8</v>
      </c>
      <c r="H91" s="293">
        <v>7</v>
      </c>
      <c r="I91" s="1"/>
      <c r="J91" s="1"/>
      <c r="K91" s="1"/>
      <c r="L91" s="1"/>
      <c r="M91" s="1"/>
      <c r="N91" s="1"/>
      <c r="O91" s="1"/>
      <c r="P91" s="1"/>
      <c r="Q91" s="1"/>
      <c r="R91" s="1"/>
      <c r="S91" s="1"/>
      <c r="T91" s="1"/>
      <c r="U91" s="1"/>
      <c r="V91" s="1"/>
      <c r="W91" s="1"/>
      <c r="X91" s="1"/>
      <c r="Y91" s="1"/>
      <c r="Z91" s="1"/>
      <c r="AA91" s="1"/>
      <c r="AB91" s="1"/>
      <c r="AC91" s="1"/>
      <c r="AD91" s="1"/>
    </row>
    <row r="92" spans="1:30" hidden="1" outlineLevel="1">
      <c r="A92" s="257"/>
      <c r="B92" s="175" t="s">
        <v>234</v>
      </c>
      <c r="C92" s="166"/>
      <c r="D92" s="147">
        <v>0</v>
      </c>
      <c r="E92" s="147">
        <v>1</v>
      </c>
      <c r="F92" s="139">
        <v>2</v>
      </c>
      <c r="G92" s="139">
        <v>2</v>
      </c>
      <c r="H92" s="293">
        <v>1</v>
      </c>
      <c r="I92" s="1"/>
      <c r="J92" s="1"/>
      <c r="K92" s="1"/>
      <c r="L92" s="1"/>
      <c r="M92" s="1"/>
      <c r="N92" s="1"/>
      <c r="O92" s="1"/>
      <c r="P92" s="1"/>
      <c r="Q92" s="1"/>
      <c r="R92" s="1"/>
      <c r="S92" s="1"/>
      <c r="T92" s="1"/>
      <c r="U92" s="1"/>
      <c r="V92" s="1"/>
      <c r="W92" s="1"/>
      <c r="X92" s="1"/>
      <c r="Y92" s="1"/>
      <c r="Z92" s="1"/>
      <c r="AA92" s="1"/>
      <c r="AB92" s="1"/>
      <c r="AC92" s="1"/>
      <c r="AD92" s="1"/>
    </row>
    <row r="93" spans="1:30" hidden="1" outlineLevel="1">
      <c r="A93" s="257"/>
      <c r="B93" s="175" t="s">
        <v>236</v>
      </c>
      <c r="C93" s="166"/>
      <c r="D93" s="147">
        <v>17</v>
      </c>
      <c r="E93" s="147">
        <v>51</v>
      </c>
      <c r="F93" s="139">
        <v>35</v>
      </c>
      <c r="G93" s="139">
        <v>14</v>
      </c>
      <c r="H93" s="293">
        <v>24</v>
      </c>
      <c r="I93" s="1"/>
      <c r="J93" s="1"/>
      <c r="K93" s="1"/>
      <c r="L93" s="1"/>
      <c r="M93" s="1"/>
      <c r="N93" s="1"/>
      <c r="O93" s="1"/>
      <c r="P93" s="1"/>
      <c r="Q93" s="1"/>
      <c r="R93" s="1"/>
      <c r="S93" s="1"/>
      <c r="T93" s="1"/>
      <c r="U93" s="1"/>
      <c r="V93" s="1"/>
      <c r="W93" s="1"/>
      <c r="X93" s="1"/>
      <c r="Y93" s="1"/>
      <c r="Z93" s="1"/>
      <c r="AA93" s="1"/>
      <c r="AB93" s="1"/>
      <c r="AC93" s="1"/>
      <c r="AD93" s="1"/>
    </row>
    <row r="94" spans="1:30" hidden="1" outlineLevel="1">
      <c r="A94" s="257"/>
      <c r="B94" s="175" t="s">
        <v>238</v>
      </c>
      <c r="C94" s="166"/>
      <c r="D94" s="147">
        <v>162</v>
      </c>
      <c r="E94" s="147">
        <f>SUM(E89:E93)</f>
        <v>192</v>
      </c>
      <c r="F94" s="139">
        <f>SUM(F89:F93)</f>
        <v>158</v>
      </c>
      <c r="G94" s="139">
        <f>SUM(G89:G93)</f>
        <v>132</v>
      </c>
      <c r="H94" s="293">
        <f>SUM(H89:H93)</f>
        <v>130</v>
      </c>
      <c r="I94" s="1"/>
      <c r="J94" s="1"/>
      <c r="K94" s="1"/>
      <c r="L94" s="1"/>
      <c r="M94" s="1"/>
      <c r="N94" s="1"/>
      <c r="O94" s="1"/>
      <c r="P94" s="1"/>
      <c r="Q94" s="1"/>
      <c r="R94" s="1"/>
      <c r="S94" s="1"/>
      <c r="T94" s="1"/>
      <c r="U94" s="1"/>
      <c r="V94" s="1"/>
      <c r="W94" s="1"/>
      <c r="X94" s="1"/>
      <c r="Y94" s="1"/>
      <c r="Z94" s="1"/>
      <c r="AA94" s="1"/>
      <c r="AB94" s="1"/>
      <c r="AC94" s="1"/>
      <c r="AD94" s="1"/>
    </row>
    <row r="95" spans="1:30" hidden="1" outlineLevel="1">
      <c r="A95" s="257"/>
      <c r="B95" s="175" t="s">
        <v>240</v>
      </c>
      <c r="C95" s="166"/>
      <c r="D95" s="147">
        <v>0</v>
      </c>
      <c r="E95" s="147">
        <v>0</v>
      </c>
      <c r="F95" s="139">
        <v>0</v>
      </c>
      <c r="G95" s="139">
        <v>0</v>
      </c>
      <c r="H95" s="293">
        <v>0</v>
      </c>
      <c r="I95" s="1"/>
      <c r="J95" s="1"/>
      <c r="K95" s="1"/>
      <c r="L95" s="1"/>
      <c r="M95" s="1"/>
      <c r="N95" s="1"/>
      <c r="O95" s="1"/>
      <c r="P95" s="1"/>
      <c r="Q95" s="1"/>
      <c r="R95" s="1"/>
      <c r="S95" s="1"/>
      <c r="T95" s="1"/>
      <c r="U95" s="1"/>
      <c r="V95" s="1"/>
      <c r="W95" s="1"/>
      <c r="X95" s="1"/>
      <c r="Y95" s="1"/>
      <c r="Z95" s="1"/>
      <c r="AA95" s="1"/>
      <c r="AB95" s="1"/>
      <c r="AC95" s="1"/>
      <c r="AD95" s="1"/>
    </row>
    <row r="96" spans="1:30" hidden="1" outlineLevel="1">
      <c r="A96" s="257"/>
      <c r="B96" s="175" t="s">
        <v>242</v>
      </c>
      <c r="C96" s="166"/>
      <c r="D96" s="147">
        <f>SUM(D94:D95)</f>
        <v>162</v>
      </c>
      <c r="E96" s="147">
        <f>SUM(E94:E95)</f>
        <v>192</v>
      </c>
      <c r="F96" s="139">
        <f>SUM(F94:F95)</f>
        <v>158</v>
      </c>
      <c r="G96" s="139">
        <f>SUM(G94:G95)</f>
        <v>132</v>
      </c>
      <c r="H96" s="293">
        <f>SUM(H94:H95)</f>
        <v>130</v>
      </c>
      <c r="I96" s="1"/>
      <c r="J96" s="1"/>
      <c r="K96" s="1"/>
      <c r="L96" s="1"/>
      <c r="M96" s="1"/>
      <c r="N96" s="1"/>
      <c r="O96" s="1"/>
      <c r="P96" s="1"/>
      <c r="Q96" s="1"/>
      <c r="R96" s="1"/>
      <c r="S96" s="1"/>
      <c r="T96" s="1"/>
      <c r="U96" s="1"/>
      <c r="V96" s="1"/>
      <c r="W96" s="1"/>
      <c r="X96" s="1"/>
      <c r="Y96" s="1"/>
      <c r="Z96" s="1"/>
      <c r="AA96" s="1"/>
      <c r="AB96" s="1"/>
      <c r="AC96" s="1"/>
      <c r="AD96" s="1"/>
    </row>
    <row r="97" spans="1:30" hidden="1" outlineLevel="1">
      <c r="A97" s="257"/>
      <c r="B97" s="175" t="s">
        <v>244</v>
      </c>
      <c r="C97" s="166"/>
      <c r="D97" s="147">
        <v>-4</v>
      </c>
      <c r="E97" s="147">
        <v>-3</v>
      </c>
      <c r="F97" s="139">
        <v>5</v>
      </c>
      <c r="G97" s="139">
        <v>4</v>
      </c>
      <c r="H97" s="293">
        <v>4</v>
      </c>
      <c r="I97" s="1"/>
      <c r="J97" s="1"/>
      <c r="K97" s="1"/>
      <c r="L97" s="1"/>
      <c r="M97" s="1"/>
      <c r="N97" s="1"/>
      <c r="O97" s="1"/>
      <c r="P97" s="1"/>
      <c r="Q97" s="1"/>
      <c r="R97" s="1"/>
      <c r="S97" s="1"/>
      <c r="T97" s="1"/>
      <c r="U97" s="1"/>
      <c r="V97" s="1"/>
      <c r="W97" s="1"/>
      <c r="X97" s="1"/>
      <c r="Y97" s="1"/>
      <c r="Z97" s="1"/>
      <c r="AA97" s="1"/>
      <c r="AB97" s="1"/>
      <c r="AC97" s="1"/>
      <c r="AD97" s="1"/>
    </row>
    <row r="98" spans="1:30" hidden="1" outlineLevel="1">
      <c r="A98" s="257"/>
      <c r="B98" s="175" t="s">
        <v>246</v>
      </c>
      <c r="C98" s="166"/>
      <c r="D98" s="147"/>
      <c r="E98" s="147">
        <v>0</v>
      </c>
      <c r="F98" s="139">
        <v>0</v>
      </c>
      <c r="G98" s="139">
        <v>0</v>
      </c>
      <c r="H98" s="293">
        <v>0</v>
      </c>
      <c r="I98" s="1"/>
      <c r="J98" s="1"/>
      <c r="K98" s="1"/>
      <c r="L98" s="1"/>
      <c r="M98" s="1"/>
      <c r="N98" s="1"/>
      <c r="O98" s="1"/>
      <c r="P98" s="1"/>
      <c r="Q98" s="1"/>
      <c r="R98" s="1"/>
      <c r="S98" s="1"/>
      <c r="T98" s="1"/>
      <c r="U98" s="1"/>
      <c r="V98" s="1"/>
      <c r="W98" s="1"/>
      <c r="X98" s="1"/>
      <c r="Y98" s="1"/>
      <c r="Z98" s="1"/>
      <c r="AA98" s="1"/>
      <c r="AB98" s="1"/>
      <c r="AC98" s="1"/>
      <c r="AD98" s="1"/>
    </row>
    <row r="99" spans="1:30" collapsed="1">
      <c r="A99" s="257"/>
      <c r="B99" s="354" t="s">
        <v>373</v>
      </c>
      <c r="C99" s="166"/>
      <c r="D99" s="147">
        <f>SUM(D82:D83)</f>
        <v>-137</v>
      </c>
      <c r="E99" s="147">
        <f t="shared" ref="E99:H99" si="5">SUM(E82:E83)</f>
        <v>-109</v>
      </c>
      <c r="F99" s="139">
        <f t="shared" si="5"/>
        <v>-134</v>
      </c>
      <c r="G99" s="139">
        <f t="shared" si="5"/>
        <v>-98</v>
      </c>
      <c r="H99" s="293">
        <f t="shared" si="5"/>
        <v>-106</v>
      </c>
      <c r="I99" s="1"/>
      <c r="J99" s="1"/>
      <c r="K99" s="1"/>
      <c r="L99" s="1"/>
      <c r="M99" s="1"/>
      <c r="N99" s="1"/>
      <c r="O99" s="1"/>
      <c r="P99" s="1"/>
      <c r="Q99" s="1"/>
      <c r="R99" s="1"/>
      <c r="S99" s="1"/>
      <c r="T99" s="1"/>
      <c r="U99" s="1"/>
      <c r="V99" s="1"/>
      <c r="W99" s="1"/>
      <c r="X99" s="1"/>
      <c r="Y99" s="1"/>
      <c r="Z99" s="1"/>
      <c r="AA99" s="1"/>
      <c r="AB99" s="1"/>
      <c r="AC99" s="1"/>
      <c r="AD99" s="1"/>
    </row>
    <row r="100" spans="1:30">
      <c r="A100" s="257"/>
      <c r="B100" s="328"/>
      <c r="C100" s="166"/>
      <c r="D100" s="239"/>
      <c r="E100" s="239"/>
      <c r="F100" s="171"/>
      <c r="G100" s="171"/>
      <c r="H100" s="375"/>
      <c r="I100" s="1"/>
      <c r="J100" s="1"/>
      <c r="K100" s="1"/>
      <c r="L100" s="1"/>
      <c r="M100" s="1"/>
      <c r="N100" s="1"/>
      <c r="O100" s="1"/>
      <c r="P100" s="1"/>
      <c r="Q100" s="1"/>
      <c r="R100" s="1"/>
      <c r="S100" s="1"/>
      <c r="T100" s="1"/>
      <c r="U100" s="1"/>
      <c r="V100" s="1"/>
      <c r="W100" s="1"/>
      <c r="X100" s="1"/>
      <c r="Y100" s="1"/>
      <c r="Z100" s="1"/>
      <c r="AA100" s="1"/>
      <c r="AB100" s="1"/>
      <c r="AC100" s="1"/>
      <c r="AD100" s="1"/>
    </row>
    <row r="101" spans="1:30">
      <c r="A101" s="257"/>
      <c r="B101" s="327" t="s">
        <v>304</v>
      </c>
      <c r="C101" s="170"/>
      <c r="D101" s="152">
        <f>SUM(D80,D82,D83)</f>
        <v>78</v>
      </c>
      <c r="E101" s="152">
        <f>SUM(E80,E82,E83)</f>
        <v>334</v>
      </c>
      <c r="F101" s="142">
        <f>SUM(F80,F82,F83)</f>
        <v>576</v>
      </c>
      <c r="G101" s="142">
        <f>SUM(G80,G82,G83)</f>
        <v>490</v>
      </c>
      <c r="H101" s="296">
        <f>SUM(H80,H82,H83)</f>
        <v>581</v>
      </c>
      <c r="I101" s="1"/>
      <c r="J101" s="1"/>
      <c r="K101" s="1"/>
      <c r="L101" s="1"/>
      <c r="M101" s="1"/>
      <c r="N101" s="1"/>
      <c r="O101" s="1"/>
      <c r="P101" s="1"/>
      <c r="Q101" s="1"/>
      <c r="R101" s="1"/>
      <c r="S101" s="1"/>
      <c r="T101" s="1"/>
      <c r="U101" s="1"/>
      <c r="V101" s="1"/>
      <c r="W101" s="1"/>
      <c r="X101" s="1"/>
      <c r="Y101" s="1"/>
      <c r="Z101" s="1"/>
      <c r="AA101" s="1"/>
      <c r="AB101" s="1"/>
      <c r="AC101" s="1"/>
      <c r="AD101" s="1"/>
    </row>
    <row r="102" spans="1:30">
      <c r="A102" s="257"/>
      <c r="B102" s="328"/>
      <c r="C102" s="166"/>
      <c r="D102" s="239"/>
      <c r="E102" s="239"/>
      <c r="F102" s="171"/>
      <c r="G102" s="171"/>
      <c r="H102" s="375"/>
      <c r="I102" s="1"/>
      <c r="J102" s="1"/>
      <c r="K102" s="1"/>
      <c r="L102" s="1"/>
      <c r="M102" s="1"/>
      <c r="N102" s="1"/>
      <c r="O102" s="1"/>
      <c r="P102" s="1"/>
      <c r="Q102" s="1"/>
      <c r="R102" s="1"/>
      <c r="S102" s="1"/>
      <c r="T102" s="1"/>
      <c r="U102" s="1"/>
      <c r="V102" s="1"/>
      <c r="W102" s="1"/>
      <c r="X102" s="1"/>
      <c r="Y102" s="1"/>
      <c r="Z102" s="1"/>
      <c r="AA102" s="1"/>
      <c r="AB102" s="1"/>
      <c r="AC102" s="1"/>
      <c r="AD102" s="1"/>
    </row>
    <row r="103" spans="1:30" hidden="1" outlineLevel="1">
      <c r="A103" s="257"/>
      <c r="B103" s="175" t="s">
        <v>254</v>
      </c>
      <c r="C103" s="166"/>
      <c r="D103" s="147">
        <v>105</v>
      </c>
      <c r="E103" s="147">
        <v>138</v>
      </c>
      <c r="F103" s="139">
        <v>107</v>
      </c>
      <c r="G103" s="139">
        <v>146</v>
      </c>
      <c r="H103" s="293">
        <v>147</v>
      </c>
      <c r="I103" s="1"/>
      <c r="J103" s="1"/>
      <c r="K103" s="1"/>
      <c r="L103" s="1"/>
      <c r="M103" s="1"/>
      <c r="N103" s="1"/>
      <c r="O103" s="1"/>
      <c r="P103" s="1"/>
      <c r="Q103" s="1"/>
      <c r="R103" s="1"/>
      <c r="S103" s="1"/>
      <c r="T103" s="1"/>
      <c r="U103" s="1"/>
      <c r="V103" s="1"/>
      <c r="W103" s="1"/>
      <c r="X103" s="1"/>
      <c r="Y103" s="1"/>
      <c r="Z103" s="1"/>
      <c r="AA103" s="1"/>
      <c r="AB103" s="1"/>
      <c r="AC103" s="1"/>
      <c r="AD103" s="1"/>
    </row>
    <row r="104" spans="1:30" hidden="1" outlineLevel="1">
      <c r="A104" s="257"/>
      <c r="B104" s="175" t="s">
        <v>256</v>
      </c>
      <c r="C104" s="166"/>
      <c r="D104" s="147">
        <v>23</v>
      </c>
      <c r="E104" s="147">
        <v>25</v>
      </c>
      <c r="F104" s="139">
        <v>26</v>
      </c>
      <c r="G104" s="139">
        <v>30</v>
      </c>
      <c r="H104" s="293">
        <v>30</v>
      </c>
      <c r="I104" s="1"/>
      <c r="J104" s="1"/>
      <c r="K104" s="1"/>
      <c r="L104" s="1"/>
      <c r="M104" s="1"/>
      <c r="N104" s="1"/>
      <c r="O104" s="1"/>
      <c r="P104" s="1"/>
      <c r="Q104" s="1"/>
      <c r="R104" s="1"/>
      <c r="S104" s="1"/>
      <c r="T104" s="1"/>
      <c r="U104" s="1"/>
      <c r="V104" s="1"/>
      <c r="W104" s="1"/>
      <c r="X104" s="1"/>
      <c r="Y104" s="1"/>
      <c r="Z104" s="1"/>
      <c r="AA104" s="1"/>
      <c r="AB104" s="1"/>
      <c r="AC104" s="1"/>
      <c r="AD104" s="1"/>
    </row>
    <row r="105" spans="1:30" hidden="1" outlineLevel="1">
      <c r="A105" s="257"/>
      <c r="B105" s="175" t="s">
        <v>258</v>
      </c>
      <c r="C105" s="166"/>
      <c r="D105" s="147">
        <v>-17</v>
      </c>
      <c r="E105" s="147">
        <v>4</v>
      </c>
      <c r="F105" s="139">
        <v>-1</v>
      </c>
      <c r="G105" s="139">
        <v>2</v>
      </c>
      <c r="H105" s="293">
        <v>5</v>
      </c>
      <c r="I105" s="1"/>
      <c r="J105" s="1"/>
      <c r="K105" s="1"/>
      <c r="L105" s="1"/>
      <c r="M105" s="1"/>
      <c r="N105" s="1"/>
      <c r="O105" s="1"/>
      <c r="P105" s="1"/>
      <c r="Q105" s="1"/>
      <c r="R105" s="1"/>
      <c r="S105" s="1"/>
      <c r="T105" s="1"/>
      <c r="U105" s="1"/>
      <c r="V105" s="1"/>
      <c r="W105" s="1"/>
      <c r="X105" s="1"/>
      <c r="Y105" s="1"/>
      <c r="Z105" s="1"/>
      <c r="AA105" s="1"/>
      <c r="AB105" s="1"/>
      <c r="AC105" s="1"/>
      <c r="AD105" s="1"/>
    </row>
    <row r="106" spans="1:30" hidden="1" outlineLevel="1">
      <c r="A106" s="257"/>
      <c r="B106" s="354" t="s">
        <v>260</v>
      </c>
      <c r="C106" s="166"/>
      <c r="D106" s="148">
        <f>SUM(D103:D105)</f>
        <v>111</v>
      </c>
      <c r="E106" s="148">
        <f>SUM(E103:E105)</f>
        <v>167</v>
      </c>
      <c r="F106" s="140">
        <f>SUM(F103:F105)</f>
        <v>132</v>
      </c>
      <c r="G106" s="140">
        <f>SUM(G103:G105)</f>
        <v>178</v>
      </c>
      <c r="H106" s="314">
        <f>SUM(H103:H105)</f>
        <v>182</v>
      </c>
      <c r="I106" s="1"/>
      <c r="J106" s="1"/>
      <c r="K106" s="1"/>
      <c r="L106" s="1"/>
      <c r="M106" s="1"/>
      <c r="N106" s="1"/>
      <c r="O106" s="1"/>
      <c r="P106" s="1"/>
      <c r="Q106" s="1"/>
      <c r="R106" s="1"/>
      <c r="S106" s="1"/>
      <c r="T106" s="1"/>
      <c r="U106" s="1"/>
      <c r="V106" s="1"/>
      <c r="W106" s="1"/>
      <c r="X106" s="1"/>
      <c r="Y106" s="1"/>
      <c r="Z106" s="1"/>
      <c r="AA106" s="1"/>
      <c r="AB106" s="1"/>
      <c r="AC106" s="1"/>
      <c r="AD106" s="1"/>
    </row>
    <row r="107" spans="1:30" hidden="1" outlineLevel="1">
      <c r="A107" s="257"/>
      <c r="B107" s="175" t="s">
        <v>339</v>
      </c>
      <c r="C107" s="166"/>
      <c r="D107" s="147">
        <v>142</v>
      </c>
      <c r="E107" s="147">
        <v>44</v>
      </c>
      <c r="F107" s="139">
        <v>88</v>
      </c>
      <c r="G107" s="139">
        <v>33</v>
      </c>
      <c r="H107" s="293">
        <v>71</v>
      </c>
      <c r="I107" s="1"/>
      <c r="J107" s="1"/>
      <c r="K107" s="1"/>
      <c r="L107" s="1"/>
      <c r="M107" s="1"/>
      <c r="N107" s="1"/>
      <c r="O107" s="1"/>
      <c r="P107" s="1"/>
      <c r="Q107" s="1"/>
      <c r="R107" s="1"/>
      <c r="S107" s="1"/>
      <c r="T107" s="1"/>
      <c r="U107" s="1"/>
      <c r="V107" s="1"/>
      <c r="W107" s="1"/>
      <c r="X107" s="1"/>
      <c r="Y107" s="1"/>
      <c r="Z107" s="1"/>
      <c r="AA107" s="1"/>
      <c r="AB107" s="1"/>
      <c r="AC107" s="1"/>
      <c r="AD107" s="1"/>
    </row>
    <row r="108" spans="1:30" hidden="1" outlineLevel="1">
      <c r="A108" s="257"/>
      <c r="B108" s="175" t="s">
        <v>340</v>
      </c>
      <c r="C108" s="166"/>
      <c r="D108" s="147">
        <v>-120</v>
      </c>
      <c r="E108" s="147">
        <v>-89</v>
      </c>
      <c r="F108" s="139">
        <v>-28</v>
      </c>
      <c r="G108" s="139">
        <v>-54</v>
      </c>
      <c r="H108" s="293">
        <v>-64</v>
      </c>
      <c r="I108" s="1"/>
      <c r="J108" s="1"/>
      <c r="K108" s="1"/>
      <c r="L108" s="1"/>
      <c r="M108" s="1"/>
      <c r="N108" s="1"/>
      <c r="O108" s="1"/>
      <c r="P108" s="1"/>
      <c r="Q108" s="1"/>
      <c r="R108" s="1"/>
      <c r="S108" s="1"/>
      <c r="T108" s="1"/>
      <c r="U108" s="1"/>
      <c r="V108" s="1"/>
      <c r="W108" s="1"/>
      <c r="X108" s="1"/>
      <c r="Y108" s="1"/>
      <c r="Z108" s="1"/>
      <c r="AA108" s="1"/>
      <c r="AB108" s="1"/>
      <c r="AC108" s="1"/>
      <c r="AD108" s="1"/>
    </row>
    <row r="109" spans="1:30" collapsed="1">
      <c r="A109" s="257"/>
      <c r="B109" s="175" t="s">
        <v>305</v>
      </c>
      <c r="C109" s="166"/>
      <c r="D109" s="147">
        <f>-SUM(D106:D108)</f>
        <v>-133</v>
      </c>
      <c r="E109" s="147">
        <f t="shared" ref="E109:H109" si="6">-SUM(E106:E108)</f>
        <v>-122</v>
      </c>
      <c r="F109" s="139">
        <f t="shared" si="6"/>
        <v>-192</v>
      </c>
      <c r="G109" s="139">
        <f t="shared" si="6"/>
        <v>-157</v>
      </c>
      <c r="H109" s="293">
        <f t="shared" si="6"/>
        <v>-189</v>
      </c>
      <c r="I109" s="1"/>
      <c r="J109" s="1"/>
      <c r="K109" s="1"/>
      <c r="L109" s="1"/>
      <c r="M109" s="1"/>
      <c r="N109" s="1"/>
      <c r="O109" s="1"/>
      <c r="P109" s="1"/>
      <c r="Q109" s="1"/>
      <c r="R109" s="1"/>
      <c r="S109" s="1"/>
      <c r="T109" s="1"/>
      <c r="U109" s="1"/>
      <c r="V109" s="1"/>
      <c r="W109" s="1"/>
      <c r="X109" s="1"/>
      <c r="Y109" s="1"/>
      <c r="Z109" s="1"/>
      <c r="AA109" s="1"/>
      <c r="AB109" s="1"/>
      <c r="AC109" s="1"/>
      <c r="AD109" s="1"/>
    </row>
    <row r="110" spans="1:30">
      <c r="A110" s="257"/>
      <c r="B110" s="175" t="s">
        <v>335</v>
      </c>
      <c r="C110" s="166"/>
      <c r="D110" s="147">
        <f>SUM(D111:D112)</f>
        <v>130</v>
      </c>
      <c r="E110" s="147">
        <f t="shared" ref="E110:H110" si="7">SUM(E111:E112)</f>
        <v>20</v>
      </c>
      <c r="F110" s="139">
        <f t="shared" si="7"/>
        <v>-91</v>
      </c>
      <c r="G110" s="139">
        <f t="shared" si="7"/>
        <v>11</v>
      </c>
      <c r="H110" s="293">
        <f t="shared" si="7"/>
        <v>-3</v>
      </c>
      <c r="I110" s="1"/>
      <c r="J110" s="1"/>
      <c r="K110" s="1"/>
      <c r="L110" s="1"/>
      <c r="M110" s="1"/>
      <c r="N110" s="1"/>
      <c r="O110" s="1"/>
      <c r="P110" s="1"/>
      <c r="Q110" s="1"/>
      <c r="R110" s="1"/>
      <c r="S110" s="1"/>
      <c r="T110" s="1"/>
      <c r="U110" s="1"/>
      <c r="V110" s="1"/>
      <c r="W110" s="1"/>
      <c r="X110" s="1"/>
      <c r="Y110" s="1"/>
      <c r="Z110" s="1"/>
      <c r="AA110" s="1"/>
      <c r="AB110" s="1"/>
      <c r="AC110" s="1"/>
      <c r="AD110" s="1"/>
    </row>
    <row r="111" spans="1:30" hidden="1" outlineLevel="1">
      <c r="A111" s="257"/>
      <c r="B111" s="175" t="s">
        <v>269</v>
      </c>
      <c r="C111" s="166"/>
      <c r="D111" s="147">
        <v>0</v>
      </c>
      <c r="E111" s="147">
        <v>19</v>
      </c>
      <c r="F111" s="139">
        <v>-85</v>
      </c>
      <c r="G111" s="139">
        <v>21</v>
      </c>
      <c r="H111" s="293">
        <v>1</v>
      </c>
      <c r="I111" s="1"/>
      <c r="J111" s="120"/>
      <c r="K111" s="1"/>
      <c r="L111" s="1"/>
      <c r="M111" s="1"/>
      <c r="N111" s="1"/>
      <c r="O111" s="1"/>
      <c r="P111" s="1"/>
      <c r="Q111" s="1"/>
      <c r="R111" s="1"/>
      <c r="S111" s="1"/>
      <c r="T111" s="1"/>
      <c r="U111" s="1"/>
      <c r="V111" s="1"/>
      <c r="W111" s="1"/>
      <c r="X111" s="1"/>
      <c r="Y111" s="1"/>
      <c r="Z111" s="1"/>
      <c r="AA111" s="1"/>
      <c r="AB111" s="1"/>
      <c r="AC111" s="1"/>
      <c r="AD111" s="1"/>
    </row>
    <row r="112" spans="1:30" hidden="1" outlineLevel="1">
      <c r="A112" s="257"/>
      <c r="B112" s="175" t="s">
        <v>273</v>
      </c>
      <c r="C112" s="166"/>
      <c r="D112" s="147">
        <v>130</v>
      </c>
      <c r="E112" s="147">
        <v>1</v>
      </c>
      <c r="F112" s="139">
        <v>-6</v>
      </c>
      <c r="G112" s="139">
        <v>-10</v>
      </c>
      <c r="H112" s="293">
        <v>-4</v>
      </c>
      <c r="I112" s="1"/>
      <c r="J112" s="136"/>
      <c r="K112" s="1"/>
      <c r="L112" s="1"/>
      <c r="M112" s="1"/>
      <c r="N112" s="1"/>
      <c r="O112" s="1"/>
      <c r="P112" s="1"/>
      <c r="Q112" s="1"/>
      <c r="R112" s="1"/>
      <c r="S112" s="1"/>
      <c r="T112" s="1"/>
      <c r="U112" s="1"/>
      <c r="V112" s="1"/>
      <c r="W112" s="1"/>
      <c r="X112" s="1"/>
      <c r="Y112" s="1"/>
      <c r="Z112" s="1"/>
      <c r="AA112" s="1"/>
      <c r="AB112" s="1"/>
      <c r="AC112" s="1"/>
      <c r="AD112" s="1"/>
    </row>
    <row r="113" spans="1:30" collapsed="1">
      <c r="A113" s="257"/>
      <c r="B113" s="175"/>
      <c r="C113" s="166"/>
      <c r="D113" s="147"/>
      <c r="E113" s="147"/>
      <c r="F113" s="139"/>
      <c r="G113" s="139"/>
      <c r="H113" s="293"/>
      <c r="I113" s="1"/>
      <c r="J113" s="137"/>
      <c r="K113" s="1"/>
      <c r="L113" s="1"/>
      <c r="M113" s="1"/>
      <c r="N113" s="1"/>
      <c r="O113" s="1"/>
      <c r="P113" s="1"/>
      <c r="Q113" s="1"/>
      <c r="R113" s="1"/>
      <c r="S113" s="1"/>
      <c r="T113" s="1"/>
      <c r="U113" s="1"/>
      <c r="V113" s="1"/>
      <c r="W113" s="1"/>
      <c r="X113" s="1"/>
      <c r="Y113" s="1"/>
      <c r="Z113" s="1"/>
      <c r="AA113" s="1"/>
      <c r="AB113" s="1"/>
      <c r="AC113" s="1"/>
      <c r="AD113" s="1"/>
    </row>
    <row r="114" spans="1:30" ht="15" thickBot="1">
      <c r="A114" s="269"/>
      <c r="B114" s="332" t="s">
        <v>336</v>
      </c>
      <c r="C114" s="333"/>
      <c r="D114" s="317">
        <f>SUM(D101,D109:D110)</f>
        <v>75</v>
      </c>
      <c r="E114" s="317">
        <f>SUM(E101,E109:E110)</f>
        <v>232</v>
      </c>
      <c r="F114" s="361">
        <f>SUM(F101,F109:F110)</f>
        <v>293</v>
      </c>
      <c r="G114" s="361">
        <f>SUM(G101,G109:G110)</f>
        <v>344</v>
      </c>
      <c r="H114" s="318">
        <f>SUM(H101,H109:H110)</f>
        <v>389</v>
      </c>
      <c r="I114" s="120"/>
      <c r="J114" s="137"/>
      <c r="K114" s="1"/>
      <c r="L114" s="1"/>
      <c r="M114" s="1"/>
      <c r="N114" s="1"/>
      <c r="O114" s="1"/>
      <c r="P114" s="1"/>
      <c r="Q114" s="1"/>
      <c r="R114" s="1"/>
      <c r="S114" s="1"/>
      <c r="T114" s="1"/>
      <c r="U114" s="1"/>
      <c r="V114" s="1"/>
      <c r="W114" s="1"/>
      <c r="X114" s="1"/>
      <c r="Y114" s="1"/>
      <c r="Z114" s="1"/>
      <c r="AA114" s="1"/>
      <c r="AB114" s="1"/>
      <c r="AC114" s="1"/>
      <c r="AD114" s="1"/>
    </row>
    <row r="115" spans="1:30">
      <c r="A115" s="1"/>
      <c r="B115" s="1"/>
      <c r="C115" s="5"/>
      <c r="D115" s="2"/>
      <c r="E115" s="2"/>
      <c r="F115" s="120"/>
      <c r="G115" s="120"/>
      <c r="H115" s="120"/>
      <c r="I115" s="136"/>
      <c r="J115" s="138"/>
      <c r="K115" s="1"/>
      <c r="L115" s="1"/>
      <c r="M115" s="1"/>
      <c r="N115" s="1"/>
      <c r="O115" s="1"/>
      <c r="P115" s="1"/>
      <c r="Q115" s="1"/>
      <c r="R115" s="1"/>
      <c r="S115" s="1"/>
      <c r="T115" s="1"/>
      <c r="U115" s="1"/>
      <c r="V115" s="1"/>
      <c r="W115" s="1"/>
      <c r="X115" s="1"/>
      <c r="Y115" s="1"/>
      <c r="Z115" s="1"/>
      <c r="AA115" s="1"/>
      <c r="AB115" s="1"/>
      <c r="AC115" s="1"/>
      <c r="AD115" s="1"/>
    </row>
    <row r="116" spans="1:30" ht="15" thickBot="1">
      <c r="A116" s="1"/>
      <c r="B116" s="1"/>
      <c r="C116" s="5"/>
      <c r="D116" s="2"/>
      <c r="E116" s="2"/>
      <c r="F116" s="136"/>
      <c r="G116" s="136"/>
      <c r="H116" s="136"/>
      <c r="I116" s="137"/>
      <c r="J116" s="137"/>
      <c r="K116" s="1"/>
      <c r="L116" s="1"/>
      <c r="M116" s="1"/>
      <c r="N116" s="1"/>
      <c r="O116" s="1"/>
      <c r="P116" s="1"/>
      <c r="Q116" s="1"/>
      <c r="R116" s="1"/>
      <c r="S116" s="1"/>
      <c r="T116" s="1"/>
      <c r="U116" s="1"/>
      <c r="V116" s="1"/>
      <c r="W116" s="1"/>
      <c r="X116" s="1"/>
      <c r="Y116" s="1"/>
      <c r="Z116" s="1"/>
      <c r="AA116" s="1"/>
      <c r="AB116" s="1"/>
      <c r="AC116" s="1"/>
      <c r="AD116" s="1"/>
    </row>
    <row r="117" spans="1:30" ht="24.6">
      <c r="A117" s="249"/>
      <c r="B117" s="250" t="s">
        <v>346</v>
      </c>
      <c r="C117" s="251"/>
      <c r="D117" s="252"/>
      <c r="E117" s="252"/>
      <c r="F117" s="252"/>
      <c r="G117" s="253"/>
      <c r="H117" s="137"/>
      <c r="I117" s="137"/>
      <c r="J117" s="137"/>
      <c r="K117" s="1"/>
      <c r="L117" s="1"/>
      <c r="M117" s="1"/>
      <c r="N117" s="1"/>
      <c r="O117" s="1"/>
      <c r="P117" s="1"/>
      <c r="Q117" s="1"/>
      <c r="R117" s="1"/>
      <c r="S117" s="1"/>
      <c r="T117" s="1"/>
      <c r="U117" s="1"/>
      <c r="V117" s="1"/>
      <c r="W117" s="1"/>
      <c r="X117" s="1"/>
      <c r="Y117" s="1"/>
      <c r="Z117" s="1"/>
      <c r="AA117" s="1"/>
      <c r="AB117" s="1"/>
      <c r="AC117" s="1"/>
      <c r="AD117" s="1"/>
    </row>
    <row r="118" spans="1:30">
      <c r="A118" s="254"/>
      <c r="B118" s="247"/>
      <c r="C118" s="60"/>
      <c r="D118" s="920" t="s">
        <v>163</v>
      </c>
      <c r="E118" s="920"/>
      <c r="F118" s="920"/>
      <c r="G118" s="921"/>
      <c r="H118" s="137"/>
      <c r="I118" s="138"/>
      <c r="J118" s="137"/>
      <c r="K118" s="52"/>
      <c r="L118" s="1"/>
      <c r="M118" s="1"/>
      <c r="N118" s="1"/>
      <c r="O118" s="1"/>
      <c r="P118" s="1"/>
      <c r="Q118" s="1"/>
      <c r="R118" s="1"/>
      <c r="S118" s="1"/>
      <c r="T118" s="1"/>
      <c r="U118" s="1"/>
      <c r="V118" s="1"/>
      <c r="W118" s="1"/>
      <c r="X118" s="1"/>
      <c r="Y118" s="1"/>
      <c r="Z118" s="1"/>
      <c r="AA118" s="1"/>
      <c r="AB118" s="1"/>
      <c r="AC118" s="1"/>
      <c r="AD118" s="1"/>
    </row>
    <row r="119" spans="1:30">
      <c r="A119" s="255"/>
      <c r="B119" s="248"/>
      <c r="C119" s="121" t="s">
        <v>1</v>
      </c>
      <c r="D119" s="108">
        <v>42735</v>
      </c>
      <c r="E119" s="108">
        <v>43100</v>
      </c>
      <c r="F119" s="108">
        <v>43465</v>
      </c>
      <c r="G119" s="256">
        <v>43830</v>
      </c>
      <c r="H119" s="138"/>
      <c r="I119" s="137"/>
      <c r="J119" s="137"/>
      <c r="K119" s="52"/>
      <c r="L119" s="1"/>
      <c r="M119" s="1"/>
      <c r="N119" s="1"/>
      <c r="O119" s="1"/>
      <c r="P119" s="1"/>
      <c r="Q119" s="1"/>
      <c r="R119" s="1"/>
      <c r="S119" s="1"/>
      <c r="T119" s="1"/>
      <c r="U119" s="1"/>
      <c r="V119" s="1"/>
      <c r="W119" s="1"/>
      <c r="X119" s="1"/>
      <c r="Y119" s="1"/>
      <c r="Z119" s="1"/>
      <c r="AA119" s="1"/>
      <c r="AB119" s="1"/>
      <c r="AC119" s="1"/>
      <c r="AD119" s="1"/>
    </row>
    <row r="120" spans="1:30">
      <c r="A120" s="257"/>
      <c r="B120" s="2"/>
      <c r="C120" s="2"/>
      <c r="D120" s="28"/>
      <c r="E120" s="26"/>
      <c r="F120" s="26"/>
      <c r="G120" s="258"/>
      <c r="H120" s="137"/>
      <c r="I120" s="137"/>
      <c r="J120" s="137"/>
      <c r="K120" s="52"/>
      <c r="L120" s="1"/>
      <c r="M120" s="1"/>
      <c r="N120" s="1"/>
      <c r="O120" s="1"/>
      <c r="P120" s="1"/>
      <c r="Q120" s="1"/>
      <c r="R120" s="1"/>
      <c r="S120" s="1"/>
      <c r="T120" s="1"/>
      <c r="U120" s="1"/>
      <c r="V120" s="1"/>
      <c r="W120" s="1"/>
      <c r="X120" s="1"/>
      <c r="Y120" s="1"/>
      <c r="Z120" s="1"/>
      <c r="AA120" s="1"/>
      <c r="AB120" s="1"/>
      <c r="AC120" s="1"/>
      <c r="AD120" s="1"/>
    </row>
    <row r="121" spans="1:30">
      <c r="A121" s="257"/>
      <c r="B121" s="5" t="s">
        <v>303</v>
      </c>
      <c r="C121" s="2"/>
      <c r="D121" s="178">
        <v>443</v>
      </c>
      <c r="E121" s="179">
        <v>710</v>
      </c>
      <c r="F121" s="179">
        <v>588</v>
      </c>
      <c r="G121" s="259">
        <v>687</v>
      </c>
      <c r="H121" s="137"/>
      <c r="I121" s="137"/>
      <c r="J121" s="137"/>
      <c r="K121" s="52"/>
      <c r="L121" s="1"/>
      <c r="M121" s="1"/>
      <c r="N121" s="1"/>
      <c r="O121" s="1"/>
      <c r="P121" s="1"/>
      <c r="Q121" s="1"/>
      <c r="R121" s="1"/>
      <c r="S121" s="1"/>
      <c r="T121" s="1"/>
      <c r="U121" s="1"/>
      <c r="V121" s="1"/>
      <c r="W121" s="1"/>
      <c r="X121" s="1"/>
      <c r="Y121" s="1"/>
      <c r="Z121" s="1"/>
      <c r="AA121" s="1"/>
      <c r="AB121" s="1"/>
      <c r="AC121" s="1"/>
      <c r="AD121" s="1"/>
    </row>
    <row r="122" spans="1:30">
      <c r="A122" s="257"/>
      <c r="B122" s="2" t="s">
        <v>347</v>
      </c>
      <c r="C122" s="2"/>
      <c r="D122" s="180">
        <v>-122</v>
      </c>
      <c r="E122" s="181">
        <v>-192</v>
      </c>
      <c r="F122" s="181">
        <v>-157</v>
      </c>
      <c r="G122" s="260">
        <v>-189</v>
      </c>
      <c r="H122" s="137"/>
      <c r="I122" s="137"/>
      <c r="J122" s="137"/>
      <c r="K122" s="52"/>
      <c r="L122" s="1"/>
      <c r="M122" s="1"/>
      <c r="N122" s="1"/>
      <c r="O122" s="1"/>
      <c r="P122" s="1"/>
      <c r="Q122" s="1"/>
      <c r="R122" s="1"/>
      <c r="S122" s="1"/>
      <c r="T122" s="1"/>
      <c r="U122" s="1"/>
      <c r="V122" s="1"/>
      <c r="W122" s="1"/>
      <c r="X122" s="1"/>
      <c r="Y122" s="1"/>
      <c r="Z122" s="1"/>
      <c r="AA122" s="1"/>
      <c r="AB122" s="1"/>
      <c r="AC122" s="1"/>
      <c r="AD122" s="1"/>
    </row>
    <row r="123" spans="1:30">
      <c r="A123" s="257"/>
      <c r="B123" s="2" t="s">
        <v>376</v>
      </c>
      <c r="C123" s="2"/>
      <c r="D123" s="245">
        <f>-'Reorganised Statements'!E99*('Reorganised Statements'!E109/'Reorganised Statements'!E101)</f>
        <v>-39.814371257485028</v>
      </c>
      <c r="E123" s="245">
        <f>-'Reorganised Statements'!F99*('Reorganised Statements'!F109/'Reorganised Statements'!F101)</f>
        <v>-44.666666666666664</v>
      </c>
      <c r="F123" s="245">
        <f>-'Reorganised Statements'!G99*('Reorganised Statements'!G109/'Reorganised Statements'!G101)</f>
        <v>-31.400000000000002</v>
      </c>
      <c r="G123" s="366">
        <f>-'Reorganised Statements'!H99*('Reorganised Statements'!H109/'Reorganised Statements'!H101)</f>
        <v>-34.481927710843372</v>
      </c>
      <c r="H123" s="137"/>
      <c r="I123" s="137"/>
      <c r="J123" s="137"/>
      <c r="K123" s="52"/>
      <c r="L123" s="1"/>
      <c r="M123" s="1"/>
      <c r="N123" s="1"/>
      <c r="O123" s="1"/>
      <c r="P123" s="1"/>
      <c r="Q123" s="1"/>
      <c r="R123" s="1"/>
      <c r="S123" s="1"/>
      <c r="T123" s="1"/>
      <c r="U123" s="1"/>
      <c r="V123" s="1"/>
      <c r="W123" s="1"/>
      <c r="X123" s="1"/>
      <c r="Y123" s="1"/>
      <c r="Z123" s="1"/>
      <c r="AA123" s="1"/>
      <c r="AB123" s="1"/>
      <c r="AC123" s="1"/>
      <c r="AD123" s="1"/>
    </row>
    <row r="124" spans="1:30">
      <c r="A124" s="257"/>
      <c r="B124" s="21" t="s">
        <v>348</v>
      </c>
      <c r="C124" s="22"/>
      <c r="D124" s="182">
        <f>SUM(D121:D123)</f>
        <v>281.18562874251495</v>
      </c>
      <c r="E124" s="183">
        <f t="shared" ref="E124:G124" si="8">SUM(E121:E123)</f>
        <v>473.33333333333331</v>
      </c>
      <c r="F124" s="183">
        <f t="shared" si="8"/>
        <v>399.6</v>
      </c>
      <c r="G124" s="262">
        <f t="shared" si="8"/>
        <v>463.51807228915663</v>
      </c>
      <c r="H124" s="137"/>
      <c r="I124" s="137"/>
      <c r="J124" s="137"/>
      <c r="K124" s="52"/>
      <c r="L124" s="1"/>
      <c r="M124" s="1"/>
      <c r="N124" s="1"/>
      <c r="O124" s="1"/>
      <c r="P124" s="1"/>
      <c r="Q124" s="1"/>
      <c r="R124" s="1"/>
      <c r="S124" s="1"/>
      <c r="T124" s="1"/>
      <c r="U124" s="1"/>
      <c r="V124" s="1"/>
      <c r="W124" s="1"/>
      <c r="X124" s="1"/>
      <c r="Y124" s="1"/>
      <c r="Z124" s="1"/>
      <c r="AA124" s="1"/>
      <c r="AB124" s="1"/>
      <c r="AC124" s="1"/>
      <c r="AD124" s="1"/>
    </row>
    <row r="125" spans="1:30">
      <c r="A125" s="257"/>
      <c r="B125" s="2"/>
      <c r="C125" s="2"/>
      <c r="D125" s="180"/>
      <c r="E125" s="181"/>
      <c r="F125" s="181"/>
      <c r="G125" s="260"/>
      <c r="H125" s="137"/>
      <c r="I125" s="137"/>
      <c r="J125" s="137"/>
      <c r="K125" s="52"/>
      <c r="L125" s="1"/>
      <c r="M125" s="1"/>
      <c r="N125" s="1"/>
      <c r="O125" s="1"/>
      <c r="P125" s="1"/>
      <c r="Q125" s="1"/>
      <c r="R125" s="1"/>
      <c r="S125" s="1"/>
      <c r="T125" s="1"/>
      <c r="U125" s="1"/>
      <c r="V125" s="1"/>
      <c r="W125" s="1"/>
      <c r="X125" s="1"/>
      <c r="Y125" s="1"/>
      <c r="Z125" s="1"/>
      <c r="AA125" s="1"/>
      <c r="AB125" s="1"/>
      <c r="AC125" s="1"/>
      <c r="AD125" s="1"/>
    </row>
    <row r="126" spans="1:30">
      <c r="A126" s="257"/>
      <c r="B126" s="2" t="s">
        <v>370</v>
      </c>
      <c r="C126" s="2"/>
      <c r="D126" s="180">
        <f ca="1">'Reorganised Statements'!D126-'Reorganised Statements'!E126</f>
        <v>25</v>
      </c>
      <c r="E126" s="181">
        <f ca="1">'Reorganised Statements'!E126-'Reorganised Statements'!F126</f>
        <v>12</v>
      </c>
      <c r="F126" s="181">
        <f ca="1">'Reorganised Statements'!F126-'Reorganised Statements'!G126</f>
        <v>-40</v>
      </c>
      <c r="G126" s="260">
        <f ca="1">'Reorganised Statements'!G126-'Reorganised Statements'!H126</f>
        <v>3</v>
      </c>
      <c r="H126" s="137"/>
      <c r="I126" s="137"/>
      <c r="J126" s="137"/>
      <c r="K126" s="52"/>
      <c r="L126" s="1"/>
      <c r="M126" s="1"/>
      <c r="N126" s="1"/>
      <c r="O126" s="1"/>
      <c r="P126" s="1"/>
      <c r="Q126" s="1"/>
      <c r="R126" s="1"/>
      <c r="S126" s="1"/>
      <c r="T126" s="1"/>
      <c r="U126" s="1"/>
      <c r="V126" s="1"/>
      <c r="W126" s="1"/>
      <c r="X126" s="1"/>
      <c r="Y126" s="1"/>
      <c r="Z126" s="1"/>
      <c r="AA126" s="1"/>
      <c r="AB126" s="1"/>
      <c r="AC126" s="1"/>
      <c r="AD126" s="1"/>
    </row>
    <row r="127" spans="1:30">
      <c r="A127" s="257"/>
      <c r="B127" s="2" t="s">
        <v>349</v>
      </c>
      <c r="C127" s="2"/>
      <c r="D127" s="180">
        <f ca="1">'Reorganised Statements'!D127-'Reorganised Statements'!E127</f>
        <v>-336</v>
      </c>
      <c r="E127" s="181">
        <f ca="1">'Reorganised Statements'!E127-'Reorganised Statements'!F127</f>
        <v>150</v>
      </c>
      <c r="F127" s="181">
        <f ca="1">'Reorganised Statements'!F127-'Reorganised Statements'!G127</f>
        <v>-110</v>
      </c>
      <c r="G127" s="260">
        <f ca="1">'Reorganised Statements'!G127-'Reorganised Statements'!H127</f>
        <v>-71</v>
      </c>
      <c r="H127" s="137"/>
      <c r="I127" s="137"/>
      <c r="J127" s="137"/>
      <c r="K127" s="52"/>
      <c r="L127" s="1"/>
      <c r="M127" s="1"/>
      <c r="N127" s="1"/>
      <c r="O127" s="1"/>
      <c r="P127" s="1"/>
      <c r="Q127" s="1"/>
      <c r="R127" s="1"/>
      <c r="S127" s="1"/>
      <c r="T127" s="1"/>
      <c r="U127" s="1"/>
      <c r="V127" s="1"/>
      <c r="W127" s="1"/>
      <c r="X127" s="1"/>
      <c r="Y127" s="1"/>
      <c r="Z127" s="1"/>
      <c r="AA127" s="1"/>
      <c r="AB127" s="1"/>
      <c r="AC127" s="1"/>
      <c r="AD127" s="1"/>
    </row>
    <row r="128" spans="1:30">
      <c r="A128" s="257"/>
      <c r="B128" s="2" t="s">
        <v>369</v>
      </c>
      <c r="C128" s="2"/>
      <c r="D128" s="180">
        <f ca="1">'Reorganised Statements'!D128-'Reorganised Statements'!E128</f>
        <v>214</v>
      </c>
      <c r="E128" s="181">
        <f ca="1">'Reorganised Statements'!E128-'Reorganised Statements'!F128</f>
        <v>-3</v>
      </c>
      <c r="F128" s="181">
        <f ca="1">'Reorganised Statements'!F128-'Reorganised Statements'!G128</f>
        <v>32</v>
      </c>
      <c r="G128" s="260">
        <f ca="1">'Reorganised Statements'!G128-'Reorganised Statements'!H128</f>
        <v>68</v>
      </c>
      <c r="H128" s="137"/>
      <c r="I128" s="137"/>
      <c r="J128" s="138"/>
      <c r="K128" s="52"/>
      <c r="L128" s="1"/>
      <c r="M128" s="1"/>
      <c r="N128" s="1"/>
      <c r="O128" s="1"/>
      <c r="P128" s="1"/>
      <c r="Q128" s="1"/>
      <c r="R128" s="1"/>
      <c r="S128" s="1"/>
      <c r="T128" s="1"/>
      <c r="U128" s="1"/>
      <c r="V128" s="1"/>
      <c r="W128" s="1"/>
      <c r="X128" s="1"/>
      <c r="Y128" s="1"/>
      <c r="Z128" s="1"/>
      <c r="AA128" s="1"/>
      <c r="AB128" s="1"/>
      <c r="AC128" s="1"/>
      <c r="AD128" s="1"/>
    </row>
    <row r="129" spans="1:30">
      <c r="A129" s="257"/>
      <c r="B129" s="21" t="s">
        <v>371</v>
      </c>
      <c r="C129" s="22"/>
      <c r="D129" s="182">
        <f ca="1">SUM(D126:D128)</f>
        <v>-97</v>
      </c>
      <c r="E129" s="183">
        <f t="shared" ref="E129:F129" ca="1" si="9">SUM(E126:E128)</f>
        <v>159</v>
      </c>
      <c r="F129" s="183">
        <f t="shared" ca="1" si="9"/>
        <v>-118</v>
      </c>
      <c r="G129" s="262">
        <f ca="1">SUM(G126:G128)</f>
        <v>0</v>
      </c>
      <c r="H129" s="137"/>
      <c r="I129" s="137"/>
      <c r="J129" s="137"/>
      <c r="K129" s="52"/>
      <c r="L129" s="1"/>
      <c r="M129" s="1"/>
      <c r="N129" s="1"/>
      <c r="O129" s="1"/>
      <c r="P129" s="1"/>
      <c r="Q129" s="1"/>
      <c r="R129" s="1"/>
      <c r="S129" s="1"/>
      <c r="T129" s="1"/>
      <c r="U129" s="1"/>
      <c r="V129" s="1"/>
      <c r="W129" s="1"/>
      <c r="X129" s="1"/>
      <c r="Y129" s="1"/>
      <c r="Z129" s="1"/>
      <c r="AA129" s="1"/>
      <c r="AB129" s="1"/>
      <c r="AC129" s="1"/>
      <c r="AD129" s="1"/>
    </row>
    <row r="130" spans="1:30">
      <c r="A130" s="257"/>
      <c r="B130" s="2"/>
      <c r="C130" s="2"/>
      <c r="D130" s="180"/>
      <c r="E130" s="181"/>
      <c r="F130" s="181"/>
      <c r="G130" s="260"/>
      <c r="H130" s="137"/>
      <c r="I130" s="137"/>
      <c r="J130" s="136"/>
      <c r="K130" s="52"/>
      <c r="L130" s="1"/>
      <c r="M130" s="1"/>
      <c r="N130" s="1"/>
      <c r="O130" s="1"/>
      <c r="P130" s="1"/>
      <c r="Q130" s="1"/>
      <c r="R130" s="1"/>
      <c r="S130" s="1"/>
      <c r="T130" s="1"/>
      <c r="U130" s="1"/>
      <c r="V130" s="1"/>
      <c r="W130" s="1"/>
      <c r="X130" s="1"/>
      <c r="Y130" s="1"/>
      <c r="Z130" s="1"/>
      <c r="AA130" s="1"/>
      <c r="AB130" s="1"/>
      <c r="AC130" s="1"/>
      <c r="AD130" s="1"/>
    </row>
    <row r="131" spans="1:30">
      <c r="A131" s="257"/>
      <c r="B131" s="2" t="s">
        <v>350</v>
      </c>
      <c r="C131" s="2"/>
      <c r="D131" s="180">
        <f ca="1">'Reorganised Statements'!D131-'Reorganised Statements'!E131</f>
        <v>-59</v>
      </c>
      <c r="E131" s="181">
        <f ca="1">'Reorganised Statements'!E131-'Reorganised Statements'!F131</f>
        <v>132</v>
      </c>
      <c r="F131" s="181">
        <f ca="1">'Reorganised Statements'!F131-'Reorganised Statements'!G131</f>
        <v>53</v>
      </c>
      <c r="G131" s="260">
        <f ca="1">'Reorganised Statements'!G131-'Reorganised Statements'!H131</f>
        <v>-155</v>
      </c>
      <c r="H131" s="137"/>
      <c r="I131" s="138"/>
      <c r="J131" s="137"/>
      <c r="K131" s="52"/>
      <c r="L131" s="1"/>
      <c r="M131" s="1"/>
      <c r="N131" s="1"/>
      <c r="O131" s="1"/>
      <c r="P131" s="1"/>
      <c r="Q131" s="1"/>
      <c r="R131" s="1"/>
      <c r="S131" s="1"/>
      <c r="T131" s="1"/>
      <c r="U131" s="1"/>
      <c r="V131" s="1"/>
      <c r="W131" s="1"/>
      <c r="X131" s="1"/>
      <c r="Y131" s="1"/>
      <c r="Z131" s="1"/>
      <c r="AA131" s="1"/>
      <c r="AB131" s="1"/>
      <c r="AC131" s="1"/>
      <c r="AD131" s="1"/>
    </row>
    <row r="132" spans="1:30">
      <c r="A132" s="257"/>
      <c r="B132" s="2" t="s">
        <v>351</v>
      </c>
      <c r="C132" s="2"/>
      <c r="D132" s="180">
        <f>'Reorganised Statements'!D137-'Reorganised Statements'!E137</f>
        <v>-18.118962075848298</v>
      </c>
      <c r="E132" s="181">
        <f>'Reorganised Statements'!E137-'Reorganised Statements'!F137</f>
        <v>16.348594377510032</v>
      </c>
      <c r="F132" s="181">
        <f>'Reorganised Statements'!F137-'Reorganised Statements'!G137</f>
        <v>-37.563855421686739</v>
      </c>
      <c r="G132" s="260">
        <f>'Reorganised Statements'!G137-'Reorganised Statements'!H137</f>
        <v>34.481927710843372</v>
      </c>
      <c r="H132" s="138"/>
      <c r="I132" s="137"/>
      <c r="J132" s="136"/>
      <c r="K132" s="52"/>
      <c r="L132" s="1"/>
      <c r="M132" s="1"/>
      <c r="N132" s="1"/>
      <c r="O132" s="1"/>
      <c r="P132" s="1"/>
      <c r="Q132" s="1"/>
      <c r="R132" s="1"/>
      <c r="S132" s="1"/>
      <c r="T132" s="1"/>
      <c r="U132" s="1"/>
      <c r="V132" s="1"/>
      <c r="W132" s="1"/>
      <c r="X132" s="1"/>
      <c r="Y132" s="1"/>
      <c r="Z132" s="1"/>
      <c r="AA132" s="1"/>
      <c r="AB132" s="1"/>
      <c r="AC132" s="1"/>
      <c r="AD132" s="1"/>
    </row>
    <row r="133" spans="1:30">
      <c r="A133" s="257"/>
      <c r="B133" s="21" t="s">
        <v>372</v>
      </c>
      <c r="C133" s="22"/>
      <c r="D133" s="182">
        <f ca="1">SUM(D129,D131:D132)</f>
        <v>54</v>
      </c>
      <c r="E133" s="183">
        <f t="shared" ref="E133:G133" ca="1" si="10">SUM(E129,E131:E132)</f>
        <v>71</v>
      </c>
      <c r="F133" s="183">
        <f t="shared" ca="1" si="10"/>
        <v>25</v>
      </c>
      <c r="G133" s="262">
        <f t="shared" ca="1" si="10"/>
        <v>81</v>
      </c>
      <c r="H133" s="137"/>
      <c r="I133" s="136"/>
      <c r="J133" s="150"/>
      <c r="K133" s="52"/>
      <c r="L133" s="1"/>
      <c r="M133" s="1"/>
      <c r="N133" s="1"/>
      <c r="O133" s="1"/>
      <c r="P133" s="1"/>
      <c r="Q133" s="1"/>
      <c r="R133" s="1"/>
      <c r="S133" s="1"/>
      <c r="T133" s="1"/>
      <c r="U133" s="1"/>
      <c r="V133" s="1"/>
      <c r="W133" s="1"/>
      <c r="X133" s="1"/>
      <c r="Y133" s="1"/>
      <c r="Z133" s="1"/>
      <c r="AA133" s="1"/>
      <c r="AB133" s="1"/>
      <c r="AC133" s="1"/>
      <c r="AD133" s="1"/>
    </row>
    <row r="134" spans="1:30">
      <c r="A134" s="257"/>
      <c r="B134" s="2"/>
      <c r="C134" s="2"/>
      <c r="D134" s="180"/>
      <c r="E134" s="181"/>
      <c r="F134" s="181"/>
      <c r="G134" s="260"/>
      <c r="H134" s="136"/>
      <c r="I134" s="137"/>
      <c r="J134" s="137"/>
      <c r="K134" s="52"/>
      <c r="L134" s="1"/>
      <c r="M134" s="1"/>
      <c r="N134" s="1"/>
      <c r="O134" s="1"/>
      <c r="P134" s="1"/>
      <c r="Q134" s="1"/>
      <c r="R134" s="1"/>
      <c r="S134" s="1"/>
      <c r="T134" s="1"/>
      <c r="U134" s="1"/>
      <c r="V134" s="1"/>
      <c r="W134" s="1"/>
      <c r="X134" s="1"/>
      <c r="Y134" s="1"/>
      <c r="Z134" s="1"/>
      <c r="AA134" s="1"/>
      <c r="AB134" s="1"/>
      <c r="AC134" s="1"/>
      <c r="AD134" s="1"/>
    </row>
    <row r="135" spans="1:30">
      <c r="A135" s="257"/>
      <c r="B135" s="2" t="s">
        <v>352</v>
      </c>
      <c r="C135" s="2"/>
      <c r="D135" s="180">
        <f>('Reorganised Statements'!D121+'Reorganised Statements'!D122)-('Reorganised Statements'!E121+'Reorganised Statements'!E122)+'Reorganised Statements'!E188</f>
        <v>-197</v>
      </c>
      <c r="E135" s="181">
        <f>('Reorganised Statements'!E121+'Reorganised Statements'!E122)-('Reorganised Statements'!F121+'Reorganised Statements'!F122)+'Reorganised Statements'!F188</f>
        <v>87</v>
      </c>
      <c r="F135" s="181">
        <f>('Reorganised Statements'!F121+'Reorganised Statements'!F122)-('Reorganised Statements'!G121+'Reorganised Statements'!G122)+'Reorganised Statements'!G188</f>
        <v>-67</v>
      </c>
      <c r="G135" s="260">
        <f>('Reorganised Statements'!G121+'Reorganised Statements'!G122)-('Reorganised Statements'!H121+'Reorganised Statements'!H122)+'Reorganised Statements'!H188</f>
        <v>498</v>
      </c>
      <c r="H135" s="137"/>
      <c r="I135" s="136"/>
      <c r="J135" s="137"/>
      <c r="K135" s="52"/>
      <c r="L135" s="1"/>
      <c r="M135" s="1"/>
      <c r="N135" s="1"/>
      <c r="O135" s="1"/>
      <c r="P135" s="1"/>
      <c r="Q135" s="1"/>
      <c r="R135" s="1"/>
      <c r="S135" s="1"/>
      <c r="T135" s="1"/>
      <c r="U135" s="1"/>
      <c r="V135" s="1"/>
      <c r="W135" s="1"/>
      <c r="X135" s="1"/>
      <c r="Y135" s="1"/>
      <c r="Z135" s="1"/>
      <c r="AA135" s="1"/>
      <c r="AB135" s="1"/>
      <c r="AC135" s="1"/>
      <c r="AD135" s="1"/>
    </row>
    <row r="136" spans="1:30">
      <c r="A136" s="257"/>
      <c r="B136" s="2" t="s">
        <v>353</v>
      </c>
      <c r="C136" s="2"/>
      <c r="D136" s="180">
        <v>648</v>
      </c>
      <c r="E136" s="181">
        <v>444</v>
      </c>
      <c r="F136" s="181">
        <v>623</v>
      </c>
      <c r="G136" s="260">
        <v>511</v>
      </c>
      <c r="H136" s="136"/>
      <c r="I136" s="150"/>
      <c r="J136" s="137"/>
      <c r="K136" s="52"/>
      <c r="L136" s="1"/>
      <c r="M136" s="1"/>
      <c r="N136" s="1"/>
      <c r="O136" s="1"/>
      <c r="P136" s="1"/>
      <c r="Q136" s="1"/>
      <c r="R136" s="1"/>
      <c r="S136" s="1"/>
      <c r="T136" s="1"/>
      <c r="U136" s="1"/>
      <c r="V136" s="1"/>
      <c r="W136" s="1"/>
      <c r="X136" s="1"/>
      <c r="Y136" s="1"/>
      <c r="Z136" s="1"/>
      <c r="AA136" s="1"/>
      <c r="AB136" s="1"/>
      <c r="AC136" s="1"/>
      <c r="AD136" s="1"/>
    </row>
    <row r="137" spans="1:30">
      <c r="A137" s="257"/>
      <c r="B137" s="2" t="s">
        <v>354</v>
      </c>
      <c r="C137" s="2"/>
      <c r="D137" s="180">
        <f>'Reorganised Statements'!D146-'Reorganised Statements'!E146</f>
        <v>-4.8522954091816359</v>
      </c>
      <c r="E137" s="180">
        <f>'Reorganised Statements'!E146-'Reorganised Statements'!F146</f>
        <v>13.266666666666662</v>
      </c>
      <c r="F137" s="180">
        <f>'Reorganised Statements'!F146-'Reorganised Statements'!G146</f>
        <v>-3.0819277108433702</v>
      </c>
      <c r="G137" s="263">
        <f>'Reorganised Statements'!G146-'Reorganised Statements'!H146</f>
        <v>34.481927710843372</v>
      </c>
      <c r="H137" s="150"/>
      <c r="I137" s="137"/>
      <c r="J137" s="137"/>
      <c r="K137" s="52"/>
      <c r="L137" s="1"/>
      <c r="M137" s="1"/>
      <c r="N137" s="1"/>
      <c r="O137" s="1"/>
      <c r="P137" s="1"/>
      <c r="Q137" s="1"/>
      <c r="R137" s="1"/>
      <c r="S137" s="1"/>
      <c r="T137" s="1"/>
      <c r="U137" s="1"/>
      <c r="V137" s="1"/>
      <c r="W137" s="1"/>
      <c r="X137" s="1"/>
      <c r="Y137" s="1"/>
      <c r="Z137" s="1"/>
      <c r="AA137" s="1"/>
      <c r="AB137" s="1"/>
      <c r="AC137" s="1"/>
      <c r="AD137" s="1"/>
    </row>
    <row r="138" spans="1:30">
      <c r="A138" s="257"/>
      <c r="B138" s="2" t="s">
        <v>355</v>
      </c>
      <c r="C138" s="2"/>
      <c r="D138" s="180">
        <f>'Reorganised Statements'!D145-'Reorganised Statements'!E145</f>
        <v>-879</v>
      </c>
      <c r="E138" s="180">
        <f>'Reorganised Statements'!E145-'Reorganised Statements'!F145</f>
        <v>233</v>
      </c>
      <c r="F138" s="180">
        <f>'Reorganised Statements'!F145-'Reorganised Statements'!G145</f>
        <v>313</v>
      </c>
      <c r="G138" s="263">
        <f>'Reorganised Statements'!G145-'Reorganised Statements'!H145</f>
        <v>-190</v>
      </c>
      <c r="H138" s="137"/>
      <c r="I138" s="137"/>
      <c r="J138" s="138"/>
      <c r="K138" s="52"/>
      <c r="L138" s="1"/>
      <c r="M138" s="1"/>
      <c r="N138" s="1"/>
      <c r="O138" s="1"/>
      <c r="P138" s="1"/>
      <c r="Q138" s="1"/>
      <c r="R138" s="1"/>
      <c r="S138" s="1"/>
      <c r="T138" s="1"/>
      <c r="U138" s="1"/>
      <c r="V138" s="1"/>
      <c r="W138" s="1"/>
      <c r="X138" s="1"/>
      <c r="Y138" s="1"/>
      <c r="Z138" s="1"/>
      <c r="AA138" s="1"/>
      <c r="AB138" s="1"/>
      <c r="AC138" s="1"/>
      <c r="AD138" s="1"/>
    </row>
    <row r="139" spans="1:30">
      <c r="A139" s="257"/>
      <c r="B139" s="2" t="s">
        <v>368</v>
      </c>
      <c r="C139" s="2"/>
      <c r="D139" s="180">
        <f>'Reorganised Statements'!D144-'Reorganised Statements'!E144</f>
        <v>18.118962075848298</v>
      </c>
      <c r="E139" s="180">
        <f>'Reorganised Statements'!E144-'Reorganised Statements'!F144</f>
        <v>-16.348594377510032</v>
      </c>
      <c r="F139" s="180">
        <f>'Reorganised Statements'!F144-'Reorganised Statements'!G144</f>
        <v>37.563855421686739</v>
      </c>
      <c r="G139" s="263">
        <f>'Reorganised Statements'!G144-'Reorganised Statements'!H144</f>
        <v>-34.481927710843372</v>
      </c>
      <c r="H139" s="137"/>
      <c r="I139" s="137"/>
      <c r="J139" s="137"/>
      <c r="K139" s="52"/>
      <c r="L139" s="1"/>
      <c r="M139" s="1"/>
      <c r="N139" s="1"/>
      <c r="O139" s="1"/>
      <c r="P139" s="1"/>
      <c r="Q139" s="1"/>
      <c r="R139" s="1"/>
      <c r="S139" s="1"/>
      <c r="T139" s="1"/>
      <c r="U139" s="1"/>
      <c r="V139" s="1"/>
      <c r="W139" s="1"/>
      <c r="X139" s="1"/>
      <c r="Y139" s="1"/>
      <c r="Z139" s="1"/>
      <c r="AA139" s="1"/>
      <c r="AB139" s="1"/>
      <c r="AC139" s="1"/>
      <c r="AD139" s="1"/>
    </row>
    <row r="140" spans="1:30">
      <c r="A140" s="257"/>
      <c r="B140" s="2" t="s">
        <v>356</v>
      </c>
      <c r="C140" s="2"/>
      <c r="D140" s="180">
        <v>20</v>
      </c>
      <c r="E140" s="181">
        <v>-91</v>
      </c>
      <c r="F140" s="181">
        <v>11</v>
      </c>
      <c r="G140" s="260">
        <v>-3</v>
      </c>
      <c r="H140" s="137"/>
      <c r="I140" s="137"/>
      <c r="J140" s="137"/>
      <c r="K140" s="52"/>
      <c r="L140" s="1"/>
      <c r="M140" s="1"/>
      <c r="N140" s="1"/>
      <c r="O140" s="1"/>
      <c r="P140" s="1"/>
      <c r="Q140" s="1"/>
      <c r="R140" s="1"/>
      <c r="S140" s="1"/>
      <c r="T140" s="1"/>
      <c r="U140" s="1"/>
      <c r="V140" s="1"/>
      <c r="W140" s="1"/>
      <c r="X140" s="1"/>
      <c r="Y140" s="1"/>
      <c r="Z140" s="1"/>
      <c r="AA140" s="1"/>
      <c r="AB140" s="1"/>
      <c r="AC140" s="1"/>
      <c r="AD140" s="1"/>
    </row>
    <row r="141" spans="1:30">
      <c r="A141" s="257"/>
      <c r="B141" s="15" t="s">
        <v>357</v>
      </c>
      <c r="C141" s="17"/>
      <c r="D141" s="184">
        <f ca="1">D124+D133+SUM(D135:D140)</f>
        <v>32.18562874251495</v>
      </c>
      <c r="E141" s="184">
        <f t="shared" ref="E141:G141" ca="1" si="11">E124+E133+SUM(E135:E140)</f>
        <v>765.33333333333326</v>
      </c>
      <c r="F141" s="184">
        <f t="shared" ca="1" si="11"/>
        <v>31.600000000000023</v>
      </c>
      <c r="G141" s="264">
        <f t="shared" ca="1" si="11"/>
        <v>229.51807228915663</v>
      </c>
      <c r="H141" s="137"/>
      <c r="I141" s="138"/>
      <c r="J141" s="136"/>
      <c r="K141" s="52"/>
      <c r="L141" s="1"/>
      <c r="M141" s="1"/>
      <c r="N141" s="1"/>
      <c r="O141" s="1"/>
      <c r="P141" s="1"/>
      <c r="Q141" s="1"/>
      <c r="R141" s="1"/>
      <c r="S141" s="1"/>
      <c r="T141" s="1"/>
      <c r="U141" s="1"/>
      <c r="V141" s="1"/>
      <c r="W141" s="1"/>
      <c r="X141" s="1"/>
      <c r="Y141" s="1"/>
      <c r="Z141" s="1"/>
      <c r="AA141" s="1"/>
      <c r="AB141" s="1"/>
      <c r="AC141" s="1"/>
      <c r="AD141" s="1"/>
    </row>
    <row r="142" spans="1:30">
      <c r="A142" s="257"/>
      <c r="B142" s="2" t="s">
        <v>358</v>
      </c>
      <c r="C142" s="2"/>
      <c r="D142" s="188">
        <f ca="1">-D141/D121</f>
        <v>-7.2653789486489734E-2</v>
      </c>
      <c r="E142" s="188">
        <f t="shared" ref="E142:G142" ca="1" si="12">E141/E121</f>
        <v>1.0779342723004695</v>
      </c>
      <c r="F142" s="188">
        <f t="shared" ca="1" si="12"/>
        <v>5.3741496598639492E-2</v>
      </c>
      <c r="G142" s="265">
        <f t="shared" ca="1" si="12"/>
        <v>0.33408744146893249</v>
      </c>
      <c r="H142" s="138"/>
      <c r="I142" s="137"/>
      <c r="J142" s="136"/>
      <c r="K142" s="52"/>
      <c r="L142" s="1"/>
      <c r="M142" s="1"/>
      <c r="N142" s="1"/>
      <c r="O142" s="1"/>
      <c r="P142" s="1"/>
      <c r="Q142" s="1"/>
      <c r="R142" s="1"/>
      <c r="S142" s="1"/>
      <c r="T142" s="1"/>
      <c r="U142" s="1"/>
      <c r="V142" s="1"/>
      <c r="W142" s="1"/>
      <c r="X142" s="1"/>
      <c r="Y142" s="1"/>
      <c r="Z142" s="1"/>
      <c r="AA142" s="1"/>
      <c r="AB142" s="1"/>
      <c r="AC142" s="1"/>
      <c r="AD142" s="1"/>
    </row>
    <row r="143" spans="1:30">
      <c r="A143" s="257"/>
      <c r="B143" s="2"/>
      <c r="C143" s="2"/>
      <c r="D143" s="180"/>
      <c r="E143" s="181"/>
      <c r="F143" s="181"/>
      <c r="G143" s="260"/>
      <c r="H143" s="137"/>
      <c r="I143" s="137"/>
      <c r="J143" s="136"/>
      <c r="K143" s="52"/>
      <c r="L143" s="1"/>
      <c r="M143" s="1"/>
      <c r="N143" s="1"/>
      <c r="O143" s="1"/>
      <c r="P143" s="1"/>
      <c r="Q143" s="1"/>
      <c r="R143" s="1"/>
      <c r="S143" s="1"/>
      <c r="T143" s="1"/>
      <c r="U143" s="1"/>
      <c r="V143" s="1"/>
      <c r="W143" s="1"/>
      <c r="X143" s="1"/>
      <c r="Y143" s="1"/>
      <c r="Z143" s="1"/>
      <c r="AA143" s="1"/>
      <c r="AB143" s="1"/>
      <c r="AC143" s="1"/>
      <c r="AD143" s="1"/>
    </row>
    <row r="144" spans="1:30">
      <c r="A144" s="257"/>
      <c r="B144" s="2" t="s">
        <v>359</v>
      </c>
      <c r="C144" s="2"/>
      <c r="D144" s="180">
        <f>('Reorganised Statements'!D123-'Reorganised Statements'!E123)+'Reorganised Statements'!E215</f>
        <v>4.8522954091816359</v>
      </c>
      <c r="E144" s="180">
        <f>('Reorganised Statements'!E123-'Reorganised Statements'!F123)+'Reorganised Statements'!F215</f>
        <v>-13.266666666666662</v>
      </c>
      <c r="F144" s="180">
        <f>('Reorganised Statements'!F123-'Reorganised Statements'!G123)+'Reorganised Statements'!G215</f>
        <v>3.0819277108433702</v>
      </c>
      <c r="G144" s="263">
        <f>('Reorganised Statements'!G123-'Reorganised Statements'!H123)+'Reorganised Statements'!H215</f>
        <v>-34.481927710843372</v>
      </c>
      <c r="H144" s="137"/>
      <c r="I144" s="136"/>
      <c r="J144" s="136"/>
      <c r="K144" s="52"/>
      <c r="L144" s="1"/>
      <c r="M144" s="1"/>
      <c r="N144" s="1"/>
      <c r="O144" s="1"/>
      <c r="P144" s="1"/>
      <c r="Q144" s="1"/>
      <c r="R144" s="1"/>
      <c r="S144" s="1"/>
      <c r="T144" s="1"/>
      <c r="U144" s="1"/>
      <c r="V144" s="1"/>
      <c r="W144" s="1"/>
      <c r="X144" s="1"/>
      <c r="Y144" s="1"/>
      <c r="Z144" s="1"/>
      <c r="AA144" s="1"/>
      <c r="AB144" s="1"/>
      <c r="AC144" s="1"/>
      <c r="AD144" s="1"/>
    </row>
    <row r="145" spans="1:30">
      <c r="A145" s="257"/>
      <c r="B145" s="2" t="s">
        <v>360</v>
      </c>
      <c r="C145" s="2"/>
      <c r="D145" s="180">
        <f>'Reorganised Statements'!D155-'Reorganised Statements'!E155</f>
        <v>-523</v>
      </c>
      <c r="E145" s="180">
        <f>'Reorganised Statements'!E155-'Reorganised Statements'!F155</f>
        <v>356</v>
      </c>
      <c r="F145" s="180">
        <f>'Reorganised Statements'!F155-'Reorganised Statements'!G155</f>
        <v>123</v>
      </c>
      <c r="G145" s="263">
        <f>'Reorganised Statements'!G155-'Reorganised Statements'!H155</f>
        <v>-190</v>
      </c>
      <c r="H145" s="136"/>
      <c r="I145" s="136"/>
      <c r="J145" s="137"/>
      <c r="K145" s="52"/>
      <c r="L145" s="1"/>
      <c r="M145" s="1"/>
      <c r="N145" s="1"/>
      <c r="O145" s="1"/>
      <c r="P145" s="1"/>
      <c r="Q145" s="1"/>
      <c r="R145" s="1"/>
      <c r="S145" s="1"/>
      <c r="T145" s="1"/>
      <c r="U145" s="1"/>
      <c r="V145" s="1"/>
      <c r="W145" s="1"/>
      <c r="X145" s="1"/>
      <c r="Y145" s="1"/>
      <c r="Z145" s="1"/>
      <c r="AA145" s="1"/>
      <c r="AB145" s="1"/>
      <c r="AC145" s="1"/>
      <c r="AD145" s="1"/>
    </row>
    <row r="146" spans="1:30">
      <c r="A146" s="257"/>
      <c r="B146" s="2" t="s">
        <v>377</v>
      </c>
      <c r="C146" s="2"/>
      <c r="D146" s="180">
        <f>-D123</f>
        <v>39.814371257485028</v>
      </c>
      <c r="E146" s="180">
        <f t="shared" ref="E146:G146" si="13">-E123</f>
        <v>44.666666666666664</v>
      </c>
      <c r="F146" s="180">
        <f t="shared" si="13"/>
        <v>31.400000000000002</v>
      </c>
      <c r="G146" s="263">
        <f t="shared" si="13"/>
        <v>34.481927710843372</v>
      </c>
      <c r="H146" s="136"/>
      <c r="I146" s="136"/>
      <c r="J146" s="137"/>
      <c r="K146" s="52"/>
      <c r="L146" s="1"/>
      <c r="M146" s="1"/>
      <c r="N146" s="1"/>
      <c r="O146" s="1"/>
      <c r="P146" s="1"/>
      <c r="Q146" s="1"/>
      <c r="R146" s="1"/>
      <c r="S146" s="1"/>
      <c r="T146" s="1"/>
      <c r="U146" s="1"/>
      <c r="V146" s="1"/>
      <c r="W146" s="1"/>
      <c r="X146" s="1"/>
      <c r="Y146" s="1"/>
      <c r="Z146" s="1"/>
      <c r="AA146" s="1"/>
      <c r="AB146" s="1"/>
      <c r="AC146" s="1"/>
      <c r="AD146" s="1"/>
    </row>
    <row r="147" spans="1:30">
      <c r="A147" s="257"/>
      <c r="B147" s="15" t="s">
        <v>361</v>
      </c>
      <c r="C147" s="17"/>
      <c r="D147" s="184">
        <f ca="1">D141+D144+D145+D146</f>
        <v>-22.000000000000021</v>
      </c>
      <c r="E147" s="185">
        <f t="shared" ref="E147:G147" ca="1" si="14">E141+E144+E145+E146</f>
        <v>847.99999999999989</v>
      </c>
      <c r="F147" s="185">
        <f t="shared" ca="1" si="14"/>
        <v>-232.99999999999997</v>
      </c>
      <c r="G147" s="266">
        <f t="shared" ca="1" si="14"/>
        <v>71</v>
      </c>
      <c r="H147" s="136"/>
      <c r="I147" s="136"/>
      <c r="J147" s="137"/>
      <c r="K147" s="52"/>
      <c r="L147" s="1"/>
      <c r="M147" s="1"/>
      <c r="N147" s="1"/>
      <c r="O147" s="1"/>
      <c r="P147" s="1"/>
      <c r="Q147" s="1"/>
      <c r="R147" s="1"/>
      <c r="S147" s="1"/>
      <c r="T147" s="1"/>
      <c r="U147" s="1"/>
      <c r="V147" s="1"/>
      <c r="W147" s="1"/>
      <c r="X147" s="1"/>
      <c r="Y147" s="1"/>
      <c r="Z147" s="1"/>
      <c r="AA147" s="1"/>
      <c r="AB147" s="1"/>
      <c r="AC147" s="1"/>
      <c r="AD147" s="1"/>
    </row>
    <row r="148" spans="1:30">
      <c r="A148" s="257"/>
      <c r="B148" s="2" t="s">
        <v>362</v>
      </c>
      <c r="C148" s="2"/>
      <c r="D148" s="180"/>
      <c r="E148" s="181"/>
      <c r="F148" s="181"/>
      <c r="G148" s="260"/>
      <c r="H148" s="137"/>
      <c r="I148" s="137"/>
      <c r="J148" s="137"/>
      <c r="K148" s="52"/>
      <c r="L148" s="1"/>
      <c r="M148" s="1"/>
      <c r="N148" s="1"/>
      <c r="O148" s="1"/>
      <c r="P148" s="1"/>
      <c r="Q148" s="1"/>
      <c r="R148" s="1"/>
      <c r="S148" s="1"/>
      <c r="T148" s="1"/>
      <c r="U148" s="1"/>
      <c r="V148" s="1"/>
      <c r="W148" s="1"/>
      <c r="X148" s="1"/>
      <c r="Y148" s="1"/>
      <c r="Z148" s="1"/>
      <c r="AA148" s="1"/>
      <c r="AB148" s="1"/>
      <c r="AC148" s="1"/>
      <c r="AD148" s="1"/>
    </row>
    <row r="149" spans="1:30">
      <c r="A149" s="257"/>
      <c r="B149" s="2"/>
      <c r="C149" s="2"/>
      <c r="D149" s="186"/>
      <c r="E149" s="187"/>
      <c r="F149" s="187"/>
      <c r="G149" s="267"/>
      <c r="H149" s="137"/>
      <c r="I149" s="137"/>
      <c r="J149" s="137"/>
      <c r="K149" s="52"/>
      <c r="L149" s="1"/>
      <c r="M149" s="1"/>
      <c r="N149" s="1"/>
      <c r="O149" s="1"/>
      <c r="P149" s="1"/>
      <c r="Q149" s="1"/>
      <c r="R149" s="1"/>
      <c r="S149" s="1"/>
      <c r="T149" s="1"/>
      <c r="U149" s="1"/>
      <c r="V149" s="1"/>
      <c r="W149" s="1"/>
      <c r="X149" s="1"/>
      <c r="Y149" s="1"/>
      <c r="Z149" s="1"/>
      <c r="AA149" s="1"/>
      <c r="AB149" s="1"/>
      <c r="AC149" s="1"/>
      <c r="AD149" s="1"/>
    </row>
    <row r="150" spans="1:30">
      <c r="A150" s="257"/>
      <c r="B150" s="2" t="s">
        <v>363</v>
      </c>
      <c r="C150" s="2"/>
      <c r="D150" s="186">
        <f ca="1">('Reorganised Statements'!D151-'Reorganised Statements'!E151)-'Reorganised Statements'!E230</f>
        <v>-212</v>
      </c>
      <c r="E150" s="187">
        <f ca="1">('Reorganised Statements'!E151-'Reorganised Statements'!F151)-'Reorganised Statements'!F230</f>
        <v>-559</v>
      </c>
      <c r="F150" s="187">
        <f ca="1">('Reorganised Statements'!F151-'Reorganised Statements'!G151)-'Reorganised Statements'!G230</f>
        <v>166</v>
      </c>
      <c r="G150" s="267">
        <f ca="1">('Reorganised Statements'!G151-'Reorganised Statements'!H151)-'Reorganised Statements'!H230</f>
        <v>-261</v>
      </c>
      <c r="H150" s="137"/>
      <c r="I150" s="137"/>
      <c r="J150" s="137"/>
      <c r="K150" s="52"/>
      <c r="L150" s="1"/>
      <c r="M150" s="1"/>
      <c r="N150" s="1"/>
      <c r="O150" s="1"/>
      <c r="P150" s="1"/>
      <c r="Q150" s="1"/>
      <c r="R150" s="1"/>
      <c r="S150" s="1"/>
      <c r="T150" s="1"/>
      <c r="U150" s="1"/>
      <c r="V150" s="1"/>
      <c r="W150" s="1"/>
      <c r="X150" s="1"/>
      <c r="Y150" s="1"/>
      <c r="Z150" s="1"/>
      <c r="AA150" s="1"/>
      <c r="AB150" s="1"/>
      <c r="AC150" s="1"/>
      <c r="AD150" s="1"/>
    </row>
    <row r="151" spans="1:30">
      <c r="A151" s="257"/>
      <c r="B151" s="5" t="s">
        <v>364</v>
      </c>
      <c r="C151" s="2"/>
      <c r="D151" s="186">
        <f ca="1">D147+D150</f>
        <v>-234.00000000000003</v>
      </c>
      <c r="E151" s="186">
        <f t="shared" ref="E151:G151" ca="1" si="15">E147+E150</f>
        <v>288.99999999999989</v>
      </c>
      <c r="F151" s="186">
        <f t="shared" ca="1" si="15"/>
        <v>-66.999999999999972</v>
      </c>
      <c r="G151" s="268">
        <f t="shared" ca="1" si="15"/>
        <v>-190</v>
      </c>
      <c r="H151" s="137"/>
      <c r="I151" s="137"/>
      <c r="J151" s="137"/>
      <c r="K151" s="52"/>
      <c r="L151" s="1"/>
      <c r="M151" s="1"/>
      <c r="N151" s="1"/>
      <c r="O151" s="1"/>
      <c r="P151" s="1"/>
      <c r="Q151" s="1"/>
      <c r="R151" s="1"/>
      <c r="S151" s="1"/>
      <c r="T151" s="1"/>
      <c r="U151" s="1"/>
      <c r="V151" s="1"/>
      <c r="W151" s="1"/>
      <c r="X151" s="1"/>
      <c r="Y151" s="1"/>
      <c r="Z151" s="1"/>
      <c r="AA151" s="1"/>
      <c r="AB151" s="1"/>
      <c r="AC151" s="1"/>
      <c r="AD151" s="1"/>
    </row>
    <row r="152" spans="1:30">
      <c r="A152" s="257"/>
      <c r="B152" s="2"/>
      <c r="C152" s="2"/>
      <c r="D152" s="186"/>
      <c r="E152" s="187"/>
      <c r="F152" s="187"/>
      <c r="G152" s="267"/>
      <c r="H152" s="137"/>
      <c r="I152" s="137"/>
      <c r="J152" s="137"/>
      <c r="K152" s="52"/>
      <c r="L152" s="1"/>
      <c r="M152" s="1"/>
      <c r="N152" s="1"/>
      <c r="O152" s="1"/>
      <c r="P152" s="1"/>
      <c r="Q152" s="1"/>
      <c r="R152" s="1"/>
      <c r="S152" s="1"/>
      <c r="T152" s="1"/>
      <c r="U152" s="1"/>
      <c r="V152" s="1"/>
      <c r="W152" s="1"/>
      <c r="X152" s="1"/>
      <c r="Y152" s="1"/>
      <c r="Z152" s="1"/>
      <c r="AA152" s="1"/>
      <c r="AB152" s="1"/>
      <c r="AC152" s="1"/>
      <c r="AD152" s="1"/>
    </row>
    <row r="153" spans="1:30">
      <c r="A153" s="257"/>
      <c r="B153" s="2" t="s">
        <v>365</v>
      </c>
      <c r="C153" s="2"/>
      <c r="D153" s="186">
        <v>636</v>
      </c>
      <c r="E153" s="187">
        <v>402</v>
      </c>
      <c r="F153" s="187">
        <v>691</v>
      </c>
      <c r="G153" s="267">
        <v>624</v>
      </c>
      <c r="H153" s="137"/>
      <c r="I153" s="137"/>
      <c r="J153" s="137"/>
      <c r="K153" s="52"/>
      <c r="L153" s="1"/>
      <c r="M153" s="1"/>
      <c r="N153" s="1"/>
      <c r="O153" s="1"/>
      <c r="P153" s="1"/>
      <c r="Q153" s="1"/>
      <c r="R153" s="1"/>
      <c r="S153" s="1"/>
      <c r="T153" s="1"/>
      <c r="U153" s="1"/>
      <c r="V153" s="1"/>
      <c r="W153" s="1"/>
      <c r="X153" s="1"/>
      <c r="Y153" s="1"/>
      <c r="Z153" s="1"/>
      <c r="AA153" s="1"/>
      <c r="AB153" s="1"/>
      <c r="AC153" s="1"/>
      <c r="AD153" s="1"/>
    </row>
    <row r="154" spans="1:30">
      <c r="A154" s="257"/>
      <c r="B154" s="2" t="s">
        <v>366</v>
      </c>
      <c r="C154" s="2"/>
      <c r="D154" s="186">
        <v>402</v>
      </c>
      <c r="E154" s="187">
        <v>691</v>
      </c>
      <c r="F154" s="187">
        <v>624</v>
      </c>
      <c r="G154" s="267">
        <v>434</v>
      </c>
      <c r="H154" s="137"/>
      <c r="I154" s="137"/>
      <c r="J154" s="137"/>
      <c r="K154" s="52"/>
      <c r="L154" s="1"/>
      <c r="M154" s="1"/>
      <c r="N154" s="1"/>
      <c r="O154" s="1"/>
      <c r="P154" s="1"/>
      <c r="Q154" s="1"/>
      <c r="R154" s="1"/>
      <c r="S154" s="1"/>
      <c r="T154" s="1"/>
      <c r="U154" s="1"/>
      <c r="V154" s="1"/>
      <c r="W154" s="1"/>
      <c r="X154" s="1"/>
      <c r="Y154" s="1"/>
      <c r="Z154" s="1"/>
      <c r="AA154" s="1"/>
      <c r="AB154" s="1"/>
      <c r="AC154" s="1"/>
      <c r="AD154" s="1"/>
    </row>
    <row r="155" spans="1:30" ht="15" thickBot="1">
      <c r="A155" s="269"/>
      <c r="B155" s="270" t="s">
        <v>367</v>
      </c>
      <c r="C155" s="270"/>
      <c r="D155" s="271">
        <f>D154-D153</f>
        <v>-234</v>
      </c>
      <c r="E155" s="271">
        <f t="shared" ref="E155:G155" si="16">E154-E153</f>
        <v>289</v>
      </c>
      <c r="F155" s="271">
        <f t="shared" si="16"/>
        <v>-67</v>
      </c>
      <c r="G155" s="272">
        <f t="shared" si="16"/>
        <v>-190</v>
      </c>
      <c r="H155" s="137"/>
      <c r="I155" s="137"/>
      <c r="J155" s="137"/>
      <c r="K155" s="52"/>
      <c r="L155" s="1"/>
      <c r="M155" s="1"/>
      <c r="N155" s="1"/>
      <c r="O155" s="1"/>
      <c r="P155" s="1"/>
      <c r="Q155" s="1"/>
      <c r="R155" s="1"/>
      <c r="S155" s="1"/>
      <c r="T155" s="1"/>
      <c r="U155" s="1"/>
      <c r="V155" s="1"/>
      <c r="W155" s="1"/>
      <c r="X155" s="1"/>
      <c r="Y155" s="1"/>
      <c r="Z155" s="1"/>
      <c r="AA155" s="1"/>
      <c r="AB155" s="1"/>
      <c r="AC155" s="1"/>
      <c r="AD155" s="1"/>
    </row>
    <row r="156" spans="1:30" ht="15" thickBot="1">
      <c r="A156" s="1"/>
      <c r="B156" s="1"/>
      <c r="C156" s="1"/>
      <c r="D156" s="1"/>
      <c r="E156" s="1"/>
      <c r="F156" s="1"/>
      <c r="G156" s="1"/>
      <c r="H156" s="137"/>
      <c r="I156" s="137"/>
      <c r="J156" s="137"/>
      <c r="K156" s="52"/>
      <c r="L156" s="1"/>
      <c r="M156" s="1"/>
      <c r="N156" s="1"/>
      <c r="O156" s="1"/>
      <c r="P156" s="1"/>
      <c r="Q156" s="1"/>
      <c r="R156" s="1"/>
      <c r="S156" s="1"/>
      <c r="T156" s="1"/>
      <c r="U156" s="1"/>
      <c r="V156" s="1"/>
      <c r="W156" s="1"/>
      <c r="X156" s="1"/>
      <c r="Y156" s="1"/>
      <c r="Z156" s="1"/>
      <c r="AA156" s="1"/>
      <c r="AB156" s="1"/>
      <c r="AC156" s="1"/>
      <c r="AD156" s="1"/>
    </row>
    <row r="157" spans="1:30" ht="15" thickBot="1">
      <c r="A157" s="1"/>
      <c r="B157" s="273" t="s">
        <v>378</v>
      </c>
      <c r="C157" s="274"/>
      <c r="D157" s="274" t="str">
        <f ca="1">IF(D151=D155,"Correct","Incorrect")</f>
        <v>Correct</v>
      </c>
      <c r="E157" s="274" t="str">
        <f t="shared" ref="E157:G157" ca="1" si="17">IF(E151=E155,"Correct","Incorrect")</f>
        <v>Correct</v>
      </c>
      <c r="F157" s="274" t="str">
        <f t="shared" ca="1" si="17"/>
        <v>Correct</v>
      </c>
      <c r="G157" s="275" t="str">
        <f t="shared" ca="1" si="17"/>
        <v>Correct</v>
      </c>
      <c r="H157" s="137"/>
      <c r="I157" s="137"/>
      <c r="J157" s="137"/>
      <c r="K157" s="52"/>
      <c r="L157" s="1"/>
      <c r="M157" s="1"/>
      <c r="N157" s="1"/>
      <c r="O157" s="1"/>
      <c r="P157" s="1"/>
      <c r="Q157" s="1"/>
      <c r="R157" s="1"/>
      <c r="S157" s="1"/>
      <c r="T157" s="1"/>
      <c r="U157" s="1"/>
      <c r="V157" s="1"/>
      <c r="W157" s="1"/>
      <c r="X157" s="1"/>
      <c r="Y157" s="1"/>
      <c r="Z157" s="1"/>
      <c r="AA157" s="1"/>
      <c r="AB157" s="1"/>
      <c r="AC157" s="1"/>
      <c r="AD157" s="1"/>
    </row>
    <row r="158" spans="1:30">
      <c r="A158" s="1"/>
      <c r="B158" s="1"/>
      <c r="C158" s="2"/>
      <c r="D158" s="2"/>
      <c r="E158" s="2"/>
      <c r="F158" s="137"/>
      <c r="G158" s="137"/>
      <c r="H158" s="137"/>
      <c r="I158" s="137"/>
      <c r="J158" s="137"/>
      <c r="K158" s="52"/>
      <c r="L158" s="1"/>
      <c r="M158" s="1"/>
      <c r="N158" s="1"/>
      <c r="O158" s="1"/>
      <c r="P158" s="1"/>
      <c r="Q158" s="1"/>
      <c r="R158" s="1"/>
      <c r="S158" s="1"/>
      <c r="T158" s="1"/>
      <c r="U158" s="1"/>
      <c r="V158" s="1"/>
      <c r="W158" s="1"/>
      <c r="X158" s="1"/>
      <c r="Y158" s="1"/>
      <c r="Z158" s="1"/>
      <c r="AA158" s="1"/>
      <c r="AB158" s="1"/>
      <c r="AC158" s="1"/>
      <c r="AD158" s="1"/>
    </row>
    <row r="159" spans="1:30">
      <c r="A159" s="1"/>
      <c r="B159" s="1"/>
      <c r="C159" s="2"/>
      <c r="D159" s="2"/>
      <c r="E159" s="2"/>
      <c r="F159" s="137"/>
      <c r="G159" s="137"/>
      <c r="H159" s="137"/>
      <c r="I159" s="137"/>
      <c r="J159" s="137"/>
      <c r="K159" s="52"/>
      <c r="L159" s="1"/>
      <c r="M159" s="1"/>
      <c r="N159" s="1"/>
      <c r="O159" s="1"/>
      <c r="P159" s="1"/>
      <c r="Q159" s="1"/>
      <c r="R159" s="1"/>
      <c r="S159" s="1"/>
      <c r="T159" s="1"/>
      <c r="U159" s="1"/>
      <c r="V159" s="1"/>
      <c r="W159" s="1"/>
      <c r="X159" s="1"/>
      <c r="Y159" s="1"/>
      <c r="Z159" s="1"/>
      <c r="AA159" s="1"/>
      <c r="AB159" s="1"/>
      <c r="AC159" s="1"/>
      <c r="AD159" s="1"/>
    </row>
    <row r="160" spans="1:30">
      <c r="A160" s="1"/>
      <c r="B160" s="1"/>
      <c r="C160" s="11"/>
      <c r="D160" s="2"/>
      <c r="E160" s="2"/>
      <c r="F160" s="137"/>
      <c r="G160" s="137"/>
      <c r="H160" s="137"/>
      <c r="I160" s="137"/>
      <c r="J160" s="52"/>
      <c r="K160" s="52"/>
      <c r="L160" s="1"/>
      <c r="M160" s="1"/>
      <c r="N160" s="1"/>
      <c r="O160" s="1"/>
      <c r="P160" s="1"/>
      <c r="Q160" s="1"/>
      <c r="R160" s="1"/>
      <c r="S160" s="1"/>
      <c r="T160" s="1"/>
      <c r="U160" s="1"/>
      <c r="V160" s="1"/>
      <c r="W160" s="1"/>
      <c r="X160" s="1"/>
      <c r="Y160" s="1"/>
      <c r="Z160" s="1"/>
      <c r="AA160" s="1"/>
      <c r="AB160" s="1"/>
      <c r="AC160" s="1"/>
      <c r="AD160" s="1"/>
    </row>
    <row r="161" spans="1:30">
      <c r="A161" s="1"/>
      <c r="B161" s="1"/>
      <c r="C161" s="2"/>
      <c r="D161" s="2"/>
      <c r="E161" s="2"/>
      <c r="F161" s="137"/>
      <c r="G161" s="137"/>
      <c r="H161" s="137"/>
      <c r="I161" s="137"/>
      <c r="J161" s="52"/>
      <c r="K161" s="52"/>
      <c r="L161" s="1"/>
      <c r="M161" s="1"/>
      <c r="N161" s="1"/>
      <c r="O161" s="1"/>
      <c r="P161" s="1"/>
      <c r="Q161" s="1"/>
      <c r="R161" s="1"/>
      <c r="S161" s="1"/>
      <c r="T161" s="1"/>
      <c r="U161" s="1"/>
      <c r="V161" s="1"/>
      <c r="W161" s="1"/>
      <c r="X161" s="1"/>
      <c r="Y161" s="1"/>
      <c r="Z161" s="1"/>
      <c r="AA161" s="1"/>
      <c r="AB161" s="1"/>
      <c r="AC161" s="1"/>
      <c r="AD161" s="1"/>
    </row>
    <row r="162" spans="1:30">
      <c r="A162" s="1"/>
      <c r="B162" s="1"/>
      <c r="C162" s="11"/>
      <c r="D162" s="2"/>
      <c r="E162" s="2"/>
      <c r="F162" s="137"/>
      <c r="G162" s="137"/>
      <c r="H162" s="137"/>
      <c r="I162" s="137"/>
      <c r="J162" s="52"/>
      <c r="K162" s="52"/>
      <c r="L162" s="1"/>
      <c r="M162" s="1"/>
      <c r="N162" s="1"/>
      <c r="O162" s="1"/>
      <c r="P162" s="1"/>
      <c r="Q162" s="1"/>
      <c r="R162" s="1"/>
      <c r="S162" s="1"/>
      <c r="T162" s="1"/>
      <c r="U162" s="1"/>
      <c r="V162" s="1"/>
      <c r="W162" s="1"/>
      <c r="X162" s="1"/>
      <c r="Y162" s="1"/>
      <c r="Z162" s="1"/>
      <c r="AA162" s="1"/>
      <c r="AB162" s="1"/>
      <c r="AC162" s="1"/>
      <c r="AD162" s="1"/>
    </row>
    <row r="163" spans="1:30">
      <c r="A163" s="1"/>
      <c r="B163" s="1"/>
      <c r="C163" s="11"/>
      <c r="D163" s="106"/>
      <c r="E163" s="106"/>
      <c r="F163" s="137"/>
      <c r="G163" s="137"/>
      <c r="H163" s="137"/>
      <c r="I163" s="52"/>
      <c r="J163" s="52"/>
      <c r="K163" s="52"/>
      <c r="L163" s="1"/>
      <c r="M163" s="1"/>
      <c r="N163" s="1"/>
      <c r="O163" s="1"/>
      <c r="P163" s="1"/>
      <c r="Q163" s="1"/>
      <c r="R163" s="1"/>
      <c r="S163" s="1"/>
      <c r="T163" s="1"/>
      <c r="U163" s="1"/>
      <c r="V163" s="1"/>
      <c r="W163" s="1"/>
      <c r="X163" s="1"/>
      <c r="Y163" s="1"/>
      <c r="Z163" s="1"/>
      <c r="AA163" s="1"/>
      <c r="AB163" s="1"/>
      <c r="AC163" s="1"/>
      <c r="AD163" s="1"/>
    </row>
    <row r="164" spans="1:30">
      <c r="A164" s="1"/>
      <c r="B164" s="1"/>
      <c r="C164" s="52"/>
      <c r="D164" s="52"/>
      <c r="E164" s="52"/>
      <c r="F164" s="52"/>
      <c r="G164" s="52"/>
      <c r="H164" s="52"/>
      <c r="I164" s="52"/>
      <c r="J164" s="52"/>
      <c r="K164" s="52"/>
      <c r="L164" s="1"/>
      <c r="M164" s="1"/>
      <c r="N164" s="1"/>
      <c r="O164" s="1"/>
      <c r="P164" s="1"/>
      <c r="Q164" s="1"/>
      <c r="R164" s="1"/>
      <c r="S164" s="1"/>
      <c r="T164" s="1"/>
      <c r="U164" s="1"/>
      <c r="V164" s="1"/>
      <c r="W164" s="1"/>
      <c r="X164" s="1"/>
      <c r="Y164" s="1"/>
      <c r="Z164" s="1"/>
      <c r="AA164" s="1"/>
      <c r="AB164" s="1"/>
      <c r="AC164" s="1"/>
      <c r="AD164" s="1"/>
    </row>
    <row r="165" spans="1:30">
      <c r="A165" s="1"/>
      <c r="B165" s="1"/>
      <c r="C165" s="52"/>
      <c r="D165" s="52"/>
      <c r="E165" s="52"/>
      <c r="F165" s="52"/>
      <c r="G165" s="52"/>
      <c r="H165" s="52"/>
      <c r="I165" s="52"/>
      <c r="J165" s="52"/>
      <c r="K165" s="52"/>
      <c r="L165" s="1"/>
      <c r="M165" s="1"/>
      <c r="N165" s="1"/>
      <c r="O165" s="1"/>
      <c r="P165" s="1"/>
      <c r="Q165" s="1"/>
      <c r="R165" s="1"/>
      <c r="S165" s="1"/>
      <c r="T165" s="1"/>
      <c r="U165" s="1"/>
      <c r="V165" s="1"/>
      <c r="W165" s="1"/>
      <c r="X165" s="1"/>
      <c r="Y165" s="1"/>
      <c r="Z165" s="1"/>
      <c r="AA165" s="1"/>
      <c r="AB165" s="1"/>
      <c r="AC165" s="1"/>
      <c r="AD165" s="1"/>
    </row>
    <row r="166" spans="1:30">
      <c r="A166" s="1"/>
      <c r="B166" s="1"/>
      <c r="C166" s="52"/>
      <c r="D166" s="52"/>
      <c r="E166" s="52"/>
      <c r="F166" s="52"/>
      <c r="G166" s="52"/>
      <c r="H166" s="52"/>
      <c r="I166" s="52"/>
      <c r="J166" s="52"/>
      <c r="K166" s="52"/>
      <c r="L166" s="1"/>
      <c r="M166" s="1"/>
      <c r="N166" s="1"/>
      <c r="O166" s="1"/>
      <c r="P166" s="1"/>
      <c r="Q166" s="1"/>
      <c r="R166" s="1"/>
      <c r="S166" s="1"/>
      <c r="T166" s="1"/>
      <c r="U166" s="1"/>
      <c r="V166" s="1"/>
      <c r="W166" s="1"/>
      <c r="X166" s="1"/>
      <c r="Y166" s="1"/>
      <c r="Z166" s="1"/>
      <c r="AA166" s="1"/>
      <c r="AB166" s="1"/>
      <c r="AC166" s="1"/>
      <c r="AD166" s="1"/>
    </row>
    <row r="167" spans="1:30">
      <c r="A167" s="1"/>
      <c r="B167" s="1"/>
      <c r="C167" s="52"/>
      <c r="D167" s="52"/>
      <c r="E167" s="52"/>
      <c r="F167" s="52"/>
      <c r="G167" s="52"/>
      <c r="H167" s="52"/>
      <c r="I167" s="52"/>
      <c r="J167" s="52"/>
      <c r="K167" s="52"/>
      <c r="L167" s="1"/>
      <c r="M167" s="1"/>
      <c r="N167" s="1"/>
      <c r="O167" s="1"/>
      <c r="P167" s="1"/>
      <c r="Q167" s="1"/>
      <c r="R167" s="1"/>
      <c r="S167" s="1"/>
      <c r="T167" s="1"/>
      <c r="U167" s="1"/>
      <c r="V167" s="1"/>
      <c r="W167" s="1"/>
      <c r="X167" s="1"/>
      <c r="Y167" s="1"/>
      <c r="Z167" s="1"/>
      <c r="AA167" s="1"/>
      <c r="AB167" s="1"/>
      <c r="AC167" s="1"/>
      <c r="AD167" s="1"/>
    </row>
    <row r="168" spans="1:30">
      <c r="A168" s="1"/>
      <c r="B168" s="1"/>
      <c r="C168" s="52"/>
      <c r="D168" s="52"/>
      <c r="E168" s="52"/>
      <c r="F168" s="52"/>
      <c r="G168" s="52"/>
      <c r="H168" s="52"/>
      <c r="I168" s="52"/>
      <c r="J168" s="52"/>
      <c r="K168" s="52"/>
      <c r="L168" s="1"/>
      <c r="M168" s="1"/>
      <c r="N168" s="1"/>
      <c r="O168" s="1"/>
      <c r="P168" s="1"/>
      <c r="Q168" s="1"/>
      <c r="R168" s="1"/>
      <c r="S168" s="1"/>
      <c r="T168" s="1"/>
      <c r="U168" s="1"/>
      <c r="V168" s="1"/>
      <c r="W168" s="1"/>
      <c r="X168" s="1"/>
      <c r="Y168" s="1"/>
      <c r="Z168" s="1"/>
      <c r="AA168" s="1"/>
      <c r="AB168" s="1"/>
      <c r="AC168" s="1"/>
      <c r="AD168" s="1"/>
    </row>
    <row r="169" spans="1:30">
      <c r="A169" s="1"/>
      <c r="B169" s="1"/>
      <c r="C169" s="52"/>
      <c r="D169" s="52"/>
      <c r="E169" s="52"/>
      <c r="F169" s="52"/>
      <c r="G169" s="52"/>
      <c r="H169" s="52"/>
      <c r="I169" s="52"/>
      <c r="J169" s="52"/>
      <c r="K169" s="52"/>
      <c r="L169" s="1"/>
      <c r="M169" s="1"/>
      <c r="N169" s="1"/>
      <c r="O169" s="1"/>
      <c r="P169" s="1"/>
      <c r="Q169" s="1"/>
      <c r="R169" s="1"/>
      <c r="S169" s="1"/>
      <c r="T169" s="1"/>
      <c r="U169" s="1"/>
      <c r="V169" s="1"/>
      <c r="W169" s="1"/>
      <c r="X169" s="1"/>
      <c r="Y169" s="1"/>
      <c r="Z169" s="1"/>
      <c r="AA169" s="1"/>
      <c r="AB169" s="1"/>
      <c r="AC169" s="1"/>
      <c r="AD169" s="1"/>
    </row>
    <row r="170" spans="1:30">
      <c r="A170" s="1"/>
      <c r="B170" s="1"/>
      <c r="C170" s="52"/>
      <c r="D170" s="52"/>
      <c r="E170" s="52"/>
      <c r="F170" s="52"/>
      <c r="G170" s="52"/>
      <c r="H170" s="52"/>
      <c r="I170" s="52"/>
      <c r="J170" s="52"/>
      <c r="K170" s="52"/>
      <c r="L170" s="1"/>
      <c r="M170" s="1"/>
      <c r="N170" s="1"/>
      <c r="O170" s="1"/>
      <c r="P170" s="1"/>
      <c r="Q170" s="1"/>
      <c r="R170" s="1"/>
      <c r="S170" s="1"/>
      <c r="T170" s="1"/>
      <c r="U170" s="1"/>
      <c r="V170" s="1"/>
      <c r="W170" s="1"/>
      <c r="X170" s="1"/>
      <c r="Y170" s="1"/>
      <c r="Z170" s="1"/>
      <c r="AA170" s="1"/>
      <c r="AB170" s="1"/>
      <c r="AC170" s="1"/>
      <c r="AD170" s="1"/>
    </row>
    <row r="171" spans="1:30">
      <c r="A171" s="1"/>
      <c r="B171" s="1"/>
      <c r="C171" s="52"/>
      <c r="D171" s="52"/>
      <c r="E171" s="52"/>
      <c r="F171" s="52"/>
      <c r="G171" s="52"/>
      <c r="H171" s="52"/>
      <c r="I171" s="52"/>
      <c r="J171" s="52"/>
      <c r="K171" s="52"/>
      <c r="L171" s="1"/>
      <c r="M171" s="1"/>
      <c r="N171" s="1"/>
      <c r="O171" s="1"/>
      <c r="P171" s="1"/>
      <c r="Q171" s="1"/>
      <c r="R171" s="1"/>
      <c r="S171" s="1"/>
      <c r="T171" s="1"/>
      <c r="U171" s="1"/>
      <c r="V171" s="1"/>
      <c r="W171" s="1"/>
      <c r="X171" s="1"/>
      <c r="Y171" s="1"/>
      <c r="Z171" s="1"/>
      <c r="AA171" s="1"/>
      <c r="AB171" s="1"/>
      <c r="AC171" s="1"/>
      <c r="AD171" s="1"/>
    </row>
    <row r="172" spans="1:30">
      <c r="A172" s="1"/>
      <c r="B172" s="1"/>
      <c r="C172" s="52"/>
      <c r="D172" s="52"/>
      <c r="E172" s="52"/>
      <c r="F172" s="52"/>
      <c r="G172" s="52"/>
      <c r="H172" s="52"/>
      <c r="I172" s="52"/>
      <c r="J172" s="52"/>
      <c r="K172" s="52"/>
      <c r="L172" s="1"/>
      <c r="M172" s="1"/>
      <c r="N172" s="1"/>
      <c r="O172" s="1"/>
      <c r="P172" s="1"/>
      <c r="Q172" s="1"/>
      <c r="R172" s="1"/>
      <c r="S172" s="1"/>
      <c r="T172" s="1"/>
      <c r="U172" s="1"/>
      <c r="V172" s="1"/>
      <c r="W172" s="1"/>
      <c r="X172" s="1"/>
      <c r="Y172" s="1"/>
      <c r="Z172" s="1"/>
      <c r="AA172" s="1"/>
      <c r="AB172" s="1"/>
      <c r="AC172" s="1"/>
      <c r="AD172" s="1"/>
    </row>
    <row r="173" spans="1:30">
      <c r="A173" s="1"/>
      <c r="B173" s="1"/>
      <c r="C173" s="52"/>
      <c r="D173" s="52"/>
      <c r="E173" s="52"/>
      <c r="F173" s="52"/>
      <c r="G173" s="52"/>
      <c r="H173" s="52"/>
      <c r="I173" s="52"/>
      <c r="J173" s="52"/>
      <c r="K173" s="52"/>
      <c r="L173" s="1"/>
      <c r="M173" s="1"/>
      <c r="N173" s="1"/>
      <c r="O173" s="1"/>
      <c r="P173" s="1"/>
      <c r="Q173" s="1"/>
      <c r="R173" s="1"/>
      <c r="S173" s="1"/>
      <c r="T173" s="1"/>
      <c r="U173" s="1"/>
      <c r="V173" s="1"/>
      <c r="W173" s="1"/>
      <c r="X173" s="1"/>
      <c r="Y173" s="1"/>
      <c r="Z173" s="1"/>
      <c r="AA173" s="1"/>
      <c r="AB173" s="1"/>
      <c r="AC173" s="1"/>
      <c r="AD173" s="1"/>
    </row>
    <row r="174" spans="1:30">
      <c r="A174" s="1"/>
      <c r="B174" s="1"/>
      <c r="C174" s="52"/>
      <c r="D174" s="52"/>
      <c r="E174" s="52"/>
      <c r="F174" s="52"/>
      <c r="G174" s="52"/>
      <c r="H174" s="52"/>
      <c r="I174" s="52"/>
      <c r="J174" s="52"/>
      <c r="K174" s="52"/>
      <c r="L174" s="1"/>
      <c r="M174" s="1"/>
      <c r="N174" s="1"/>
      <c r="O174" s="1"/>
      <c r="P174" s="1"/>
      <c r="Q174" s="1"/>
      <c r="R174" s="1"/>
      <c r="S174" s="1"/>
      <c r="T174" s="1"/>
      <c r="U174" s="1"/>
      <c r="V174" s="1"/>
      <c r="W174" s="1"/>
      <c r="X174" s="1"/>
      <c r="Y174" s="1"/>
      <c r="Z174" s="1"/>
      <c r="AA174" s="1"/>
      <c r="AB174" s="1"/>
      <c r="AC174" s="1"/>
      <c r="AD174" s="1"/>
    </row>
    <row r="175" spans="1:30">
      <c r="A175" s="1"/>
      <c r="B175" s="1"/>
      <c r="C175" s="52"/>
      <c r="D175" s="52"/>
      <c r="E175" s="52"/>
      <c r="F175" s="52"/>
      <c r="G175" s="52"/>
      <c r="H175" s="52"/>
      <c r="I175" s="52"/>
      <c r="J175" s="52"/>
      <c r="K175" s="52"/>
      <c r="L175" s="1"/>
      <c r="M175" s="1"/>
      <c r="N175" s="1"/>
      <c r="O175" s="1"/>
      <c r="P175" s="1"/>
      <c r="Q175" s="1"/>
      <c r="R175" s="1"/>
      <c r="S175" s="1"/>
      <c r="T175" s="1"/>
      <c r="U175" s="1"/>
      <c r="V175" s="1"/>
      <c r="W175" s="1"/>
      <c r="X175" s="1"/>
      <c r="Y175" s="1"/>
      <c r="Z175" s="1"/>
      <c r="AA175" s="1"/>
      <c r="AB175" s="1"/>
      <c r="AC175" s="1"/>
      <c r="AD175" s="1"/>
    </row>
    <row r="176" spans="1:30">
      <c r="A176" s="1"/>
      <c r="B176" s="1"/>
      <c r="C176" s="52"/>
      <c r="D176" s="52"/>
      <c r="E176" s="52"/>
      <c r="F176" s="52"/>
      <c r="G176" s="52"/>
      <c r="H176" s="52"/>
      <c r="I176" s="52"/>
      <c r="J176" s="52"/>
      <c r="K176" s="52"/>
      <c r="L176" s="1"/>
      <c r="M176" s="1"/>
      <c r="N176" s="1"/>
      <c r="O176" s="1"/>
      <c r="P176" s="1"/>
      <c r="Q176" s="1"/>
      <c r="R176" s="1"/>
      <c r="S176" s="1"/>
      <c r="T176" s="1"/>
      <c r="U176" s="1"/>
      <c r="V176" s="1"/>
      <c r="W176" s="1"/>
      <c r="X176" s="1"/>
      <c r="Y176" s="1"/>
      <c r="Z176" s="1"/>
      <c r="AA176" s="1"/>
      <c r="AB176" s="1"/>
      <c r="AC176" s="1"/>
      <c r="AD176" s="1"/>
    </row>
    <row r="177" spans="1:30">
      <c r="A177" s="1"/>
      <c r="B177" s="1"/>
      <c r="C177" s="52"/>
      <c r="D177" s="52"/>
      <c r="E177" s="52"/>
      <c r="F177" s="52"/>
      <c r="G177" s="52"/>
      <c r="H177" s="52"/>
      <c r="I177" s="52"/>
      <c r="J177" s="52"/>
      <c r="K177" s="52"/>
      <c r="L177" s="1"/>
      <c r="M177" s="1"/>
      <c r="N177" s="1"/>
      <c r="O177" s="1"/>
      <c r="P177" s="1"/>
      <c r="Q177" s="1"/>
      <c r="R177" s="1"/>
      <c r="S177" s="1"/>
      <c r="T177" s="1"/>
      <c r="U177" s="1"/>
      <c r="V177" s="1"/>
      <c r="W177" s="1"/>
      <c r="X177" s="1"/>
      <c r="Y177" s="1"/>
      <c r="Z177" s="1"/>
      <c r="AA177" s="1"/>
      <c r="AB177" s="1"/>
      <c r="AC177" s="1"/>
      <c r="AD177" s="1"/>
    </row>
    <row r="178" spans="1:30">
      <c r="A178" s="1"/>
      <c r="B178" s="1"/>
      <c r="C178" s="52"/>
      <c r="D178" s="52"/>
      <c r="E178" s="52"/>
      <c r="F178" s="52"/>
      <c r="G178" s="52"/>
      <c r="H178" s="52"/>
      <c r="I178" s="52"/>
      <c r="J178" s="52"/>
      <c r="K178" s="52"/>
      <c r="L178" s="1"/>
      <c r="M178" s="1"/>
      <c r="N178" s="1"/>
      <c r="O178" s="1"/>
      <c r="P178" s="1"/>
      <c r="Q178" s="1"/>
      <c r="R178" s="1"/>
      <c r="S178" s="1"/>
      <c r="T178" s="1"/>
      <c r="U178" s="1"/>
      <c r="V178" s="1"/>
      <c r="W178" s="1"/>
      <c r="X178" s="1"/>
      <c r="Y178" s="1"/>
      <c r="Z178" s="1"/>
      <c r="AA178" s="1"/>
      <c r="AB178" s="1"/>
      <c r="AC178" s="1"/>
      <c r="AD178" s="1"/>
    </row>
    <row r="179" spans="1:30">
      <c r="A179" s="1"/>
      <c r="B179" s="1"/>
      <c r="C179" s="52"/>
      <c r="D179" s="52"/>
      <c r="E179" s="52"/>
      <c r="F179" s="52"/>
      <c r="G179" s="52"/>
      <c r="H179" s="52"/>
      <c r="I179" s="52"/>
      <c r="J179" s="52"/>
      <c r="K179" s="1"/>
      <c r="L179" s="1"/>
      <c r="M179" s="1"/>
      <c r="N179" s="1"/>
      <c r="O179" s="1"/>
      <c r="P179" s="1"/>
      <c r="Q179" s="1"/>
      <c r="R179" s="1"/>
      <c r="S179" s="1"/>
      <c r="T179" s="1"/>
      <c r="U179" s="1"/>
      <c r="V179" s="1"/>
      <c r="W179" s="1"/>
      <c r="X179" s="1"/>
      <c r="Y179" s="1"/>
      <c r="Z179" s="1"/>
      <c r="AA179" s="1"/>
      <c r="AB179" s="1"/>
      <c r="AC179" s="1"/>
      <c r="AD179" s="1"/>
    </row>
    <row r="180" spans="1:30">
      <c r="A180" s="1"/>
      <c r="B180" s="1"/>
      <c r="C180" s="52"/>
      <c r="D180" s="52"/>
      <c r="E180" s="52"/>
      <c r="F180" s="52"/>
      <c r="G180" s="52"/>
      <c r="H180" s="52"/>
      <c r="I180" s="52"/>
      <c r="J180" s="1"/>
      <c r="K180" s="1"/>
      <c r="L180" s="1"/>
      <c r="M180" s="1"/>
      <c r="N180" s="1"/>
      <c r="O180" s="1"/>
      <c r="P180" s="1"/>
      <c r="Q180" s="1"/>
      <c r="R180" s="1"/>
      <c r="S180" s="1"/>
      <c r="T180" s="1"/>
      <c r="U180" s="1"/>
      <c r="V180" s="1"/>
      <c r="W180" s="1"/>
      <c r="X180" s="1"/>
      <c r="Y180" s="1"/>
      <c r="Z180" s="1"/>
      <c r="AA180" s="1"/>
      <c r="AB180" s="1"/>
      <c r="AC180" s="1"/>
      <c r="AD180" s="1"/>
    </row>
    <row r="181" spans="1:30">
      <c r="A181" s="1"/>
      <c r="B181" s="1"/>
      <c r="C181" s="52"/>
      <c r="D181" s="52"/>
      <c r="E181" s="52"/>
      <c r="F181" s="52"/>
      <c r="G181" s="52"/>
      <c r="H181" s="52"/>
      <c r="I181" s="52"/>
      <c r="J181" s="1"/>
      <c r="K181" s="1"/>
      <c r="L181" s="1"/>
      <c r="M181" s="1"/>
      <c r="N181" s="1"/>
      <c r="O181" s="1"/>
      <c r="P181" s="1"/>
      <c r="Q181" s="1"/>
      <c r="R181" s="1"/>
      <c r="S181" s="1"/>
      <c r="T181" s="1"/>
      <c r="U181" s="1"/>
      <c r="V181" s="1"/>
      <c r="W181" s="1"/>
      <c r="X181" s="1"/>
      <c r="Y181" s="1"/>
      <c r="Z181" s="1"/>
      <c r="AA181" s="1"/>
      <c r="AB181" s="1"/>
      <c r="AC181" s="1"/>
      <c r="AD181" s="1"/>
    </row>
    <row r="182" spans="1:30">
      <c r="A182" s="1"/>
      <c r="B182" s="1"/>
      <c r="C182" s="52"/>
      <c r="D182" s="52"/>
      <c r="E182" s="52"/>
      <c r="F182" s="52"/>
      <c r="G182" s="52"/>
      <c r="H182" s="52"/>
      <c r="I182" s="52"/>
      <c r="J182" s="1"/>
      <c r="K182" s="1"/>
      <c r="L182" s="1"/>
      <c r="M182" s="1"/>
      <c r="N182" s="1"/>
      <c r="O182" s="1"/>
      <c r="P182" s="1"/>
      <c r="Q182" s="1"/>
      <c r="R182" s="1"/>
      <c r="S182" s="1"/>
      <c r="T182" s="1"/>
      <c r="U182" s="1"/>
      <c r="V182" s="1"/>
      <c r="W182" s="1"/>
      <c r="X182" s="1"/>
      <c r="Y182" s="1"/>
      <c r="Z182" s="1"/>
      <c r="AA182" s="1"/>
      <c r="AB182" s="1"/>
      <c r="AC182" s="1"/>
      <c r="AD182" s="1"/>
    </row>
    <row r="183" spans="1:30">
      <c r="A183" s="1"/>
      <c r="B183" s="1"/>
      <c r="C183" s="52"/>
      <c r="D183" s="52"/>
      <c r="E183" s="52"/>
      <c r="F183" s="52"/>
      <c r="G183" s="52"/>
      <c r="H183" s="52"/>
      <c r="J183" s="1"/>
      <c r="K183" s="1"/>
      <c r="L183" s="1"/>
      <c r="M183" s="1"/>
      <c r="N183" s="1"/>
      <c r="O183" s="1"/>
      <c r="P183" s="1"/>
      <c r="Q183" s="1"/>
      <c r="R183" s="1"/>
      <c r="S183" s="1"/>
      <c r="T183" s="1"/>
      <c r="U183" s="1"/>
      <c r="V183" s="1"/>
      <c r="W183" s="1"/>
      <c r="X183" s="1"/>
      <c r="Y183" s="1"/>
      <c r="Z183" s="1"/>
      <c r="AA183" s="1"/>
      <c r="AB183" s="1"/>
      <c r="AC183" s="1"/>
      <c r="AD183" s="1"/>
    </row>
    <row r="184" spans="1:30">
      <c r="A184" s="1"/>
      <c r="B184" s="1"/>
      <c r="J184" s="1"/>
      <c r="K184" s="1"/>
      <c r="L184" s="1"/>
      <c r="M184" s="1"/>
      <c r="N184" s="1"/>
      <c r="O184" s="1"/>
      <c r="P184" s="1"/>
      <c r="Q184" s="1"/>
      <c r="R184" s="1"/>
      <c r="S184" s="1"/>
      <c r="T184" s="1"/>
      <c r="U184" s="1"/>
      <c r="V184" s="1"/>
      <c r="W184" s="1"/>
      <c r="X184" s="1"/>
      <c r="Y184" s="1"/>
      <c r="Z184" s="1"/>
      <c r="AA184" s="1"/>
      <c r="AB184" s="1"/>
      <c r="AC184" s="1"/>
      <c r="AD184" s="1"/>
    </row>
    <row r="185" spans="1:30">
      <c r="A185" s="1"/>
      <c r="J185" s="1"/>
      <c r="K185" s="1"/>
      <c r="L185" s="1"/>
      <c r="M185" s="1"/>
      <c r="N185" s="1"/>
      <c r="O185" s="1"/>
      <c r="P185" s="1"/>
      <c r="Q185" s="1"/>
      <c r="R185" s="1"/>
      <c r="S185" s="1"/>
      <c r="T185" s="1"/>
      <c r="U185" s="1"/>
      <c r="V185" s="1"/>
      <c r="W185" s="1"/>
      <c r="X185" s="1"/>
      <c r="Y185" s="1"/>
      <c r="Z185" s="1"/>
      <c r="AA185" s="1"/>
      <c r="AB185" s="1"/>
      <c r="AC185" s="1"/>
      <c r="AD185" s="1"/>
    </row>
    <row r="186" spans="1:30">
      <c r="A186" s="1"/>
      <c r="J186" s="1"/>
      <c r="K186" s="1"/>
      <c r="L186" s="1"/>
      <c r="M186" s="1"/>
      <c r="N186" s="1"/>
      <c r="O186" s="1"/>
      <c r="P186" s="1"/>
      <c r="Q186" s="1"/>
      <c r="R186" s="1"/>
      <c r="S186" s="1"/>
      <c r="T186" s="1"/>
      <c r="U186" s="1"/>
      <c r="V186" s="1"/>
      <c r="W186" s="1"/>
      <c r="X186" s="1"/>
      <c r="Y186" s="1"/>
      <c r="Z186" s="1"/>
      <c r="AA186" s="1"/>
      <c r="AB186" s="1"/>
      <c r="AC186" s="1"/>
      <c r="AD186" s="1"/>
    </row>
    <row r="187" spans="1:30">
      <c r="A187" s="1"/>
      <c r="J187" s="1"/>
      <c r="K187" s="1"/>
      <c r="L187" s="1"/>
      <c r="M187" s="1"/>
      <c r="N187" s="1"/>
      <c r="O187" s="1"/>
      <c r="P187" s="1"/>
      <c r="Q187" s="1"/>
      <c r="R187" s="1"/>
      <c r="S187" s="1"/>
      <c r="T187" s="1"/>
      <c r="U187" s="1"/>
      <c r="V187" s="1"/>
      <c r="W187" s="1"/>
      <c r="X187" s="1"/>
      <c r="Y187" s="1"/>
      <c r="Z187" s="1"/>
      <c r="AA187" s="1"/>
      <c r="AB187" s="1"/>
      <c r="AC187" s="1"/>
      <c r="AD187" s="1"/>
    </row>
    <row r="188" spans="1:30">
      <c r="A188" s="1"/>
      <c r="J188" s="1"/>
      <c r="K188" s="1"/>
      <c r="L188" s="1"/>
      <c r="M188" s="1"/>
      <c r="N188" s="1"/>
      <c r="O188" s="1"/>
      <c r="P188" s="1"/>
      <c r="Q188" s="1"/>
      <c r="R188" s="1"/>
      <c r="S188" s="1"/>
      <c r="T188" s="1"/>
      <c r="U188" s="1"/>
      <c r="V188" s="1"/>
      <c r="W188" s="1"/>
      <c r="X188" s="1"/>
      <c r="Y188" s="1"/>
      <c r="Z188" s="1"/>
      <c r="AA188" s="1"/>
      <c r="AB188" s="1"/>
      <c r="AC188" s="1"/>
      <c r="AD188" s="1"/>
    </row>
    <row r="189" spans="1:30">
      <c r="A189" s="1"/>
      <c r="J189" s="1"/>
      <c r="K189" s="1"/>
      <c r="L189" s="1"/>
      <c r="M189" s="1"/>
      <c r="N189" s="1"/>
      <c r="O189" s="1"/>
      <c r="P189" s="1"/>
      <c r="Q189" s="1"/>
      <c r="R189" s="1"/>
      <c r="S189" s="1"/>
      <c r="T189" s="1"/>
      <c r="U189" s="1"/>
      <c r="V189" s="1"/>
      <c r="W189" s="1"/>
      <c r="X189" s="1"/>
      <c r="Y189" s="1"/>
      <c r="Z189" s="1"/>
      <c r="AA189" s="1"/>
      <c r="AB189" s="1"/>
      <c r="AC189" s="1"/>
      <c r="AD189" s="1"/>
    </row>
    <row r="190" spans="1:30">
      <c r="A190" s="1"/>
      <c r="J190" s="1"/>
      <c r="K190" s="1"/>
      <c r="L190" s="1"/>
      <c r="M190" s="1"/>
      <c r="N190" s="1"/>
      <c r="O190" s="1"/>
      <c r="P190" s="1"/>
      <c r="Q190" s="1"/>
      <c r="R190" s="1"/>
      <c r="S190" s="1"/>
      <c r="T190" s="1"/>
      <c r="U190" s="1"/>
      <c r="V190" s="1"/>
      <c r="W190" s="1"/>
      <c r="X190" s="1"/>
      <c r="Y190" s="1"/>
      <c r="Z190" s="1"/>
      <c r="AA190" s="1"/>
      <c r="AB190" s="1"/>
      <c r="AC190" s="1"/>
      <c r="AD190" s="1"/>
    </row>
    <row r="191" spans="1:30">
      <c r="A191" s="1"/>
      <c r="I191" s="126"/>
      <c r="J191" s="1"/>
      <c r="K191" s="1"/>
      <c r="L191" s="1"/>
      <c r="M191" s="1"/>
      <c r="N191" s="1"/>
      <c r="O191" s="1"/>
      <c r="P191" s="1"/>
      <c r="Q191" s="1"/>
      <c r="R191" s="1"/>
      <c r="S191" s="1"/>
      <c r="T191" s="1"/>
      <c r="U191" s="1"/>
      <c r="V191" s="1"/>
      <c r="W191" s="1"/>
      <c r="X191" s="1"/>
      <c r="Y191" s="1"/>
      <c r="Z191" s="1"/>
      <c r="AA191" s="1"/>
      <c r="AB191" s="1"/>
      <c r="AC191" s="1"/>
      <c r="AD191" s="1"/>
    </row>
    <row r="192" spans="1:30">
      <c r="A192" s="1"/>
      <c r="C192" s="2"/>
      <c r="D192" s="126"/>
      <c r="E192" s="126"/>
      <c r="F192" s="126"/>
      <c r="G192" s="126"/>
      <c r="H192" s="126"/>
      <c r="I192" s="126"/>
      <c r="J192" s="1"/>
      <c r="K192" s="1"/>
      <c r="L192" s="1"/>
      <c r="M192" s="1"/>
      <c r="N192" s="1"/>
      <c r="O192" s="1"/>
      <c r="P192" s="1"/>
      <c r="Q192" s="1"/>
      <c r="R192" s="1"/>
      <c r="S192" s="1"/>
      <c r="T192" s="1"/>
      <c r="U192" s="1"/>
      <c r="V192" s="1"/>
      <c r="W192" s="1"/>
      <c r="X192" s="1"/>
      <c r="Y192" s="1"/>
      <c r="Z192" s="1"/>
      <c r="AA192" s="1"/>
      <c r="AB192" s="1"/>
      <c r="AC192" s="1"/>
      <c r="AD192" s="1"/>
    </row>
    <row r="193" spans="1:30">
      <c r="A193" s="1"/>
      <c r="C193" s="2"/>
      <c r="D193" s="126"/>
      <c r="E193" s="126"/>
      <c r="F193" s="126"/>
      <c r="G193" s="126"/>
      <c r="H193" s="126"/>
      <c r="I193" s="126"/>
      <c r="J193" s="1"/>
      <c r="K193" s="1"/>
      <c r="L193" s="1"/>
      <c r="M193" s="1"/>
      <c r="N193" s="1"/>
      <c r="O193" s="1"/>
      <c r="P193" s="1"/>
      <c r="Q193" s="1"/>
      <c r="R193" s="1"/>
      <c r="S193" s="1"/>
      <c r="T193" s="1"/>
      <c r="U193" s="1"/>
      <c r="V193" s="1"/>
      <c r="W193" s="1"/>
      <c r="X193" s="1"/>
      <c r="Y193" s="1"/>
      <c r="Z193" s="1"/>
      <c r="AA193" s="1"/>
      <c r="AB193" s="1"/>
      <c r="AC193" s="1"/>
      <c r="AD193" s="1"/>
    </row>
    <row r="194" spans="1:30">
      <c r="A194" s="1"/>
      <c r="C194" s="2"/>
      <c r="D194" s="126"/>
      <c r="E194" s="126"/>
      <c r="F194" s="126"/>
      <c r="G194" s="126"/>
      <c r="H194" s="126"/>
      <c r="I194" s="126"/>
      <c r="J194" s="1"/>
      <c r="K194" s="1"/>
      <c r="L194" s="1"/>
      <c r="M194" s="1"/>
      <c r="N194" s="1"/>
      <c r="O194" s="1"/>
      <c r="P194" s="1"/>
      <c r="Q194" s="1"/>
      <c r="R194" s="1"/>
      <c r="S194" s="1"/>
      <c r="T194" s="1"/>
      <c r="U194" s="1"/>
      <c r="V194" s="1"/>
      <c r="W194" s="1"/>
      <c r="X194" s="1"/>
      <c r="Y194" s="1"/>
      <c r="Z194" s="1"/>
      <c r="AA194" s="1"/>
      <c r="AB194" s="1"/>
      <c r="AC194" s="1"/>
      <c r="AD194" s="1"/>
    </row>
    <row r="195" spans="1:30">
      <c r="A195" s="1"/>
      <c r="C195" s="2"/>
      <c r="D195" s="126"/>
      <c r="E195" s="126"/>
      <c r="F195" s="126"/>
      <c r="G195" s="126"/>
      <c r="H195" s="126"/>
      <c r="I195" s="126"/>
      <c r="J195" s="1"/>
      <c r="K195" s="1"/>
      <c r="L195" s="1"/>
      <c r="M195" s="1"/>
      <c r="N195" s="1"/>
      <c r="O195" s="1"/>
      <c r="P195" s="1"/>
      <c r="Q195" s="1"/>
      <c r="R195" s="1"/>
      <c r="S195" s="1"/>
      <c r="T195" s="1"/>
      <c r="U195" s="1"/>
      <c r="V195" s="1"/>
      <c r="W195" s="1"/>
      <c r="X195" s="1"/>
      <c r="Y195" s="1"/>
      <c r="Z195" s="1"/>
      <c r="AA195" s="1"/>
      <c r="AB195" s="1"/>
      <c r="AC195" s="1"/>
      <c r="AD195" s="1"/>
    </row>
    <row r="196" spans="1:30">
      <c r="A196" s="1"/>
      <c r="C196" s="126"/>
      <c r="D196" s="126"/>
      <c r="E196" s="126"/>
      <c r="F196" s="126"/>
      <c r="G196" s="126"/>
      <c r="H196" s="126"/>
      <c r="I196" s="126"/>
      <c r="J196" s="1"/>
      <c r="K196" s="1"/>
      <c r="L196" s="1"/>
      <c r="M196" s="1"/>
      <c r="N196" s="1"/>
      <c r="O196" s="1"/>
      <c r="P196" s="1"/>
      <c r="Q196" s="1"/>
      <c r="R196" s="1"/>
      <c r="S196" s="1"/>
      <c r="T196" s="1"/>
      <c r="U196" s="1"/>
      <c r="V196" s="1"/>
      <c r="W196" s="1"/>
      <c r="X196" s="1"/>
      <c r="Y196" s="1"/>
      <c r="Z196" s="1"/>
      <c r="AA196" s="1"/>
      <c r="AB196" s="1"/>
      <c r="AC196" s="1"/>
      <c r="AD196" s="1"/>
    </row>
    <row r="197" spans="1:30">
      <c r="A197" s="1"/>
      <c r="C197" s="106"/>
      <c r="D197" s="129"/>
      <c r="E197" s="126"/>
      <c r="F197" s="126"/>
      <c r="G197" s="126"/>
      <c r="H197" s="126"/>
      <c r="I197" s="126"/>
      <c r="J197" s="1"/>
      <c r="K197" s="1"/>
      <c r="L197" s="1"/>
      <c r="M197" s="1"/>
      <c r="N197" s="1"/>
      <c r="O197" s="1"/>
      <c r="P197" s="1"/>
      <c r="Q197" s="1"/>
      <c r="R197" s="1"/>
      <c r="S197" s="1"/>
      <c r="T197" s="1"/>
      <c r="U197" s="1"/>
      <c r="V197" s="1"/>
      <c r="W197" s="1"/>
      <c r="X197" s="1"/>
      <c r="Y197" s="1"/>
      <c r="Z197" s="1"/>
      <c r="AA197" s="1"/>
      <c r="AB197" s="1"/>
      <c r="AC197" s="1"/>
      <c r="AD197" s="1"/>
    </row>
    <row r="198" spans="1:30">
      <c r="A198" s="1"/>
      <c r="C198" s="2"/>
      <c r="D198" s="126"/>
      <c r="E198" s="126"/>
      <c r="F198" s="126"/>
      <c r="G198" s="126"/>
      <c r="H198" s="126"/>
      <c r="I198" s="126"/>
      <c r="J198" s="1"/>
      <c r="K198" s="167"/>
      <c r="L198" s="1"/>
      <c r="M198" s="1"/>
      <c r="N198" s="1"/>
      <c r="O198" s="1"/>
      <c r="P198" s="1"/>
      <c r="Q198" s="1"/>
      <c r="R198" s="1"/>
      <c r="S198" s="1"/>
      <c r="T198" s="1"/>
      <c r="U198" s="1"/>
      <c r="V198" s="1"/>
      <c r="W198" s="1"/>
      <c r="X198" s="1"/>
      <c r="Y198" s="1"/>
      <c r="Z198" s="1"/>
      <c r="AA198" s="1"/>
      <c r="AB198" s="1"/>
      <c r="AC198" s="1"/>
      <c r="AD198" s="1"/>
    </row>
    <row r="199" spans="1:30">
      <c r="A199" s="1"/>
      <c r="C199" s="133"/>
      <c r="D199" s="133"/>
      <c r="E199" s="126"/>
      <c r="F199" s="126"/>
      <c r="G199" s="126"/>
      <c r="H199" s="126"/>
      <c r="I199" s="126"/>
      <c r="J199" s="1"/>
      <c r="K199" s="1"/>
      <c r="L199" s="1"/>
      <c r="M199" s="1"/>
      <c r="N199" s="1"/>
      <c r="O199" s="1"/>
      <c r="P199" s="1"/>
      <c r="Q199" s="1"/>
      <c r="R199" s="1"/>
      <c r="S199" s="1"/>
      <c r="T199" s="1"/>
      <c r="U199" s="1"/>
      <c r="V199" s="1"/>
      <c r="W199" s="1"/>
      <c r="X199" s="1"/>
      <c r="Y199" s="1"/>
      <c r="Z199" s="1"/>
      <c r="AA199" s="1"/>
      <c r="AB199" s="1"/>
      <c r="AC199" s="1"/>
      <c r="AD199" s="1"/>
    </row>
    <row r="200" spans="1:30">
      <c r="A200" s="1"/>
      <c r="C200" s="2"/>
      <c r="D200" s="126"/>
      <c r="E200" s="126"/>
      <c r="F200" s="126"/>
      <c r="G200" s="126"/>
      <c r="H200" s="126"/>
      <c r="I200" s="126"/>
      <c r="J200" s="1"/>
      <c r="K200" s="1"/>
      <c r="L200" s="1"/>
      <c r="M200" s="1"/>
      <c r="N200" s="1"/>
      <c r="O200" s="1"/>
      <c r="P200" s="1"/>
      <c r="Q200" s="1"/>
      <c r="R200" s="1"/>
      <c r="S200" s="1"/>
      <c r="T200" s="1"/>
      <c r="U200" s="1"/>
      <c r="V200" s="1"/>
      <c r="W200" s="1"/>
      <c r="X200" s="1"/>
      <c r="Y200" s="1"/>
      <c r="Z200" s="1"/>
      <c r="AA200" s="1"/>
      <c r="AB200" s="1"/>
      <c r="AC200" s="1"/>
      <c r="AD200" s="1"/>
    </row>
    <row r="201" spans="1:30">
      <c r="A201" s="1"/>
      <c r="C201" s="133"/>
      <c r="D201" s="133"/>
      <c r="E201" s="126"/>
      <c r="F201" s="126"/>
      <c r="G201" s="126"/>
      <c r="H201" s="126"/>
      <c r="I201" s="126"/>
      <c r="J201" s="1"/>
      <c r="K201" s="1"/>
      <c r="L201" s="1"/>
      <c r="M201" s="1"/>
      <c r="N201" s="1"/>
      <c r="O201" s="1"/>
      <c r="P201" s="1"/>
      <c r="Q201" s="1"/>
      <c r="R201" s="1"/>
      <c r="S201" s="1"/>
      <c r="T201" s="1"/>
      <c r="U201" s="1"/>
      <c r="V201" s="1"/>
      <c r="W201" s="1"/>
      <c r="X201" s="1"/>
      <c r="Y201" s="1"/>
      <c r="Z201" s="1"/>
      <c r="AA201" s="1"/>
      <c r="AB201" s="1"/>
      <c r="AC201" s="1"/>
      <c r="AD201" s="1"/>
    </row>
    <row r="202" spans="1:30">
      <c r="A202" s="1"/>
      <c r="C202" s="106"/>
      <c r="D202" s="126"/>
      <c r="E202" s="126"/>
      <c r="F202" s="126"/>
      <c r="G202" s="126"/>
      <c r="H202" s="126"/>
      <c r="I202" s="126"/>
      <c r="J202" s="1"/>
      <c r="K202" s="1"/>
      <c r="L202" s="1"/>
      <c r="M202" s="1"/>
      <c r="N202" s="1"/>
      <c r="O202" s="1"/>
      <c r="P202" s="1"/>
      <c r="Q202" s="1"/>
      <c r="R202" s="1"/>
      <c r="S202" s="1"/>
      <c r="T202" s="1"/>
      <c r="U202" s="1"/>
      <c r="V202" s="1"/>
      <c r="W202" s="1"/>
      <c r="X202" s="1"/>
      <c r="Y202" s="1"/>
      <c r="Z202" s="1"/>
      <c r="AA202" s="1"/>
      <c r="AB202" s="1"/>
      <c r="AC202" s="1"/>
      <c r="AD202" s="1"/>
    </row>
    <row r="203" spans="1:30">
      <c r="A203" s="1"/>
      <c r="C203" s="2"/>
      <c r="D203" s="126"/>
      <c r="E203" s="126"/>
      <c r="F203" s="126"/>
      <c r="G203" s="126"/>
      <c r="H203" s="126"/>
      <c r="I203" s="126"/>
      <c r="J203" s="1"/>
      <c r="K203" s="1"/>
      <c r="L203" s="1"/>
      <c r="M203" s="1"/>
      <c r="N203" s="1"/>
      <c r="O203" s="1"/>
      <c r="P203" s="1"/>
      <c r="Q203" s="1"/>
      <c r="R203" s="1"/>
      <c r="S203" s="1"/>
      <c r="T203" s="1"/>
      <c r="U203" s="1"/>
      <c r="V203" s="1"/>
      <c r="W203" s="1"/>
      <c r="X203" s="1"/>
      <c r="Y203" s="1"/>
      <c r="Z203" s="1"/>
      <c r="AA203" s="1"/>
      <c r="AB203" s="1"/>
      <c r="AC203" s="1"/>
      <c r="AD203" s="1"/>
    </row>
    <row r="204" spans="1:30">
      <c r="A204" s="1"/>
      <c r="C204" s="126"/>
      <c r="D204" s="126"/>
      <c r="E204" s="126"/>
      <c r="F204" s="126"/>
      <c r="G204" s="126"/>
      <c r="H204" s="126"/>
      <c r="I204" s="131"/>
      <c r="J204" s="167"/>
      <c r="K204" s="1"/>
      <c r="L204" s="1"/>
      <c r="M204" s="1"/>
      <c r="N204" s="1"/>
      <c r="O204" s="1"/>
      <c r="P204" s="1"/>
      <c r="Q204" s="1"/>
      <c r="R204" s="1"/>
      <c r="S204" s="1"/>
      <c r="T204" s="1"/>
      <c r="U204" s="1"/>
      <c r="V204" s="1"/>
      <c r="W204" s="1"/>
      <c r="X204" s="1"/>
      <c r="Y204" s="1"/>
      <c r="Z204" s="1"/>
      <c r="AA204" s="1"/>
      <c r="AB204" s="1"/>
      <c r="AC204" s="1"/>
      <c r="AD204" s="1"/>
    </row>
    <row r="205" spans="1:30">
      <c r="A205" s="1"/>
      <c r="C205" s="131"/>
      <c r="D205" s="131"/>
      <c r="E205" s="131"/>
      <c r="F205" s="131"/>
      <c r="G205" s="131"/>
      <c r="H205" s="131"/>
      <c r="I205" s="126"/>
      <c r="J205" s="1"/>
      <c r="K205" s="1"/>
      <c r="L205" s="1"/>
      <c r="M205" s="1"/>
      <c r="N205" s="1"/>
      <c r="O205" s="1"/>
      <c r="P205" s="1"/>
      <c r="Q205" s="1"/>
      <c r="R205" s="1"/>
      <c r="S205" s="1"/>
      <c r="T205" s="1"/>
      <c r="U205" s="1"/>
      <c r="V205" s="1"/>
      <c r="W205" s="1"/>
      <c r="X205" s="1"/>
      <c r="Y205" s="1"/>
      <c r="Z205" s="1"/>
      <c r="AA205" s="1"/>
      <c r="AB205" s="1"/>
      <c r="AC205" s="1"/>
      <c r="AD205" s="1"/>
    </row>
    <row r="206" spans="1:30" ht="24.6">
      <c r="A206" s="1"/>
      <c r="C206" s="130"/>
      <c r="D206" s="126"/>
      <c r="E206" s="126"/>
      <c r="F206" s="126"/>
      <c r="G206" s="126"/>
      <c r="H206" s="126"/>
      <c r="I206" s="126"/>
      <c r="J206" s="1"/>
      <c r="K206" s="1"/>
      <c r="L206" s="1"/>
      <c r="M206" s="1"/>
      <c r="N206" s="1"/>
      <c r="O206" s="1"/>
      <c r="P206" s="1"/>
      <c r="Q206" s="1"/>
      <c r="R206" s="1"/>
      <c r="S206" s="1"/>
      <c r="T206" s="1"/>
      <c r="U206" s="1"/>
      <c r="V206" s="1"/>
      <c r="W206" s="1"/>
      <c r="X206" s="1"/>
      <c r="Y206" s="1"/>
      <c r="Z206" s="1"/>
      <c r="AA206" s="1"/>
      <c r="AB206" s="1"/>
      <c r="AC206" s="1"/>
      <c r="AD206" s="1"/>
    </row>
    <row r="207" spans="1:30">
      <c r="A207" s="1"/>
      <c r="C207" s="1"/>
      <c r="D207" s="126"/>
      <c r="E207" s="126"/>
      <c r="F207" s="126"/>
      <c r="G207" s="126"/>
      <c r="H207" s="126"/>
      <c r="I207" s="126"/>
      <c r="J207" s="1"/>
      <c r="K207" s="1"/>
      <c r="L207" s="1"/>
      <c r="M207" s="1"/>
      <c r="N207" s="1"/>
      <c r="O207" s="1"/>
      <c r="P207" s="1"/>
      <c r="Q207" s="1"/>
      <c r="R207" s="1"/>
      <c r="S207" s="1"/>
      <c r="T207" s="1"/>
      <c r="U207" s="1"/>
      <c r="V207" s="1"/>
      <c r="W207" s="1"/>
      <c r="X207" s="1"/>
      <c r="Y207" s="1"/>
      <c r="Z207" s="1"/>
      <c r="AA207" s="1"/>
      <c r="AB207" s="1"/>
      <c r="AC207" s="1"/>
      <c r="AD207" s="1"/>
    </row>
    <row r="208" spans="1:30">
      <c r="A208" s="1"/>
      <c r="C208" s="2"/>
      <c r="D208" s="126"/>
      <c r="E208" s="126"/>
      <c r="F208" s="126"/>
      <c r="G208" s="126"/>
      <c r="H208" s="126"/>
      <c r="I208" s="126"/>
      <c r="J208" s="1"/>
      <c r="K208" s="1"/>
      <c r="L208" s="1"/>
      <c r="M208" s="1"/>
      <c r="N208" s="1"/>
      <c r="O208" s="1"/>
      <c r="P208" s="1"/>
      <c r="Q208" s="1"/>
      <c r="R208" s="1"/>
      <c r="S208" s="1"/>
      <c r="T208" s="1"/>
      <c r="U208" s="1"/>
      <c r="V208" s="1"/>
      <c r="W208" s="1"/>
      <c r="X208" s="1"/>
      <c r="Y208" s="1"/>
      <c r="Z208" s="1"/>
      <c r="AA208" s="1"/>
      <c r="AB208" s="1"/>
      <c r="AC208" s="1"/>
      <c r="AD208" s="1"/>
    </row>
    <row r="209" spans="1:30">
      <c r="A209" s="1"/>
      <c r="C209" s="2"/>
      <c r="D209" s="126"/>
      <c r="E209" s="126"/>
      <c r="F209" s="126"/>
      <c r="G209" s="126"/>
      <c r="H209" s="126"/>
      <c r="I209" s="126"/>
      <c r="J209" s="1"/>
      <c r="K209" s="1"/>
      <c r="L209" s="1"/>
      <c r="M209" s="1"/>
      <c r="N209" s="1"/>
      <c r="O209" s="1"/>
      <c r="P209" s="1"/>
      <c r="Q209" s="1"/>
      <c r="R209" s="1"/>
      <c r="S209" s="1"/>
      <c r="T209" s="1"/>
      <c r="U209" s="1"/>
      <c r="V209" s="1"/>
      <c r="W209" s="1"/>
      <c r="X209" s="1"/>
      <c r="Y209" s="1"/>
      <c r="Z209" s="1"/>
      <c r="AA209" s="1"/>
      <c r="AB209" s="1"/>
      <c r="AC209" s="1"/>
      <c r="AD209" s="1"/>
    </row>
    <row r="210" spans="1:30">
      <c r="A210" s="1"/>
      <c r="C210" s="106"/>
      <c r="D210" s="126"/>
      <c r="E210" s="126"/>
      <c r="F210" s="135"/>
      <c r="G210" s="126"/>
      <c r="H210" s="126"/>
      <c r="I210" s="126"/>
      <c r="J210" s="1"/>
      <c r="K210" s="1"/>
      <c r="L210" s="1"/>
      <c r="M210" s="1"/>
      <c r="N210" s="1"/>
      <c r="O210" s="1"/>
      <c r="P210" s="1"/>
      <c r="Q210" s="1"/>
      <c r="R210" s="1"/>
      <c r="S210" s="1"/>
      <c r="T210" s="1"/>
      <c r="U210" s="1"/>
      <c r="V210" s="1"/>
      <c r="W210" s="1"/>
      <c r="X210" s="1"/>
      <c r="Y210" s="1"/>
      <c r="Z210" s="1"/>
      <c r="AA210" s="1"/>
      <c r="AB210" s="1"/>
      <c r="AC210" s="1"/>
      <c r="AD210" s="1"/>
    </row>
    <row r="211" spans="1:30">
      <c r="A211" s="1"/>
      <c r="C211" s="126"/>
      <c r="D211" s="126"/>
      <c r="E211" s="126"/>
      <c r="F211" s="126"/>
      <c r="G211" s="135"/>
      <c r="H211" s="135"/>
      <c r="I211" s="126"/>
      <c r="J211" s="1"/>
      <c r="K211" s="1"/>
      <c r="L211" s="1"/>
      <c r="M211" s="1"/>
      <c r="N211" s="1"/>
      <c r="O211" s="1"/>
      <c r="P211" s="1"/>
      <c r="Q211" s="1"/>
      <c r="R211" s="1"/>
      <c r="S211" s="1"/>
      <c r="T211" s="1"/>
      <c r="U211" s="1"/>
      <c r="V211" s="1"/>
      <c r="W211" s="1"/>
      <c r="X211" s="1"/>
      <c r="Y211" s="1"/>
      <c r="Z211" s="1"/>
      <c r="AA211" s="1"/>
      <c r="AB211" s="1"/>
      <c r="AC211" s="1"/>
      <c r="AD211" s="1"/>
    </row>
    <row r="212" spans="1:30">
      <c r="A212" s="1"/>
      <c r="C212" s="126"/>
      <c r="D212" s="126"/>
      <c r="E212" s="126"/>
      <c r="F212" s="126"/>
      <c r="G212" s="126"/>
      <c r="H212" s="126"/>
      <c r="I212" s="126"/>
      <c r="J212" s="1"/>
      <c r="K212" s="1"/>
      <c r="L212" s="1"/>
      <c r="M212" s="1"/>
      <c r="N212" s="1"/>
      <c r="O212" s="1"/>
      <c r="P212" s="1"/>
      <c r="Q212" s="1"/>
      <c r="R212" s="1"/>
      <c r="S212" s="1"/>
      <c r="T212" s="1"/>
      <c r="U212" s="1"/>
      <c r="V212" s="1"/>
      <c r="W212" s="1"/>
      <c r="X212" s="1"/>
      <c r="Y212" s="1"/>
      <c r="Z212" s="1"/>
      <c r="AA212" s="1"/>
      <c r="AB212" s="1"/>
      <c r="AC212" s="1"/>
      <c r="AD212" s="1"/>
    </row>
    <row r="213" spans="1:30">
      <c r="A213" s="1"/>
      <c r="C213" s="106"/>
      <c r="D213" s="126"/>
      <c r="E213" s="126"/>
      <c r="F213" s="126"/>
      <c r="G213" s="126"/>
      <c r="H213" s="126"/>
      <c r="I213" s="126"/>
      <c r="J213" s="1"/>
      <c r="K213" s="1"/>
      <c r="L213" s="1"/>
      <c r="M213" s="1"/>
      <c r="N213" s="1"/>
      <c r="O213" s="1"/>
      <c r="P213" s="1"/>
      <c r="Q213" s="1"/>
      <c r="R213" s="1"/>
      <c r="S213" s="1"/>
      <c r="T213" s="1"/>
      <c r="U213" s="1"/>
      <c r="V213" s="1"/>
      <c r="W213" s="1"/>
      <c r="X213" s="1"/>
      <c r="Y213" s="1"/>
      <c r="Z213" s="1"/>
      <c r="AA213" s="1"/>
      <c r="AB213" s="1"/>
      <c r="AC213" s="1"/>
      <c r="AD213" s="1"/>
    </row>
    <row r="214" spans="1:30">
      <c r="A214" s="1"/>
      <c r="C214" s="2"/>
      <c r="D214" s="126"/>
      <c r="E214" s="126"/>
      <c r="F214" s="126"/>
      <c r="G214" s="126"/>
      <c r="H214" s="126"/>
      <c r="I214" s="126"/>
      <c r="J214" s="1"/>
      <c r="K214" s="1"/>
      <c r="L214" s="1"/>
      <c r="M214" s="1"/>
      <c r="N214" s="1"/>
      <c r="O214" s="1"/>
      <c r="P214" s="1"/>
      <c r="Q214" s="1"/>
      <c r="R214" s="1"/>
      <c r="S214" s="1"/>
      <c r="T214" s="1"/>
      <c r="U214" s="1"/>
      <c r="V214" s="1"/>
      <c r="W214" s="1"/>
      <c r="X214" s="1"/>
      <c r="Y214" s="1"/>
      <c r="Z214" s="1"/>
      <c r="AA214" s="1"/>
      <c r="AB214" s="1"/>
      <c r="AC214" s="1"/>
      <c r="AD214" s="1"/>
    </row>
    <row r="215" spans="1:30">
      <c r="A215" s="1"/>
      <c r="C215" s="126"/>
      <c r="D215" s="126"/>
      <c r="E215" s="126"/>
      <c r="F215" s="126"/>
      <c r="G215" s="126"/>
      <c r="H215" s="126"/>
      <c r="I215" s="126"/>
      <c r="J215" s="1"/>
      <c r="K215" s="1"/>
      <c r="L215" s="1"/>
      <c r="M215" s="1"/>
      <c r="N215" s="1"/>
      <c r="O215" s="1"/>
      <c r="P215" s="1"/>
      <c r="Q215" s="1"/>
      <c r="R215" s="1"/>
      <c r="S215" s="1"/>
      <c r="T215" s="1"/>
      <c r="U215" s="1"/>
      <c r="V215" s="1"/>
      <c r="W215" s="1"/>
      <c r="X215" s="1"/>
      <c r="Y215" s="1"/>
      <c r="Z215" s="1"/>
      <c r="AA215" s="1"/>
      <c r="AB215" s="1"/>
      <c r="AC215" s="1"/>
      <c r="AD215" s="1"/>
    </row>
    <row r="216" spans="1:30">
      <c r="A216" s="1"/>
      <c r="C216" s="126"/>
      <c r="D216" s="126"/>
      <c r="E216" s="126"/>
      <c r="F216" s="126"/>
      <c r="G216" s="126"/>
      <c r="H216" s="126"/>
      <c r="I216" s="126"/>
      <c r="J216" s="1"/>
      <c r="K216" s="1"/>
      <c r="L216" s="1"/>
      <c r="M216" s="1"/>
      <c r="N216" s="1"/>
      <c r="O216" s="1"/>
      <c r="P216" s="1"/>
      <c r="Q216" s="1"/>
      <c r="R216" s="1"/>
      <c r="S216" s="1"/>
      <c r="T216" s="1"/>
      <c r="U216" s="1"/>
      <c r="V216" s="1"/>
      <c r="W216" s="1"/>
      <c r="X216" s="1"/>
      <c r="Y216" s="1"/>
      <c r="Z216" s="1"/>
      <c r="AA216" s="1"/>
      <c r="AB216" s="1"/>
      <c r="AC216" s="1"/>
      <c r="AD216" s="1"/>
    </row>
    <row r="217" spans="1:30">
      <c r="A217" s="1"/>
      <c r="C217" s="126"/>
      <c r="D217" s="126"/>
      <c r="E217" s="126"/>
      <c r="F217" s="126"/>
      <c r="G217" s="126"/>
      <c r="H217" s="126"/>
      <c r="I217" s="26"/>
      <c r="J217" s="1"/>
      <c r="K217" s="1"/>
      <c r="L217" s="1"/>
      <c r="M217" s="1"/>
      <c r="N217" s="1"/>
      <c r="O217" s="1"/>
      <c r="P217" s="1"/>
      <c r="Q217" s="1"/>
      <c r="R217" s="1"/>
      <c r="S217" s="1"/>
      <c r="T217" s="1"/>
      <c r="U217" s="1"/>
      <c r="V217" s="1"/>
      <c r="W217" s="1"/>
      <c r="X217" s="1"/>
      <c r="Y217" s="1"/>
      <c r="Z217" s="1"/>
      <c r="AA217" s="1"/>
      <c r="AB217" s="1"/>
      <c r="AC217" s="1"/>
      <c r="AD217" s="1"/>
    </row>
    <row r="218" spans="1:30">
      <c r="A218" s="1"/>
      <c r="C218" s="126"/>
      <c r="D218" s="126"/>
      <c r="E218" s="28"/>
      <c r="F218" s="26"/>
      <c r="G218" s="26"/>
      <c r="H218" s="26"/>
      <c r="I218" s="126"/>
      <c r="J218" s="1"/>
      <c r="K218" s="1"/>
      <c r="L218" s="1"/>
      <c r="M218" s="1"/>
      <c r="N218" s="1"/>
      <c r="O218" s="1"/>
      <c r="P218" s="1"/>
      <c r="Q218" s="1"/>
      <c r="R218" s="1"/>
      <c r="S218" s="1"/>
      <c r="T218" s="1"/>
      <c r="U218" s="1"/>
      <c r="V218" s="1"/>
      <c r="W218" s="1"/>
      <c r="X218" s="1"/>
      <c r="Y218" s="1"/>
      <c r="Z218" s="1"/>
      <c r="AA218" s="1"/>
      <c r="AB218" s="1"/>
      <c r="AC218" s="1"/>
      <c r="AD218" s="1"/>
    </row>
    <row r="219" spans="1:30">
      <c r="A219" s="1"/>
      <c r="C219" s="2"/>
      <c r="D219" s="126"/>
      <c r="E219" s="126"/>
      <c r="F219" s="126"/>
      <c r="G219" s="126"/>
      <c r="H219" s="126"/>
      <c r="I219" s="134"/>
      <c r="J219" s="1"/>
      <c r="K219" s="1"/>
      <c r="L219" s="1"/>
      <c r="M219" s="1"/>
      <c r="N219" s="1"/>
      <c r="O219" s="1"/>
      <c r="P219" s="1"/>
      <c r="Q219" s="1"/>
      <c r="R219" s="1"/>
      <c r="S219" s="1"/>
      <c r="T219" s="1"/>
      <c r="U219" s="1"/>
      <c r="V219" s="1"/>
      <c r="W219" s="1"/>
      <c r="X219" s="1"/>
      <c r="Y219" s="1"/>
      <c r="Z219" s="1"/>
      <c r="AA219" s="1"/>
      <c r="AB219" s="1"/>
      <c r="AC219" s="1"/>
      <c r="AD219" s="1"/>
    </row>
    <row r="220" spans="1:30">
      <c r="A220" s="1"/>
      <c r="C220" s="2"/>
      <c r="D220" s="126"/>
      <c r="E220" s="134"/>
      <c r="F220" s="134"/>
      <c r="G220" s="134"/>
      <c r="H220" s="134"/>
      <c r="I220" s="126"/>
      <c r="J220" s="1"/>
      <c r="K220" s="1"/>
      <c r="L220" s="1"/>
      <c r="M220" s="1"/>
      <c r="N220" s="1"/>
      <c r="O220" s="1"/>
      <c r="P220" s="1"/>
      <c r="Q220" s="1"/>
      <c r="R220" s="1"/>
      <c r="S220" s="1"/>
      <c r="T220" s="1"/>
      <c r="U220" s="1"/>
      <c r="V220" s="1"/>
      <c r="W220" s="1"/>
      <c r="X220" s="1"/>
      <c r="Y220" s="1"/>
      <c r="Z220" s="1"/>
      <c r="AA220" s="1"/>
      <c r="AB220" s="1"/>
      <c r="AC220" s="1"/>
      <c r="AD220" s="1"/>
    </row>
    <row r="221" spans="1:30">
      <c r="A221" s="1"/>
      <c r="C221" s="126"/>
      <c r="D221" s="126"/>
      <c r="E221" s="126"/>
      <c r="F221" s="126"/>
      <c r="G221" s="126"/>
      <c r="H221" s="126"/>
      <c r="I221" s="126"/>
      <c r="J221" s="1"/>
      <c r="K221" s="1"/>
      <c r="L221" s="1"/>
      <c r="M221" s="1"/>
      <c r="N221" s="1"/>
      <c r="O221" s="1"/>
      <c r="P221" s="1"/>
      <c r="Q221" s="1"/>
      <c r="R221" s="1"/>
      <c r="S221" s="1"/>
      <c r="T221" s="1"/>
      <c r="U221" s="1"/>
      <c r="V221" s="1"/>
      <c r="W221" s="1"/>
      <c r="X221" s="1"/>
      <c r="Y221" s="1"/>
      <c r="Z221" s="1"/>
      <c r="AA221" s="1"/>
      <c r="AB221" s="1"/>
      <c r="AC221" s="1"/>
      <c r="AD221" s="1"/>
    </row>
    <row r="222" spans="1:30">
      <c r="A222" s="1"/>
      <c r="C222" s="2"/>
      <c r="D222" s="126"/>
      <c r="E222" s="126"/>
      <c r="F222" s="126"/>
      <c r="G222" s="126"/>
      <c r="H222" s="126"/>
      <c r="I222" s="126"/>
      <c r="J222" s="1"/>
      <c r="K222" s="1"/>
      <c r="L222" s="1"/>
      <c r="M222" s="1"/>
      <c r="N222" s="1"/>
      <c r="O222" s="1"/>
      <c r="P222" s="1"/>
      <c r="Q222" s="1"/>
      <c r="R222" s="1"/>
      <c r="S222" s="1"/>
      <c r="T222" s="1"/>
      <c r="U222" s="1"/>
      <c r="V222" s="1"/>
      <c r="W222" s="1"/>
      <c r="X222" s="1"/>
      <c r="Y222" s="1"/>
      <c r="Z222" s="1"/>
      <c r="AA222" s="1"/>
      <c r="AB222" s="1"/>
      <c r="AC222" s="1"/>
      <c r="AD222" s="1"/>
    </row>
    <row r="223" spans="1:30">
      <c r="A223" s="1"/>
      <c r="C223" s="126"/>
      <c r="D223" s="126"/>
      <c r="E223" s="126"/>
      <c r="F223" s="126"/>
      <c r="G223" s="126"/>
      <c r="H223" s="126"/>
      <c r="I223" s="126"/>
      <c r="J223" s="1"/>
      <c r="K223" s="1"/>
      <c r="L223" s="1"/>
      <c r="M223" s="1"/>
      <c r="N223" s="1"/>
      <c r="O223" s="1"/>
      <c r="P223" s="1"/>
      <c r="Q223" s="1"/>
      <c r="R223" s="1"/>
      <c r="S223" s="1"/>
      <c r="T223" s="1"/>
      <c r="U223" s="1"/>
      <c r="V223" s="1"/>
      <c r="W223" s="1"/>
      <c r="X223" s="1"/>
      <c r="Y223" s="1"/>
      <c r="Z223" s="1"/>
      <c r="AA223" s="1"/>
      <c r="AB223" s="1"/>
      <c r="AC223" s="1"/>
      <c r="AD223" s="1"/>
    </row>
    <row r="224" spans="1:30">
      <c r="A224" s="1"/>
      <c r="C224" s="126"/>
      <c r="D224" s="126"/>
      <c r="E224" s="126"/>
      <c r="F224" s="126"/>
      <c r="G224" s="126"/>
      <c r="H224" s="126"/>
      <c r="I224" s="126"/>
      <c r="J224" s="1"/>
      <c r="K224" s="1"/>
      <c r="L224" s="1"/>
      <c r="M224" s="1"/>
      <c r="N224" s="1"/>
      <c r="O224" s="1"/>
      <c r="P224" s="1"/>
      <c r="Q224" s="1"/>
      <c r="R224" s="1"/>
      <c r="S224" s="1"/>
      <c r="T224" s="1"/>
      <c r="U224" s="1"/>
      <c r="V224" s="1"/>
      <c r="W224" s="1"/>
      <c r="X224" s="1"/>
      <c r="Y224" s="1"/>
      <c r="Z224" s="1"/>
      <c r="AA224" s="1"/>
      <c r="AB224" s="1"/>
      <c r="AC224" s="1"/>
      <c r="AD224" s="1"/>
    </row>
    <row r="225" spans="1:30">
      <c r="A225" s="1"/>
      <c r="C225" s="1"/>
      <c r="D225" s="126"/>
      <c r="E225" s="126"/>
      <c r="F225" s="126"/>
      <c r="G225" s="126"/>
      <c r="H225" s="126"/>
      <c r="I225" s="126"/>
      <c r="J225" s="1"/>
      <c r="K225" s="1"/>
      <c r="L225" s="1"/>
      <c r="M225" s="1"/>
      <c r="N225" s="1"/>
      <c r="O225" s="1"/>
      <c r="P225" s="1"/>
      <c r="Q225" s="1"/>
      <c r="R225" s="1"/>
      <c r="S225" s="1"/>
      <c r="T225" s="1"/>
      <c r="U225" s="1"/>
      <c r="V225" s="1"/>
      <c r="W225" s="1"/>
      <c r="X225" s="1"/>
      <c r="Y225" s="1"/>
      <c r="Z225" s="1"/>
      <c r="AA225" s="1"/>
      <c r="AB225" s="1"/>
      <c r="AC225" s="1"/>
      <c r="AD225" s="1"/>
    </row>
    <row r="226" spans="1:30">
      <c r="A226" s="1"/>
      <c r="C226" s="126"/>
      <c r="D226" s="126"/>
      <c r="E226" s="126"/>
      <c r="F226" s="126"/>
      <c r="G226" s="126"/>
      <c r="H226" s="126"/>
      <c r="I226" s="126"/>
      <c r="J226" s="1"/>
      <c r="K226" s="1"/>
      <c r="L226" s="1"/>
      <c r="M226" s="1"/>
      <c r="N226" s="1"/>
      <c r="O226" s="1"/>
      <c r="P226" s="1"/>
      <c r="Q226" s="1"/>
      <c r="R226" s="1"/>
      <c r="S226" s="1"/>
      <c r="T226" s="1"/>
      <c r="U226" s="1"/>
      <c r="V226" s="1"/>
      <c r="W226" s="1"/>
      <c r="X226" s="1"/>
      <c r="Y226" s="1"/>
      <c r="Z226" s="1"/>
      <c r="AA226" s="1"/>
      <c r="AB226" s="1"/>
      <c r="AC226" s="1"/>
      <c r="AD226" s="1"/>
    </row>
    <row r="227" spans="1:30">
      <c r="A227" s="1"/>
      <c r="C227" s="126"/>
      <c r="D227" s="126"/>
      <c r="E227" s="126"/>
      <c r="F227" s="126"/>
      <c r="G227" s="126"/>
      <c r="H227" s="126"/>
      <c r="I227" s="126"/>
      <c r="J227" s="1"/>
      <c r="K227" s="1"/>
      <c r="L227" s="1"/>
      <c r="M227" s="1"/>
      <c r="N227" s="1"/>
      <c r="O227" s="1"/>
      <c r="P227" s="1"/>
      <c r="Q227" s="1"/>
      <c r="R227" s="1"/>
      <c r="S227" s="1"/>
      <c r="T227" s="1"/>
      <c r="U227" s="1"/>
      <c r="V227" s="1"/>
      <c r="W227" s="1"/>
      <c r="X227" s="1"/>
      <c r="Y227" s="1"/>
      <c r="Z227" s="1"/>
      <c r="AA227" s="1"/>
      <c r="AB227" s="1"/>
      <c r="AC227" s="1"/>
      <c r="AD227" s="1"/>
    </row>
    <row r="228" spans="1:30">
      <c r="A228" s="1"/>
      <c r="B228" s="1"/>
      <c r="C228" s="126"/>
      <c r="D228" s="126"/>
      <c r="E228" s="126"/>
      <c r="F228" s="126"/>
      <c r="G228" s="126"/>
      <c r="H228" s="126"/>
      <c r="I228" s="126"/>
      <c r="J228" s="1"/>
      <c r="K228" s="1"/>
      <c r="L228" s="1"/>
      <c r="M228" s="1"/>
      <c r="N228" s="1"/>
      <c r="O228" s="1"/>
      <c r="P228" s="1"/>
      <c r="Q228" s="1"/>
      <c r="R228" s="1"/>
      <c r="S228" s="1"/>
      <c r="T228" s="1"/>
      <c r="U228" s="1"/>
      <c r="V228" s="1"/>
      <c r="W228" s="1"/>
      <c r="X228" s="1"/>
      <c r="Y228" s="1"/>
      <c r="Z228" s="1"/>
      <c r="AA228" s="1"/>
      <c r="AB228" s="1"/>
      <c r="AC228" s="1"/>
      <c r="AD228" s="1"/>
    </row>
    <row r="229" spans="1:30">
      <c r="A229" s="1"/>
      <c r="B229" s="1"/>
      <c r="C229" s="126"/>
      <c r="D229" s="126"/>
      <c r="E229" s="126"/>
      <c r="F229" s="126"/>
      <c r="G229" s="126"/>
      <c r="H229" s="126"/>
      <c r="I229" s="126"/>
      <c r="J229" s="1"/>
      <c r="K229" s="1"/>
      <c r="L229" s="1"/>
      <c r="M229" s="1"/>
      <c r="N229" s="1"/>
      <c r="O229" s="1"/>
      <c r="P229" s="1"/>
      <c r="Q229" s="1"/>
      <c r="R229" s="1"/>
      <c r="S229" s="1"/>
      <c r="T229" s="1"/>
      <c r="U229" s="1"/>
      <c r="V229" s="1"/>
      <c r="W229" s="1"/>
      <c r="X229" s="1"/>
      <c r="Y229" s="1"/>
      <c r="Z229" s="1"/>
      <c r="AA229" s="1"/>
      <c r="AB229" s="1"/>
      <c r="AC229" s="1"/>
      <c r="AD229" s="1"/>
    </row>
    <row r="230" spans="1:30">
      <c r="A230" s="1"/>
      <c r="B230" s="1"/>
      <c r="C230" s="126"/>
      <c r="D230" s="126"/>
      <c r="E230" s="126"/>
      <c r="F230" s="126"/>
      <c r="G230" s="126"/>
      <c r="H230" s="126"/>
      <c r="I230" s="126"/>
      <c r="J230" s="1"/>
      <c r="K230" s="1"/>
      <c r="L230" s="1"/>
      <c r="M230" s="1"/>
      <c r="N230" s="1"/>
      <c r="O230" s="1"/>
      <c r="P230" s="1"/>
      <c r="Q230" s="1"/>
      <c r="R230" s="1"/>
      <c r="S230" s="1"/>
      <c r="T230" s="1"/>
      <c r="U230" s="1"/>
      <c r="V230" s="1"/>
      <c r="W230" s="1"/>
      <c r="X230" s="1"/>
      <c r="Y230" s="1"/>
      <c r="Z230" s="1"/>
      <c r="AA230" s="1"/>
      <c r="AB230" s="1"/>
      <c r="AC230" s="1"/>
      <c r="AD230" s="1"/>
    </row>
    <row r="231" spans="1:30">
      <c r="A231" s="1"/>
      <c r="B231" s="1"/>
      <c r="C231" s="126"/>
      <c r="D231" s="126"/>
      <c r="E231" s="126"/>
      <c r="F231" s="126"/>
      <c r="G231" s="126"/>
      <c r="H231" s="126"/>
      <c r="I231" s="126"/>
      <c r="J231" s="1"/>
      <c r="K231" s="1"/>
      <c r="L231" s="1"/>
      <c r="M231" s="1"/>
      <c r="N231" s="1"/>
      <c r="O231" s="1"/>
      <c r="P231" s="1"/>
      <c r="Q231" s="1"/>
      <c r="R231" s="1"/>
      <c r="S231" s="1"/>
      <c r="T231" s="1"/>
      <c r="U231" s="1"/>
      <c r="V231" s="1"/>
      <c r="W231" s="1"/>
      <c r="X231" s="1"/>
      <c r="Y231" s="1"/>
      <c r="Z231" s="1"/>
      <c r="AA231" s="1"/>
      <c r="AB231" s="1"/>
      <c r="AC231" s="1"/>
      <c r="AD231" s="1"/>
    </row>
    <row r="232" spans="1:30">
      <c r="A232" s="1"/>
      <c r="B232" s="1"/>
      <c r="C232" s="126"/>
      <c r="D232" s="126"/>
      <c r="E232" s="126"/>
      <c r="F232" s="126"/>
      <c r="G232" s="126"/>
      <c r="H232" s="126"/>
      <c r="I232" s="126"/>
      <c r="J232" s="1"/>
      <c r="K232" s="1"/>
      <c r="L232" s="1"/>
      <c r="M232" s="1"/>
      <c r="N232" s="1"/>
      <c r="O232" s="1"/>
      <c r="P232" s="1"/>
      <c r="Q232" s="1"/>
      <c r="R232" s="1"/>
      <c r="S232" s="1"/>
      <c r="T232" s="1"/>
      <c r="U232" s="1"/>
      <c r="V232" s="1"/>
      <c r="W232" s="1"/>
      <c r="X232" s="1"/>
      <c r="Y232" s="1"/>
      <c r="Z232" s="1"/>
      <c r="AA232" s="1"/>
      <c r="AB232" s="1"/>
      <c r="AC232" s="1"/>
      <c r="AD232" s="1"/>
    </row>
    <row r="233" spans="1:30">
      <c r="A233" s="1"/>
      <c r="B233" s="1"/>
      <c r="C233" s="132"/>
      <c r="D233" s="126"/>
      <c r="E233" s="126"/>
      <c r="F233" s="126"/>
      <c r="G233" s="126"/>
      <c r="H233" s="126"/>
      <c r="I233" s="126"/>
      <c r="J233" s="1"/>
      <c r="K233" s="1"/>
      <c r="L233" s="1"/>
      <c r="M233" s="1"/>
      <c r="N233" s="1"/>
      <c r="O233" s="1"/>
      <c r="P233" s="1"/>
      <c r="Q233" s="1"/>
      <c r="R233" s="1"/>
      <c r="S233" s="1"/>
      <c r="T233" s="1"/>
      <c r="U233" s="1"/>
      <c r="V233" s="1"/>
      <c r="W233" s="1"/>
      <c r="X233" s="1"/>
      <c r="Y233" s="1"/>
      <c r="Z233" s="1"/>
      <c r="AA233" s="1"/>
      <c r="AB233" s="1"/>
      <c r="AC233" s="1"/>
      <c r="AD233" s="1"/>
    </row>
    <row r="234" spans="1:30">
      <c r="A234" s="1"/>
      <c r="B234" s="1"/>
      <c r="C234" s="132"/>
      <c r="D234" s="126"/>
      <c r="E234" s="126"/>
      <c r="F234" s="126"/>
      <c r="G234" s="126"/>
      <c r="H234" s="126"/>
      <c r="I234" s="126"/>
      <c r="J234" s="1"/>
      <c r="K234" s="1"/>
      <c r="L234" s="1"/>
      <c r="M234" s="1"/>
      <c r="N234" s="1"/>
      <c r="O234" s="1"/>
      <c r="P234" s="1"/>
      <c r="Q234" s="1"/>
      <c r="R234" s="1"/>
      <c r="S234" s="1"/>
      <c r="T234" s="1"/>
      <c r="U234" s="1"/>
      <c r="V234" s="1"/>
      <c r="W234" s="1"/>
      <c r="X234" s="1"/>
      <c r="Y234" s="1"/>
      <c r="Z234" s="1"/>
      <c r="AA234" s="1"/>
      <c r="AB234" s="1"/>
      <c r="AC234" s="1"/>
      <c r="AD234" s="1"/>
    </row>
    <row r="235" spans="1:30">
      <c r="A235" s="1"/>
      <c r="B235" s="1"/>
      <c r="C235" s="126"/>
      <c r="D235" s="126"/>
      <c r="E235" s="126"/>
      <c r="F235" s="126"/>
      <c r="G235" s="126"/>
      <c r="H235" s="126"/>
      <c r="I235" s="126"/>
      <c r="J235" s="126"/>
      <c r="K235" s="1"/>
      <c r="L235" s="1"/>
      <c r="M235" s="1"/>
      <c r="N235" s="1"/>
      <c r="O235" s="1"/>
      <c r="P235" s="1"/>
      <c r="Q235" s="1"/>
      <c r="R235" s="1"/>
      <c r="S235" s="1"/>
      <c r="T235" s="1"/>
      <c r="U235" s="1"/>
      <c r="V235" s="1"/>
      <c r="W235" s="1"/>
      <c r="X235" s="1"/>
      <c r="Y235" s="1"/>
      <c r="Z235" s="1"/>
      <c r="AA235" s="1"/>
      <c r="AB235" s="1"/>
      <c r="AC235" s="1"/>
      <c r="AD235" s="1"/>
    </row>
    <row r="236" spans="1:30">
      <c r="A236" s="1"/>
      <c r="B236" s="1"/>
      <c r="C236" s="126"/>
      <c r="D236" s="126"/>
      <c r="E236" s="126"/>
      <c r="F236" s="126"/>
      <c r="G236" s="126"/>
      <c r="H236" s="126"/>
      <c r="I236" s="126"/>
      <c r="J236" s="1"/>
      <c r="K236" s="1"/>
      <c r="L236" s="1"/>
      <c r="M236" s="1"/>
      <c r="N236" s="1"/>
      <c r="O236" s="1"/>
      <c r="P236" s="1"/>
      <c r="Q236" s="1"/>
      <c r="R236" s="1"/>
      <c r="S236" s="1"/>
      <c r="T236" s="1"/>
      <c r="U236" s="1"/>
      <c r="V236" s="1"/>
      <c r="W236" s="1"/>
      <c r="X236" s="1"/>
      <c r="Y236" s="1"/>
      <c r="Z236" s="1"/>
      <c r="AA236" s="1"/>
      <c r="AB236" s="1"/>
      <c r="AC236" s="1"/>
      <c r="AD236" s="1"/>
    </row>
    <row r="237" spans="1:30">
      <c r="A237" s="1"/>
      <c r="B237" s="1"/>
      <c r="C237" s="126"/>
      <c r="D237" s="126"/>
      <c r="E237" s="126"/>
      <c r="F237" s="126"/>
      <c r="G237" s="126"/>
      <c r="H237" s="126"/>
      <c r="I237" s="126"/>
      <c r="J237" s="1"/>
      <c r="K237" s="1"/>
      <c r="L237" s="1"/>
      <c r="M237" s="1"/>
      <c r="N237" s="1"/>
      <c r="O237" s="1"/>
      <c r="P237" s="1"/>
      <c r="Q237" s="1"/>
      <c r="R237" s="1"/>
      <c r="S237" s="1"/>
      <c r="T237" s="1"/>
      <c r="U237" s="1"/>
      <c r="V237" s="1"/>
      <c r="W237" s="1"/>
      <c r="X237" s="1"/>
      <c r="Y237" s="1"/>
      <c r="Z237" s="1"/>
      <c r="AA237" s="1"/>
      <c r="AB237" s="1"/>
      <c r="AC237" s="1"/>
      <c r="AD237" s="1"/>
    </row>
    <row r="238" spans="1:30">
      <c r="A238" s="1"/>
      <c r="B238" s="1"/>
      <c r="C238" s="126"/>
      <c r="D238" s="126"/>
      <c r="E238" s="126"/>
      <c r="F238" s="126"/>
      <c r="G238" s="126"/>
      <c r="H238" s="126"/>
      <c r="I238" s="126"/>
      <c r="J238" s="1"/>
      <c r="K238" s="1"/>
      <c r="L238" s="1"/>
      <c r="M238" s="1"/>
      <c r="N238" s="1"/>
      <c r="O238" s="1"/>
      <c r="P238" s="1"/>
      <c r="Q238" s="1"/>
      <c r="R238" s="1"/>
      <c r="S238" s="1"/>
      <c r="T238" s="1"/>
      <c r="U238" s="1"/>
      <c r="V238" s="1"/>
      <c r="W238" s="1"/>
      <c r="X238" s="1"/>
      <c r="Y238" s="1"/>
      <c r="Z238" s="1"/>
      <c r="AA238" s="1"/>
      <c r="AB238" s="1"/>
      <c r="AC238" s="1"/>
      <c r="AD238" s="1"/>
    </row>
    <row r="239" spans="1:30">
      <c r="A239" s="1"/>
      <c r="B239" s="1"/>
      <c r="C239" s="126"/>
      <c r="D239" s="126"/>
      <c r="E239" s="126"/>
      <c r="F239" s="126"/>
      <c r="G239" s="126"/>
      <c r="H239" s="126"/>
      <c r="I239" s="1"/>
      <c r="J239" s="1"/>
      <c r="K239" s="1"/>
      <c r="L239" s="1"/>
      <c r="M239" s="1"/>
      <c r="N239" s="1"/>
      <c r="O239" s="1"/>
      <c r="P239" s="1"/>
      <c r="Q239" s="1"/>
      <c r="R239" s="1"/>
      <c r="S239" s="1"/>
      <c r="T239" s="1"/>
      <c r="U239" s="1"/>
      <c r="V239" s="1"/>
      <c r="W239" s="1"/>
      <c r="X239" s="1"/>
      <c r="Y239" s="1"/>
      <c r="Z239" s="1"/>
      <c r="AA239" s="1"/>
      <c r="AB239" s="1"/>
      <c r="AC239" s="1"/>
      <c r="AD239" s="1"/>
    </row>
    <row r="240" spans="1:30">
      <c r="A240" s="1"/>
      <c r="B240" s="1"/>
      <c r="C240" s="1"/>
      <c r="D240" s="1"/>
      <c r="E240" s="1"/>
      <c r="F240" s="1"/>
      <c r="G240" s="1"/>
      <c r="H240" s="1"/>
      <c r="I240" s="126"/>
      <c r="J240" s="1"/>
      <c r="K240" s="1"/>
      <c r="L240" s="1"/>
      <c r="M240" s="1"/>
      <c r="N240" s="1"/>
      <c r="O240" s="1"/>
      <c r="P240" s="1"/>
      <c r="Q240" s="1"/>
      <c r="R240" s="1"/>
      <c r="S240" s="1"/>
      <c r="T240" s="1"/>
      <c r="U240" s="1"/>
      <c r="V240" s="1"/>
      <c r="W240" s="1"/>
      <c r="X240" s="1"/>
      <c r="Y240" s="1"/>
      <c r="Z240" s="1"/>
      <c r="AA240" s="1"/>
      <c r="AB240" s="1"/>
      <c r="AC240" s="1"/>
      <c r="AD240" s="1"/>
    </row>
    <row r="241" spans="1:30">
      <c r="A241" s="1"/>
      <c r="B241" s="1"/>
      <c r="C241" s="1"/>
      <c r="D241" s="126"/>
      <c r="E241" s="126"/>
      <c r="F241" s="126"/>
      <c r="G241" s="126"/>
      <c r="H241" s="126"/>
      <c r="I241" s="1"/>
      <c r="J241" s="1"/>
      <c r="K241" s="1"/>
      <c r="L241" s="1"/>
      <c r="M241" s="1"/>
      <c r="N241" s="1"/>
      <c r="O241" s="1"/>
      <c r="P241" s="1"/>
      <c r="Q241" s="1"/>
      <c r="R241" s="1"/>
      <c r="S241" s="1"/>
      <c r="T241" s="1"/>
      <c r="U241" s="1"/>
      <c r="V241" s="1"/>
      <c r="W241" s="1"/>
      <c r="X241" s="1"/>
      <c r="Y241" s="1"/>
      <c r="Z241" s="1"/>
      <c r="AA241" s="1"/>
      <c r="AB241" s="1"/>
      <c r="AC241" s="1"/>
      <c r="AD241" s="1"/>
    </row>
    <row r="242" spans="1:30">
      <c r="A242" s="1"/>
      <c r="B242" s="1"/>
      <c r="C242" s="1"/>
      <c r="D242" s="1"/>
      <c r="E242" s="1"/>
      <c r="F242" s="1"/>
      <c r="G242" s="1"/>
      <c r="H242" s="1"/>
      <c r="J242" s="1"/>
      <c r="K242" s="1"/>
      <c r="L242" s="1"/>
      <c r="M242" s="1"/>
      <c r="N242" s="1"/>
      <c r="O242" s="1"/>
      <c r="P242" s="1"/>
      <c r="Q242" s="1"/>
      <c r="R242" s="1"/>
      <c r="S242" s="1"/>
      <c r="T242" s="1"/>
      <c r="U242" s="1"/>
      <c r="V242" s="1"/>
      <c r="W242" s="1"/>
      <c r="X242" s="1"/>
      <c r="Y242" s="1"/>
      <c r="Z242" s="1"/>
      <c r="AA242" s="1"/>
      <c r="AB242" s="1"/>
      <c r="AC242" s="1"/>
      <c r="AD242" s="1"/>
    </row>
    <row r="243" spans="1:30">
      <c r="A243" s="1"/>
      <c r="B243" s="1"/>
      <c r="C243" s="1"/>
      <c r="D243" s="1"/>
      <c r="E243" s="1"/>
      <c r="F243" s="1"/>
      <c r="G243" s="1"/>
      <c r="H243" s="1"/>
      <c r="J243" s="1"/>
      <c r="K243" s="1"/>
      <c r="L243" s="1"/>
      <c r="M243" s="1"/>
      <c r="N243" s="1"/>
      <c r="O243" s="1"/>
      <c r="P243" s="1"/>
      <c r="Q243" s="1"/>
      <c r="R243" s="1"/>
      <c r="S243" s="1"/>
      <c r="T243" s="1"/>
      <c r="U243" s="1"/>
      <c r="V243" s="1"/>
      <c r="W243" s="1"/>
      <c r="X243" s="1"/>
      <c r="Y243" s="1"/>
      <c r="Z243" s="1"/>
      <c r="AA243" s="1"/>
      <c r="AB243" s="1"/>
      <c r="AC243" s="1"/>
      <c r="AD243" s="1"/>
    </row>
    <row r="244" spans="1:30">
      <c r="A244" s="1"/>
      <c r="B244" s="1"/>
      <c r="C244" s="1"/>
      <c r="D244" s="1"/>
      <c r="E244" s="1"/>
      <c r="F244" s="1"/>
      <c r="G244" s="1"/>
      <c r="H244" s="1"/>
      <c r="J244" s="1"/>
      <c r="K244" s="1"/>
      <c r="L244" s="1"/>
      <c r="M244" s="1"/>
      <c r="N244" s="1"/>
      <c r="O244" s="1"/>
      <c r="P244" s="1"/>
      <c r="Q244" s="1"/>
      <c r="R244" s="1"/>
      <c r="S244" s="1"/>
      <c r="T244" s="1"/>
      <c r="U244" s="1"/>
      <c r="V244" s="1"/>
      <c r="W244" s="1"/>
      <c r="X244" s="1"/>
      <c r="Y244" s="1"/>
      <c r="Z244" s="1"/>
      <c r="AA244" s="1"/>
      <c r="AB244" s="1"/>
      <c r="AC244" s="1"/>
      <c r="AD244" s="1"/>
    </row>
    <row r="245" spans="1:30">
      <c r="A245" s="1"/>
      <c r="B245" s="1"/>
      <c r="C245" s="1"/>
      <c r="D245" s="1"/>
      <c r="E245" s="1"/>
      <c r="F245" s="1"/>
      <c r="G245" s="1"/>
      <c r="H245" s="1"/>
      <c r="J245" s="1"/>
      <c r="K245" s="1"/>
      <c r="L245" s="1"/>
      <c r="M245" s="1"/>
      <c r="N245" s="1"/>
      <c r="O245" s="1"/>
      <c r="P245" s="1"/>
      <c r="Q245" s="1"/>
      <c r="R245" s="1"/>
      <c r="S245" s="1"/>
      <c r="T245" s="1"/>
      <c r="U245" s="1"/>
      <c r="V245" s="1"/>
      <c r="W245" s="1"/>
      <c r="X245" s="1"/>
      <c r="Y245" s="1"/>
      <c r="Z245" s="1"/>
      <c r="AA245" s="1"/>
      <c r="AB245" s="1"/>
      <c r="AC245" s="1"/>
      <c r="AD245" s="1"/>
    </row>
    <row r="246" spans="1:30">
      <c r="A246" s="1"/>
      <c r="B246" s="1"/>
      <c r="C246" s="1"/>
      <c r="D246" s="1"/>
      <c r="E246" s="1"/>
      <c r="F246" s="1"/>
      <c r="G246" s="1"/>
      <c r="H246" s="1"/>
      <c r="J246" s="1"/>
      <c r="K246" s="1"/>
      <c r="L246" s="1"/>
      <c r="M246" s="1"/>
      <c r="N246" s="1"/>
      <c r="O246" s="1"/>
      <c r="P246" s="1"/>
      <c r="Q246" s="1"/>
      <c r="R246" s="1"/>
      <c r="S246" s="1"/>
      <c r="T246" s="1"/>
      <c r="U246" s="1"/>
      <c r="V246" s="1"/>
      <c r="W246" s="1"/>
      <c r="X246" s="1"/>
      <c r="Y246" s="1"/>
      <c r="Z246" s="1"/>
      <c r="AA246" s="1"/>
      <c r="AB246" s="1"/>
      <c r="AC246" s="1"/>
      <c r="AD246" s="1"/>
    </row>
    <row r="247" spans="1:30">
      <c r="A247" s="1"/>
      <c r="B247" s="1"/>
      <c r="C247" s="1"/>
      <c r="D247" s="1"/>
      <c r="E247" s="1"/>
      <c r="F247" s="1"/>
      <c r="G247" s="1"/>
      <c r="H247" s="1"/>
      <c r="J247" s="1"/>
      <c r="K247" s="1"/>
      <c r="L247" s="1"/>
      <c r="M247" s="1"/>
      <c r="N247" s="1"/>
      <c r="O247" s="1"/>
      <c r="P247" s="1"/>
      <c r="Q247" s="1"/>
      <c r="R247" s="1"/>
      <c r="S247" s="1"/>
      <c r="T247" s="1"/>
      <c r="U247" s="1"/>
      <c r="V247" s="1"/>
      <c r="W247" s="1"/>
      <c r="X247" s="1"/>
      <c r="Y247" s="1"/>
      <c r="Z247" s="1"/>
      <c r="AA247" s="1"/>
      <c r="AB247" s="1"/>
      <c r="AC247" s="1"/>
      <c r="AD247" s="1"/>
    </row>
    <row r="248" spans="1:30">
      <c r="A248" s="1"/>
      <c r="B248" s="1"/>
      <c r="C248" s="1"/>
      <c r="D248" s="1"/>
      <c r="E248" s="1"/>
      <c r="F248" s="1"/>
      <c r="G248" s="1"/>
      <c r="H248" s="1"/>
      <c r="J248" s="1"/>
      <c r="K248" s="1"/>
      <c r="L248" s="1"/>
      <c r="M248" s="1"/>
      <c r="N248" s="1"/>
      <c r="O248" s="1"/>
      <c r="P248" s="1"/>
      <c r="Q248" s="1"/>
      <c r="R248" s="1"/>
      <c r="S248" s="1"/>
      <c r="T248" s="1"/>
      <c r="U248" s="1"/>
      <c r="V248" s="1"/>
      <c r="W248" s="1"/>
      <c r="X248" s="1"/>
      <c r="Y248" s="1"/>
      <c r="Z248" s="1"/>
      <c r="AA248" s="1"/>
      <c r="AB248" s="1"/>
      <c r="AC248" s="1"/>
      <c r="AD248" s="1"/>
    </row>
    <row r="249" spans="1:30">
      <c r="A249" s="1"/>
      <c r="B249" s="1"/>
      <c r="C249" s="1"/>
      <c r="D249" s="1"/>
      <c r="E249" s="1"/>
      <c r="F249" s="1"/>
      <c r="G249" s="1"/>
      <c r="H249" s="1"/>
      <c r="J249" s="1"/>
      <c r="K249" s="1"/>
      <c r="L249" s="1"/>
      <c r="M249" s="1"/>
      <c r="N249" s="1"/>
      <c r="O249" s="1"/>
      <c r="P249" s="1"/>
      <c r="Q249" s="1"/>
      <c r="R249" s="1"/>
      <c r="S249" s="1"/>
      <c r="T249" s="1"/>
      <c r="U249" s="1"/>
      <c r="V249" s="1"/>
      <c r="W249" s="1"/>
      <c r="X249" s="1"/>
      <c r="Y249" s="1"/>
      <c r="Z249" s="1"/>
      <c r="AA249" s="1"/>
      <c r="AB249" s="1"/>
      <c r="AC249" s="1"/>
      <c r="AD249" s="1"/>
    </row>
    <row r="250" spans="1:30">
      <c r="A250" s="1"/>
      <c r="B250" s="1"/>
      <c r="C250" s="1"/>
      <c r="D250" s="1"/>
      <c r="E250" s="1"/>
      <c r="F250" s="1"/>
      <c r="G250" s="1"/>
      <c r="H250" s="1"/>
      <c r="J250" s="1"/>
      <c r="K250" s="1"/>
      <c r="L250" s="1"/>
      <c r="M250" s="1"/>
      <c r="N250" s="1"/>
      <c r="O250" s="1"/>
      <c r="P250" s="1"/>
      <c r="Q250" s="1"/>
      <c r="R250" s="1"/>
      <c r="S250" s="1"/>
      <c r="T250" s="1"/>
      <c r="U250" s="1"/>
      <c r="V250" s="1"/>
      <c r="W250" s="1"/>
      <c r="X250" s="1"/>
      <c r="Y250" s="1"/>
      <c r="Z250" s="1"/>
      <c r="AA250" s="1"/>
      <c r="AB250" s="1"/>
      <c r="AC250" s="1"/>
      <c r="AD250" s="1"/>
    </row>
    <row r="251" spans="1:30">
      <c r="A251" s="1"/>
      <c r="B251" s="1"/>
      <c r="C251" s="1"/>
      <c r="D251" s="1"/>
      <c r="E251" s="1"/>
      <c r="F251" s="1"/>
      <c r="G251" s="1"/>
      <c r="H251" s="1"/>
      <c r="J251" s="1"/>
      <c r="K251" s="1"/>
      <c r="L251" s="1"/>
      <c r="M251" s="1"/>
      <c r="N251" s="1"/>
      <c r="O251" s="1"/>
      <c r="P251" s="1"/>
      <c r="Q251" s="1"/>
      <c r="R251" s="1"/>
      <c r="S251" s="1"/>
      <c r="T251" s="1"/>
      <c r="U251" s="1"/>
      <c r="V251" s="1"/>
      <c r="W251" s="1"/>
      <c r="X251" s="1"/>
      <c r="Y251" s="1"/>
      <c r="Z251" s="1"/>
      <c r="AA251" s="1"/>
      <c r="AB251" s="1"/>
      <c r="AC251" s="1"/>
      <c r="AD251" s="1"/>
    </row>
    <row r="252" spans="1:30">
      <c r="A252" s="1"/>
      <c r="B252" s="1"/>
      <c r="C252" s="1"/>
      <c r="D252" s="1"/>
      <c r="E252" s="1"/>
      <c r="F252" s="1"/>
      <c r="G252" s="1"/>
      <c r="H252" s="1"/>
      <c r="J252" s="1"/>
      <c r="K252" s="1"/>
      <c r="L252" s="1"/>
      <c r="M252" s="1"/>
      <c r="N252" s="1"/>
      <c r="O252" s="1"/>
      <c r="P252" s="1"/>
      <c r="Q252" s="1"/>
      <c r="R252" s="1"/>
      <c r="S252" s="1"/>
      <c r="T252" s="1"/>
      <c r="U252" s="1"/>
      <c r="V252" s="1"/>
      <c r="W252" s="1"/>
      <c r="X252" s="1"/>
      <c r="Y252" s="1"/>
      <c r="Z252" s="1"/>
      <c r="AA252" s="1"/>
      <c r="AB252" s="1"/>
      <c r="AC252" s="1"/>
      <c r="AD252" s="1"/>
    </row>
    <row r="253" spans="1:30">
      <c r="A253" s="1"/>
      <c r="B253" s="1"/>
      <c r="C253" s="1"/>
      <c r="D253" s="1"/>
      <c r="E253" s="1"/>
      <c r="F253" s="1"/>
      <c r="G253" s="1"/>
      <c r="H253" s="1"/>
      <c r="J253" s="1"/>
      <c r="K253" s="1"/>
      <c r="L253" s="1"/>
      <c r="M253" s="1"/>
      <c r="N253" s="1"/>
      <c r="O253" s="1"/>
      <c r="P253" s="1"/>
      <c r="Q253" s="1"/>
      <c r="R253" s="1"/>
      <c r="S253" s="1"/>
      <c r="T253" s="1"/>
      <c r="U253" s="1"/>
      <c r="V253" s="1"/>
      <c r="W253" s="1"/>
      <c r="X253" s="1"/>
      <c r="Y253" s="1"/>
      <c r="Z253" s="1"/>
      <c r="AA253" s="1"/>
      <c r="AB253" s="1"/>
      <c r="AC253" s="1"/>
      <c r="AD253" s="1"/>
    </row>
    <row r="254" spans="1:30">
      <c r="A254" s="1"/>
      <c r="B254" s="1"/>
      <c r="C254" s="1"/>
      <c r="D254" s="1"/>
      <c r="E254" s="1"/>
      <c r="F254" s="1"/>
      <c r="G254" s="1"/>
      <c r="H254" s="1"/>
      <c r="J254" s="1"/>
      <c r="K254" s="1"/>
      <c r="L254" s="1"/>
      <c r="M254" s="1"/>
      <c r="N254" s="1"/>
      <c r="O254" s="1"/>
      <c r="P254" s="1"/>
      <c r="Q254" s="1"/>
      <c r="R254" s="1"/>
      <c r="S254" s="1"/>
      <c r="T254" s="1"/>
      <c r="U254" s="1"/>
      <c r="V254" s="1"/>
      <c r="W254" s="1"/>
      <c r="X254" s="1"/>
      <c r="Y254" s="1"/>
      <c r="Z254" s="1"/>
      <c r="AA254" s="1"/>
      <c r="AB254" s="1"/>
      <c r="AC254" s="1"/>
      <c r="AD254" s="1"/>
    </row>
    <row r="255" spans="1:30">
      <c r="A255" s="1"/>
      <c r="B255" s="1"/>
      <c r="C255" s="1"/>
      <c r="D255" s="1"/>
      <c r="E255" s="1"/>
      <c r="F255" s="1"/>
      <c r="G255" s="1"/>
      <c r="H255" s="1"/>
      <c r="J255" s="1"/>
      <c r="K255" s="1"/>
      <c r="L255" s="1"/>
      <c r="M255" s="1"/>
      <c r="N255" s="1"/>
      <c r="O255" s="1"/>
      <c r="P255" s="1"/>
      <c r="Q255" s="1"/>
      <c r="R255" s="1"/>
      <c r="S255" s="1"/>
      <c r="T255" s="1"/>
      <c r="U255" s="1"/>
      <c r="V255" s="1"/>
      <c r="W255" s="1"/>
      <c r="X255" s="1"/>
      <c r="Y255" s="1"/>
      <c r="Z255" s="1"/>
      <c r="AA255" s="1"/>
      <c r="AB255" s="1"/>
      <c r="AC255" s="1"/>
      <c r="AD255" s="1"/>
    </row>
    <row r="256" spans="1:30">
      <c r="A256" s="1"/>
      <c r="B256" s="1"/>
      <c r="C256" s="1"/>
      <c r="D256" s="1"/>
      <c r="E256" s="1"/>
      <c r="F256" s="1"/>
      <c r="G256" s="1"/>
      <c r="H256" s="1"/>
      <c r="J256" s="1"/>
      <c r="K256" s="1"/>
      <c r="L256" s="1"/>
      <c r="M256" s="1"/>
      <c r="N256" s="1"/>
      <c r="O256" s="1"/>
      <c r="P256" s="1"/>
      <c r="Q256" s="1"/>
      <c r="R256" s="1"/>
      <c r="S256" s="1"/>
      <c r="T256" s="1"/>
      <c r="U256" s="1"/>
      <c r="V256" s="1"/>
      <c r="W256" s="1"/>
      <c r="X256" s="1"/>
      <c r="Y256" s="1"/>
      <c r="Z256" s="1"/>
      <c r="AA256" s="1"/>
      <c r="AB256" s="1"/>
      <c r="AC256" s="1"/>
      <c r="AD256" s="1"/>
    </row>
    <row r="257" spans="1:30">
      <c r="A257" s="1"/>
      <c r="B257" s="1"/>
      <c r="C257" s="1"/>
      <c r="D257" s="1"/>
      <c r="E257" s="1"/>
      <c r="F257" s="1"/>
      <c r="G257" s="1"/>
      <c r="H257" s="1"/>
      <c r="J257" s="1"/>
      <c r="K257" s="1"/>
      <c r="L257" s="1"/>
      <c r="M257" s="1"/>
      <c r="N257" s="1"/>
      <c r="O257" s="1"/>
      <c r="P257" s="1"/>
      <c r="Q257" s="1"/>
      <c r="R257" s="1"/>
      <c r="S257" s="1"/>
      <c r="T257" s="1"/>
      <c r="U257" s="1"/>
      <c r="V257" s="1"/>
      <c r="W257" s="1"/>
      <c r="X257" s="1"/>
      <c r="Y257" s="1"/>
      <c r="Z257" s="1"/>
      <c r="AA257" s="1"/>
      <c r="AB257" s="1"/>
      <c r="AC257" s="1"/>
      <c r="AD257" s="1"/>
    </row>
    <row r="258" spans="1:30">
      <c r="A258" s="1"/>
      <c r="B258" s="1"/>
      <c r="C258" s="1"/>
      <c r="D258" s="1"/>
      <c r="E258" s="1"/>
      <c r="F258" s="1"/>
      <c r="G258" s="1"/>
      <c r="H258" s="1"/>
      <c r="J258" s="1"/>
      <c r="K258" s="1"/>
      <c r="L258" s="1"/>
      <c r="M258" s="1"/>
      <c r="N258" s="1"/>
      <c r="O258" s="1"/>
      <c r="P258" s="1"/>
      <c r="Q258" s="1"/>
      <c r="R258" s="1"/>
      <c r="S258" s="1"/>
      <c r="T258" s="1"/>
      <c r="U258" s="1"/>
      <c r="V258" s="1"/>
      <c r="W258" s="1"/>
      <c r="X258" s="1"/>
      <c r="Y258" s="1"/>
      <c r="Z258" s="1"/>
      <c r="AA258" s="1"/>
      <c r="AB258" s="1"/>
      <c r="AC258" s="1"/>
      <c r="AD258" s="1"/>
    </row>
    <row r="259" spans="1:30">
      <c r="A259" s="1"/>
      <c r="B259" s="1"/>
      <c r="C259" s="1"/>
      <c r="D259" s="1"/>
      <c r="E259" s="1"/>
      <c r="F259" s="1"/>
      <c r="G259" s="1"/>
      <c r="H259" s="1"/>
      <c r="J259" s="1"/>
      <c r="K259" s="1"/>
      <c r="L259" s="1"/>
      <c r="M259" s="1"/>
      <c r="N259" s="1"/>
      <c r="O259" s="1"/>
      <c r="P259" s="1"/>
      <c r="Q259" s="1"/>
      <c r="R259" s="1"/>
      <c r="S259" s="1"/>
      <c r="T259" s="1"/>
      <c r="U259" s="1"/>
      <c r="V259" s="1"/>
      <c r="W259" s="1"/>
      <c r="X259" s="1"/>
      <c r="Y259" s="1"/>
      <c r="Z259" s="1"/>
      <c r="AA259" s="1"/>
      <c r="AB259" s="1"/>
      <c r="AC259" s="1"/>
      <c r="AD259" s="1"/>
    </row>
    <row r="260" spans="1:30">
      <c r="A260" s="1"/>
      <c r="B260" s="1"/>
      <c r="C260" s="1"/>
      <c r="D260" s="1"/>
      <c r="E260" s="1"/>
      <c r="F260" s="1"/>
      <c r="G260" s="1"/>
      <c r="H260" s="1"/>
      <c r="J260" s="1"/>
      <c r="K260" s="1"/>
      <c r="L260" s="1"/>
      <c r="M260" s="1"/>
      <c r="N260" s="1"/>
      <c r="O260" s="1"/>
      <c r="P260" s="1"/>
      <c r="Q260" s="1"/>
      <c r="R260" s="1"/>
      <c r="S260" s="1"/>
      <c r="T260" s="1"/>
      <c r="U260" s="1"/>
      <c r="V260" s="1"/>
      <c r="W260" s="1"/>
      <c r="X260" s="1"/>
      <c r="Y260" s="1"/>
      <c r="Z260" s="1"/>
      <c r="AA260" s="1"/>
      <c r="AB260" s="1"/>
      <c r="AC260" s="1"/>
      <c r="AD260" s="1"/>
    </row>
    <row r="261" spans="1:30">
      <c r="A261" s="1"/>
      <c r="B261" s="1"/>
      <c r="C261" s="1"/>
      <c r="D261" s="1"/>
      <c r="E261" s="1"/>
      <c r="F261" s="1"/>
      <c r="G261" s="1"/>
      <c r="H261" s="1"/>
      <c r="J261" s="1"/>
      <c r="K261" s="1"/>
      <c r="L261" s="1"/>
      <c r="M261" s="1"/>
      <c r="N261" s="1"/>
      <c r="O261" s="1"/>
      <c r="P261" s="1"/>
      <c r="Q261" s="1"/>
      <c r="R261" s="1"/>
      <c r="S261" s="1"/>
      <c r="T261" s="1"/>
      <c r="U261" s="1"/>
      <c r="V261" s="1"/>
      <c r="W261" s="1"/>
      <c r="X261" s="1"/>
      <c r="Y261" s="1"/>
      <c r="Z261" s="1"/>
      <c r="AA261" s="1"/>
      <c r="AB261" s="1"/>
      <c r="AC261" s="1"/>
      <c r="AD261" s="1"/>
    </row>
    <row r="262" spans="1:30">
      <c r="A262" s="1"/>
      <c r="B262" s="1"/>
      <c r="C262" s="1"/>
      <c r="D262" s="1"/>
      <c r="E262" s="1"/>
      <c r="F262" s="1"/>
      <c r="G262" s="1"/>
      <c r="H262" s="1"/>
      <c r="J262" s="1"/>
      <c r="K262" s="1"/>
      <c r="L262" s="1"/>
      <c r="M262" s="1"/>
      <c r="N262" s="1"/>
      <c r="O262" s="1"/>
      <c r="P262" s="1"/>
      <c r="Q262" s="1"/>
      <c r="R262" s="1"/>
      <c r="S262" s="1"/>
      <c r="T262" s="1"/>
      <c r="U262" s="1"/>
      <c r="V262" s="1"/>
      <c r="W262" s="1"/>
      <c r="X262" s="1"/>
      <c r="Y262" s="1"/>
      <c r="Z262" s="1"/>
      <c r="AA262" s="1"/>
      <c r="AB262" s="1"/>
      <c r="AC262" s="1"/>
      <c r="AD262" s="1"/>
    </row>
    <row r="263" spans="1:30">
      <c r="A263" s="1"/>
      <c r="B263" s="1"/>
      <c r="C263" s="1"/>
      <c r="D263" s="1"/>
      <c r="E263" s="1"/>
      <c r="F263" s="1"/>
      <c r="G263" s="1"/>
      <c r="H263" s="1"/>
      <c r="J263" s="1"/>
      <c r="K263" s="1"/>
      <c r="L263" s="1"/>
      <c r="M263" s="1"/>
      <c r="N263" s="1"/>
      <c r="O263" s="1"/>
      <c r="P263" s="1"/>
      <c r="Q263" s="1"/>
      <c r="R263" s="1"/>
      <c r="S263" s="1"/>
      <c r="T263" s="1"/>
      <c r="U263" s="1"/>
      <c r="V263" s="1"/>
      <c r="W263" s="1"/>
      <c r="X263" s="1"/>
      <c r="Y263" s="1"/>
      <c r="Z263" s="1"/>
      <c r="AA263" s="1"/>
      <c r="AB263" s="1"/>
      <c r="AC263" s="1"/>
      <c r="AD263" s="1"/>
    </row>
    <row r="264" spans="1:30">
      <c r="A264" s="1"/>
      <c r="B264" s="1"/>
      <c r="C264" s="1"/>
      <c r="D264" s="1"/>
      <c r="E264" s="1"/>
      <c r="F264" s="1"/>
      <c r="G264" s="1"/>
      <c r="H264" s="1"/>
      <c r="J264" s="1"/>
      <c r="K264" s="1"/>
      <c r="L264" s="1"/>
      <c r="M264" s="1"/>
      <c r="N264" s="1"/>
      <c r="O264" s="1"/>
      <c r="P264" s="1"/>
      <c r="Q264" s="1"/>
      <c r="R264" s="1"/>
      <c r="S264" s="1"/>
      <c r="T264" s="1"/>
      <c r="U264" s="1"/>
      <c r="V264" s="1"/>
      <c r="W264" s="1"/>
      <c r="X264" s="1"/>
      <c r="Y264" s="1"/>
      <c r="Z264" s="1"/>
      <c r="AA264" s="1"/>
      <c r="AB264" s="1"/>
      <c r="AC264" s="1"/>
      <c r="AD264" s="1"/>
    </row>
    <row r="265" spans="1:30">
      <c r="A265" s="1"/>
      <c r="B265" s="1"/>
      <c r="C265" s="1"/>
      <c r="D265" s="1"/>
      <c r="E265" s="1"/>
      <c r="F265" s="1"/>
      <c r="G265" s="1"/>
      <c r="H265" s="1"/>
      <c r="J265" s="1"/>
      <c r="K265" s="1"/>
      <c r="L265" s="1"/>
      <c r="M265" s="1"/>
      <c r="N265" s="1"/>
      <c r="O265" s="1"/>
      <c r="P265" s="1"/>
      <c r="Q265" s="1"/>
      <c r="R265" s="1"/>
      <c r="S265" s="1"/>
      <c r="T265" s="1"/>
      <c r="U265" s="1"/>
      <c r="V265" s="1"/>
      <c r="W265" s="1"/>
      <c r="X265" s="1"/>
      <c r="Y265" s="1"/>
      <c r="Z265" s="1"/>
      <c r="AA265" s="1"/>
      <c r="AB265" s="1"/>
      <c r="AC265" s="1"/>
      <c r="AD265" s="1"/>
    </row>
    <row r="266" spans="1:30">
      <c r="A266" s="1"/>
      <c r="B266" s="1"/>
      <c r="C266" s="1"/>
      <c r="D266" s="1"/>
      <c r="E266" s="1"/>
      <c r="F266" s="1"/>
      <c r="G266" s="1"/>
      <c r="H266" s="1"/>
      <c r="J266" s="1"/>
      <c r="K266" s="1"/>
      <c r="L266" s="1"/>
      <c r="M266" s="1"/>
      <c r="N266" s="1"/>
      <c r="O266" s="1"/>
      <c r="P266" s="1"/>
      <c r="Q266" s="1"/>
      <c r="R266" s="1"/>
      <c r="S266" s="1"/>
      <c r="T266" s="1"/>
      <c r="U266" s="1"/>
      <c r="V266" s="1"/>
      <c r="W266" s="1"/>
      <c r="X266" s="1"/>
      <c r="Y266" s="1"/>
      <c r="Z266" s="1"/>
      <c r="AA266" s="1"/>
      <c r="AB266" s="1"/>
      <c r="AC266" s="1"/>
      <c r="AD266" s="1"/>
    </row>
    <row r="267" spans="1:30">
      <c r="A267" s="1"/>
      <c r="B267" s="1"/>
      <c r="C267" s="1"/>
      <c r="D267" s="1"/>
      <c r="E267" s="1"/>
      <c r="F267" s="1"/>
      <c r="G267" s="1"/>
      <c r="H267" s="1"/>
      <c r="J267" s="1"/>
      <c r="K267" s="1"/>
      <c r="L267" s="1"/>
      <c r="M267" s="1"/>
      <c r="N267" s="1"/>
      <c r="O267" s="1"/>
      <c r="P267" s="1"/>
      <c r="Q267" s="1"/>
      <c r="R267" s="1"/>
      <c r="S267" s="1"/>
      <c r="T267" s="1"/>
      <c r="U267" s="1"/>
      <c r="V267" s="1"/>
      <c r="W267" s="1"/>
      <c r="X267" s="1"/>
      <c r="Y267" s="1"/>
      <c r="Z267" s="1"/>
      <c r="AA267" s="1"/>
      <c r="AB267" s="1"/>
      <c r="AC267" s="1"/>
      <c r="AD267" s="1"/>
    </row>
    <row r="268" spans="1:30">
      <c r="A268" s="1"/>
      <c r="B268" s="1"/>
      <c r="C268" s="1"/>
      <c r="D268" s="1"/>
      <c r="E268" s="1"/>
      <c r="F268" s="1"/>
      <c r="G268" s="1"/>
      <c r="H268" s="1"/>
    </row>
    <row r="269" spans="1:30">
      <c r="A269" s="1"/>
      <c r="B269" s="1"/>
      <c r="C269" s="1"/>
      <c r="D269" s="1"/>
      <c r="E269" s="1"/>
      <c r="F269" s="1"/>
      <c r="G269" s="1"/>
      <c r="H269" s="1"/>
    </row>
    <row r="270" spans="1:30">
      <c r="A270" s="1"/>
      <c r="B270" s="1"/>
      <c r="C270" s="1"/>
      <c r="D270" s="1"/>
      <c r="E270" s="1"/>
      <c r="F270" s="1"/>
      <c r="G270" s="1"/>
      <c r="H270" s="1"/>
    </row>
    <row r="271" spans="1:30">
      <c r="A271" s="1"/>
      <c r="B271" s="1"/>
      <c r="C271" s="1"/>
      <c r="D271" s="1"/>
      <c r="E271" s="1"/>
      <c r="F271" s="1"/>
      <c r="G271" s="1"/>
      <c r="H271" s="1"/>
    </row>
    <row r="272" spans="1:30">
      <c r="A272" s="1"/>
      <c r="B272" s="1"/>
      <c r="C272" s="1"/>
      <c r="D272" s="1"/>
      <c r="E272" s="1"/>
      <c r="F272" s="1"/>
      <c r="G272" s="1"/>
      <c r="H272" s="1"/>
    </row>
    <row r="273" spans="1:8">
      <c r="A273" s="1"/>
      <c r="B273" s="1"/>
      <c r="C273" s="1"/>
      <c r="D273" s="1"/>
      <c r="E273" s="1"/>
      <c r="F273" s="1"/>
      <c r="G273" s="1"/>
      <c r="H273" s="1"/>
    </row>
    <row r="274" spans="1:8">
      <c r="A274" s="1"/>
      <c r="B274" s="1"/>
      <c r="C274" s="1"/>
      <c r="D274" s="1"/>
      <c r="E274" s="1"/>
      <c r="F274" s="1"/>
      <c r="G274" s="1"/>
      <c r="H274" s="1"/>
    </row>
    <row r="275" spans="1:8">
      <c r="A275" s="1"/>
      <c r="B275" s="1"/>
      <c r="C275" s="1"/>
      <c r="D275" s="1"/>
      <c r="E275" s="1"/>
      <c r="F275" s="1"/>
      <c r="G275" s="1"/>
      <c r="H275" s="1"/>
    </row>
    <row r="276" spans="1:8">
      <c r="A276" s="1"/>
      <c r="B276" s="1"/>
      <c r="C276" s="1"/>
      <c r="D276" s="1"/>
      <c r="E276" s="1"/>
      <c r="F276" s="1"/>
      <c r="G276" s="1"/>
      <c r="H276" s="1"/>
    </row>
    <row r="277" spans="1:8">
      <c r="A277" s="1"/>
      <c r="B277" s="1"/>
      <c r="C277" s="1"/>
      <c r="D277" s="1"/>
      <c r="E277" s="1"/>
      <c r="F277" s="1"/>
      <c r="G277" s="1"/>
      <c r="H277" s="1"/>
    </row>
    <row r="278" spans="1:8">
      <c r="A278" s="1"/>
      <c r="B278" s="1"/>
      <c r="C278" s="1"/>
      <c r="D278" s="1"/>
      <c r="E278" s="1"/>
      <c r="F278" s="1"/>
      <c r="G278" s="1"/>
      <c r="H278" s="1"/>
    </row>
    <row r="279" spans="1:8">
      <c r="A279" s="1"/>
      <c r="B279" s="1"/>
      <c r="C279" s="1"/>
      <c r="D279" s="1"/>
      <c r="E279" s="1"/>
      <c r="F279" s="1"/>
      <c r="G279" s="1"/>
      <c r="H279" s="1"/>
    </row>
    <row r="280" spans="1:8">
      <c r="A280" s="1"/>
      <c r="B280" s="1"/>
      <c r="C280" s="1"/>
      <c r="D280" s="1"/>
      <c r="E280" s="1"/>
      <c r="F280" s="1"/>
      <c r="G280" s="1"/>
      <c r="H280" s="1"/>
    </row>
    <row r="281" spans="1:8">
      <c r="A281" s="1"/>
      <c r="B281" s="1"/>
      <c r="C281" s="1"/>
      <c r="D281" s="1"/>
      <c r="E281" s="1"/>
      <c r="F281" s="1"/>
      <c r="G281" s="1"/>
      <c r="H281" s="1"/>
    </row>
    <row r="282" spans="1:8">
      <c r="A282" s="1"/>
      <c r="B282" s="1"/>
      <c r="C282" s="1"/>
      <c r="D282" s="1"/>
      <c r="E282" s="1"/>
      <c r="F282" s="1"/>
      <c r="G282" s="1"/>
      <c r="H282" s="1"/>
    </row>
    <row r="283" spans="1:8">
      <c r="A283" s="1"/>
      <c r="B283" s="1"/>
      <c r="C283" s="1"/>
      <c r="D283" s="1"/>
      <c r="E283" s="1"/>
      <c r="F283" s="1"/>
      <c r="G283" s="1"/>
      <c r="H283" s="1"/>
    </row>
    <row r="284" spans="1:8">
      <c r="A284" s="1"/>
      <c r="B284" s="1"/>
      <c r="C284" s="1"/>
      <c r="D284" s="1"/>
      <c r="E284" s="1"/>
      <c r="F284" s="1"/>
      <c r="G284" s="1"/>
      <c r="H284" s="1"/>
    </row>
    <row r="285" spans="1:8">
      <c r="A285" s="1"/>
      <c r="B285" s="1"/>
      <c r="C285" s="1"/>
      <c r="D285" s="1"/>
      <c r="E285" s="1"/>
      <c r="F285" s="1"/>
      <c r="G285" s="1"/>
      <c r="H285" s="1"/>
    </row>
    <row r="286" spans="1:8">
      <c r="A286" s="1"/>
      <c r="B286" s="1"/>
      <c r="C286" s="1"/>
      <c r="D286" s="1"/>
      <c r="E286" s="1"/>
      <c r="F286" s="1"/>
      <c r="G286" s="1"/>
      <c r="H286" s="1"/>
    </row>
    <row r="287" spans="1:8">
      <c r="A287" s="1"/>
      <c r="B287" s="1"/>
      <c r="C287" s="1"/>
      <c r="D287" s="1"/>
      <c r="E287" s="1"/>
      <c r="F287" s="1"/>
      <c r="G287" s="1"/>
      <c r="H287" s="1"/>
    </row>
    <row r="288" spans="1:8">
      <c r="A288" s="1"/>
      <c r="B288" s="1"/>
      <c r="C288" s="1"/>
      <c r="D288" s="1"/>
      <c r="E288" s="1"/>
      <c r="F288" s="1"/>
      <c r="G288" s="1"/>
      <c r="H288" s="1"/>
    </row>
    <row r="289" spans="1:8">
      <c r="A289" s="1"/>
      <c r="B289" s="1"/>
      <c r="C289" s="1"/>
      <c r="D289" s="1"/>
      <c r="E289" s="1"/>
      <c r="F289" s="1"/>
      <c r="G289" s="1"/>
      <c r="H289" s="1"/>
    </row>
    <row r="290" spans="1:8">
      <c r="A290" s="1"/>
      <c r="B290" s="1"/>
      <c r="C290" s="1"/>
      <c r="D290" s="1"/>
      <c r="E290" s="1"/>
      <c r="F290" s="1"/>
      <c r="G290" s="1"/>
      <c r="H290" s="1"/>
    </row>
    <row r="291" spans="1:8">
      <c r="A291" s="1"/>
      <c r="B291" s="1"/>
      <c r="C291" s="1"/>
      <c r="D291" s="1"/>
      <c r="E291" s="1"/>
      <c r="F291" s="1"/>
      <c r="G291" s="1"/>
      <c r="H291" s="1"/>
    </row>
    <row r="292" spans="1:8">
      <c r="A292" s="1"/>
      <c r="B292" s="1"/>
      <c r="C292" s="1"/>
      <c r="D292" s="1"/>
      <c r="E292" s="1"/>
      <c r="F292" s="1"/>
      <c r="G292" s="1"/>
      <c r="H292" s="1"/>
    </row>
    <row r="293" spans="1:8">
      <c r="A293" s="1"/>
      <c r="B293" s="1"/>
      <c r="C293" s="1"/>
      <c r="D293" s="1"/>
      <c r="E293" s="1"/>
      <c r="F293" s="1"/>
      <c r="G293" s="1"/>
      <c r="H293" s="1"/>
    </row>
    <row r="294" spans="1:8">
      <c r="A294" s="1"/>
      <c r="B294" s="1"/>
      <c r="C294" s="1"/>
      <c r="D294" s="1"/>
      <c r="E294" s="1"/>
      <c r="F294" s="1"/>
      <c r="G294" s="1"/>
      <c r="H294" s="1"/>
    </row>
    <row r="295" spans="1:8">
      <c r="A295" s="1"/>
      <c r="B295" s="1"/>
      <c r="C295" s="1"/>
      <c r="D295" s="1"/>
      <c r="E295" s="1"/>
      <c r="F295" s="1"/>
      <c r="G295" s="1"/>
      <c r="H295" s="1"/>
    </row>
    <row r="296" spans="1:8">
      <c r="A296" s="1"/>
      <c r="B296" s="1"/>
      <c r="C296" s="1"/>
      <c r="D296" s="1"/>
      <c r="E296" s="1"/>
      <c r="F296" s="1"/>
      <c r="G296" s="1"/>
      <c r="H296" s="1"/>
    </row>
    <row r="297" spans="1:8">
      <c r="A297" s="1"/>
      <c r="B297" s="1"/>
      <c r="C297" s="1"/>
      <c r="D297" s="1"/>
      <c r="E297" s="1"/>
      <c r="F297" s="1"/>
      <c r="G297" s="1"/>
      <c r="H297" s="1"/>
    </row>
    <row r="298" spans="1:8">
      <c r="A298" s="1"/>
      <c r="B298" s="1"/>
      <c r="C298" s="1"/>
      <c r="D298" s="1"/>
      <c r="E298" s="1"/>
      <c r="F298" s="1"/>
      <c r="G298" s="1"/>
      <c r="H298" s="1"/>
    </row>
    <row r="299" spans="1:8">
      <c r="A299" s="1"/>
      <c r="B299" s="1"/>
      <c r="C299" s="1"/>
      <c r="D299" s="1"/>
      <c r="E299" s="1"/>
      <c r="F299" s="1"/>
      <c r="G299" s="1"/>
      <c r="H299" s="1"/>
    </row>
    <row r="300" spans="1:8">
      <c r="A300" s="1"/>
      <c r="B300" s="1"/>
      <c r="C300" s="1"/>
      <c r="D300" s="1"/>
      <c r="E300" s="1"/>
      <c r="F300" s="1"/>
      <c r="G300" s="1"/>
      <c r="H300" s="1"/>
    </row>
    <row r="301" spans="1:8">
      <c r="A301" s="1"/>
      <c r="B301" s="1"/>
      <c r="C301" s="1"/>
      <c r="D301" s="1"/>
      <c r="E301" s="1"/>
      <c r="F301" s="1"/>
      <c r="G301" s="1"/>
      <c r="H301" s="1"/>
    </row>
    <row r="302" spans="1:8">
      <c r="A302" s="1"/>
      <c r="B302" s="1"/>
      <c r="C302" s="1"/>
      <c r="D302" s="1"/>
      <c r="E302" s="1"/>
      <c r="F302" s="1"/>
      <c r="G302" s="1"/>
      <c r="H302" s="1"/>
    </row>
    <row r="303" spans="1:8">
      <c r="A303" s="1"/>
      <c r="B303" s="1"/>
      <c r="C303" s="1"/>
      <c r="D303" s="1"/>
      <c r="E303" s="1"/>
      <c r="F303" s="1"/>
      <c r="G303" s="1"/>
      <c r="H303" s="1"/>
    </row>
    <row r="304" spans="1:8">
      <c r="A304" s="1"/>
      <c r="B304" s="1"/>
      <c r="C304" s="1"/>
      <c r="D304" s="1"/>
      <c r="E304" s="1"/>
      <c r="F304" s="1"/>
      <c r="G304" s="1"/>
      <c r="H304" s="1"/>
    </row>
    <row r="305" spans="1:8">
      <c r="A305" s="1"/>
      <c r="B305" s="1"/>
      <c r="C305" s="1"/>
      <c r="D305" s="1"/>
      <c r="E305" s="1"/>
      <c r="F305" s="1"/>
      <c r="G305" s="1"/>
      <c r="H305" s="1"/>
    </row>
    <row r="306" spans="1:8">
      <c r="A306" s="1"/>
      <c r="B306" s="1"/>
      <c r="C306" s="1"/>
      <c r="D306" s="1"/>
      <c r="E306" s="1"/>
      <c r="F306" s="1"/>
      <c r="G306" s="1"/>
      <c r="H306" s="1"/>
    </row>
    <row r="307" spans="1:8">
      <c r="A307" s="1"/>
      <c r="B307" s="1"/>
      <c r="C307" s="1"/>
      <c r="D307" s="1"/>
      <c r="E307" s="1"/>
      <c r="F307" s="1"/>
      <c r="G307" s="1"/>
      <c r="H307" s="1"/>
    </row>
    <row r="308" spans="1:8">
      <c r="A308" s="1"/>
      <c r="B308" s="1"/>
      <c r="C308" s="1"/>
      <c r="D308" s="1"/>
      <c r="E308" s="1"/>
      <c r="F308" s="1"/>
      <c r="G308" s="1"/>
      <c r="H308" s="1"/>
    </row>
    <row r="309" spans="1:8">
      <c r="A309" s="1"/>
      <c r="B309" s="1"/>
      <c r="C309" s="1"/>
      <c r="D309" s="1"/>
      <c r="E309" s="1"/>
      <c r="F309" s="1"/>
      <c r="G309" s="1"/>
      <c r="H309" s="1"/>
    </row>
    <row r="310" spans="1:8">
      <c r="A310" s="1"/>
      <c r="B310" s="1"/>
      <c r="C310" s="1"/>
      <c r="D310" s="1"/>
      <c r="E310" s="1"/>
      <c r="F310" s="1"/>
      <c r="G310" s="1"/>
      <c r="H310" s="1"/>
    </row>
    <row r="311" spans="1:8">
      <c r="A311" s="1"/>
      <c r="B311" s="1"/>
      <c r="C311" s="1"/>
      <c r="D311" s="1"/>
      <c r="E311" s="1"/>
      <c r="F311" s="1"/>
      <c r="G311" s="1"/>
      <c r="H311" s="1"/>
    </row>
    <row r="312" spans="1:8">
      <c r="A312" s="1"/>
      <c r="B312" s="1"/>
      <c r="C312" s="1"/>
      <c r="D312" s="1"/>
      <c r="E312" s="1"/>
      <c r="F312" s="1"/>
      <c r="G312" s="1"/>
      <c r="H312" s="1"/>
    </row>
    <row r="313" spans="1:8">
      <c r="A313" s="1"/>
      <c r="B313" s="1"/>
      <c r="C313" s="1"/>
      <c r="D313" s="1"/>
      <c r="E313" s="1"/>
      <c r="F313" s="1"/>
      <c r="G313" s="1"/>
      <c r="H313" s="1"/>
    </row>
    <row r="314" spans="1:8">
      <c r="A314" s="1"/>
      <c r="B314" s="1"/>
      <c r="C314" s="1"/>
      <c r="D314" s="1"/>
      <c r="E314" s="1"/>
      <c r="F314" s="1"/>
      <c r="G314" s="1"/>
      <c r="H314" s="1"/>
    </row>
    <row r="315" spans="1:8">
      <c r="A315" s="1"/>
      <c r="B315" s="1"/>
      <c r="C315" s="1"/>
      <c r="D315" s="1"/>
      <c r="E315" s="1"/>
      <c r="F315" s="1"/>
      <c r="G315" s="1"/>
      <c r="H315" s="1"/>
    </row>
    <row r="316" spans="1:8">
      <c r="A316" s="1"/>
      <c r="B316" s="1"/>
      <c r="C316" s="1"/>
      <c r="D316" s="1"/>
      <c r="E316" s="1"/>
      <c r="F316" s="1"/>
      <c r="G316" s="1"/>
      <c r="H316" s="1"/>
    </row>
    <row r="317" spans="1:8">
      <c r="A317" s="1"/>
      <c r="B317" s="1"/>
      <c r="C317" s="1"/>
      <c r="D317" s="1"/>
      <c r="E317" s="1"/>
      <c r="F317" s="1"/>
      <c r="G317" s="1"/>
      <c r="H317" s="1"/>
    </row>
    <row r="318" spans="1:8">
      <c r="A318" s="1"/>
      <c r="B318" s="1"/>
      <c r="C318" s="1"/>
      <c r="D318" s="1"/>
      <c r="E318" s="1"/>
      <c r="F318" s="1"/>
      <c r="G318" s="1"/>
      <c r="H318" s="1"/>
    </row>
    <row r="319" spans="1:8">
      <c r="A319" s="1"/>
      <c r="B319" s="1"/>
      <c r="C319" s="1"/>
      <c r="D319" s="1"/>
      <c r="E319" s="1"/>
      <c r="F319" s="1"/>
      <c r="G319" s="1"/>
      <c r="H319" s="1"/>
    </row>
    <row r="320" spans="1:8">
      <c r="A320" s="1"/>
      <c r="B320" s="1"/>
      <c r="C320" s="1"/>
      <c r="D320" s="1"/>
      <c r="E320" s="1"/>
      <c r="F320" s="1"/>
      <c r="G320" s="1"/>
      <c r="H320" s="1"/>
    </row>
    <row r="321" spans="1:8">
      <c r="A321" s="1"/>
      <c r="B321" s="1"/>
      <c r="C321" s="1"/>
      <c r="D321" s="1"/>
      <c r="E321" s="1"/>
      <c r="F321" s="1"/>
      <c r="G321" s="1"/>
      <c r="H321" s="1"/>
    </row>
    <row r="322" spans="1:8">
      <c r="A322" s="1"/>
      <c r="B322" s="1"/>
      <c r="C322" s="1"/>
      <c r="D322" s="1"/>
      <c r="E322" s="1"/>
      <c r="F322" s="1"/>
      <c r="G322" s="1"/>
      <c r="H322" s="1"/>
    </row>
    <row r="323" spans="1:8">
      <c r="A323" s="1"/>
      <c r="B323" s="1"/>
      <c r="C323" s="1"/>
      <c r="D323" s="1"/>
      <c r="E323" s="1"/>
      <c r="F323" s="1"/>
      <c r="G323" s="1"/>
      <c r="H323" s="1"/>
    </row>
    <row r="324" spans="1:8">
      <c r="A324" s="1"/>
      <c r="B324" s="1"/>
      <c r="C324" s="1"/>
      <c r="D324" s="1"/>
      <c r="E324" s="1"/>
      <c r="F324" s="1"/>
      <c r="G324" s="1"/>
      <c r="H324" s="1"/>
    </row>
    <row r="325" spans="1:8">
      <c r="A325" s="1"/>
      <c r="B325" s="1"/>
      <c r="C325" s="1"/>
      <c r="D325" s="1"/>
      <c r="E325" s="1"/>
      <c r="F325" s="1"/>
      <c r="G325" s="1"/>
      <c r="H325" s="1"/>
    </row>
    <row r="326" spans="1:8">
      <c r="A326" s="1"/>
      <c r="B326" s="1"/>
      <c r="C326" s="1"/>
      <c r="D326" s="1"/>
      <c r="E326" s="1"/>
      <c r="F326" s="1"/>
      <c r="G326" s="1"/>
      <c r="H326" s="1"/>
    </row>
    <row r="327" spans="1:8">
      <c r="A327" s="1"/>
      <c r="B327" s="1"/>
      <c r="C327" s="1"/>
      <c r="D327" s="1"/>
      <c r="E327" s="1"/>
      <c r="F327" s="1"/>
      <c r="G327" s="1"/>
      <c r="H327" s="1"/>
    </row>
    <row r="328" spans="1:8">
      <c r="A328" s="1"/>
      <c r="B328" s="1"/>
      <c r="C328" s="1"/>
      <c r="D328" s="1"/>
      <c r="E328" s="1"/>
      <c r="F328" s="1"/>
      <c r="G328" s="1"/>
      <c r="H328" s="1"/>
    </row>
    <row r="329" spans="1:8">
      <c r="A329" s="1"/>
      <c r="B329" s="1"/>
      <c r="C329" s="1"/>
      <c r="D329" s="1"/>
      <c r="E329" s="1"/>
      <c r="F329" s="1"/>
      <c r="G329" s="1"/>
      <c r="H329" s="1"/>
    </row>
    <row r="330" spans="1:8">
      <c r="A330" s="1"/>
      <c r="B330" s="1"/>
      <c r="C330" s="1"/>
      <c r="D330" s="1"/>
      <c r="E330" s="1"/>
      <c r="F330" s="1"/>
      <c r="G330" s="1"/>
      <c r="H330" s="1"/>
    </row>
    <row r="331" spans="1:8">
      <c r="A331" s="1"/>
      <c r="B331" s="1"/>
      <c r="C331" s="1"/>
      <c r="D331" s="1"/>
      <c r="E331" s="1"/>
      <c r="F331" s="1"/>
      <c r="G331" s="1"/>
      <c r="H331" s="1"/>
    </row>
    <row r="332" spans="1:8">
      <c r="A332" s="1"/>
      <c r="B332" s="1"/>
      <c r="C332" s="1"/>
      <c r="D332" s="1"/>
      <c r="E332" s="1"/>
      <c r="F332" s="1"/>
      <c r="G332" s="1"/>
      <c r="H332" s="1"/>
    </row>
    <row r="333" spans="1:8">
      <c r="A333" s="1"/>
      <c r="B333" s="1"/>
      <c r="C333" s="1"/>
      <c r="D333" s="1"/>
      <c r="E333" s="1"/>
      <c r="F333" s="1"/>
      <c r="G333" s="1"/>
      <c r="H333" s="1"/>
    </row>
    <row r="334" spans="1:8">
      <c r="A334" s="1"/>
      <c r="B334" s="1"/>
      <c r="C334" s="1"/>
      <c r="D334" s="1"/>
      <c r="E334" s="1"/>
      <c r="F334" s="1"/>
      <c r="G334" s="1"/>
      <c r="H334" s="1"/>
    </row>
    <row r="335" spans="1:8">
      <c r="A335" s="1"/>
      <c r="B335" s="1"/>
      <c r="C335" s="1"/>
      <c r="D335" s="1"/>
      <c r="E335" s="1"/>
      <c r="F335" s="1"/>
      <c r="G335" s="1"/>
      <c r="H335" s="1"/>
    </row>
    <row r="336" spans="1:8">
      <c r="A336" s="1"/>
      <c r="B336" s="1"/>
      <c r="C336" s="1"/>
      <c r="D336" s="1"/>
      <c r="E336" s="1"/>
      <c r="F336" s="1"/>
      <c r="G336" s="1"/>
      <c r="H336" s="1"/>
    </row>
    <row r="337" spans="1:8">
      <c r="A337" s="1"/>
      <c r="B337" s="1"/>
      <c r="C337" s="1"/>
      <c r="D337" s="1"/>
      <c r="E337" s="1"/>
      <c r="F337" s="1"/>
      <c r="G337" s="1"/>
      <c r="H337" s="1"/>
    </row>
    <row r="338" spans="1:8">
      <c r="A338" s="1"/>
      <c r="B338" s="1"/>
      <c r="C338" s="1"/>
      <c r="D338" s="1"/>
      <c r="E338" s="1"/>
      <c r="F338" s="1"/>
      <c r="G338" s="1"/>
      <c r="H338" s="1"/>
    </row>
    <row r="339" spans="1:8">
      <c r="A339" s="1"/>
      <c r="B339" s="1"/>
      <c r="C339" s="1"/>
      <c r="D339" s="1"/>
      <c r="E339" s="1"/>
      <c r="F339" s="1"/>
      <c r="G339" s="1"/>
      <c r="H339" s="1"/>
    </row>
    <row r="340" spans="1:8">
      <c r="A340" s="1"/>
      <c r="B340" s="1"/>
      <c r="C340" s="1"/>
      <c r="D340" s="1"/>
      <c r="E340" s="1"/>
      <c r="F340" s="1"/>
      <c r="G340" s="1"/>
      <c r="H340" s="1"/>
    </row>
    <row r="341" spans="1:8">
      <c r="A341" s="1"/>
      <c r="B341" s="1"/>
      <c r="C341" s="1"/>
      <c r="D341" s="1"/>
      <c r="E341" s="1"/>
      <c r="F341" s="1"/>
      <c r="G341" s="1"/>
      <c r="H341" s="1"/>
    </row>
    <row r="342" spans="1:8">
      <c r="A342" s="1"/>
      <c r="B342" s="1"/>
      <c r="C342" s="1"/>
      <c r="D342" s="1"/>
      <c r="E342" s="1"/>
      <c r="F342" s="1"/>
      <c r="G342" s="1"/>
      <c r="H342" s="1"/>
    </row>
    <row r="343" spans="1:8">
      <c r="A343" s="1"/>
      <c r="B343" s="1"/>
      <c r="C343" s="1"/>
      <c r="D343" s="1"/>
      <c r="E343" s="1"/>
      <c r="F343" s="1"/>
      <c r="G343" s="1"/>
      <c r="H343" s="1"/>
    </row>
    <row r="344" spans="1:8">
      <c r="A344" s="1"/>
      <c r="B344" s="1"/>
      <c r="C344" s="1"/>
      <c r="D344" s="1"/>
      <c r="E344" s="1"/>
      <c r="F344" s="1"/>
      <c r="G344" s="1"/>
      <c r="H344" s="1"/>
    </row>
    <row r="345" spans="1:8">
      <c r="A345" s="1"/>
      <c r="B345" s="1"/>
      <c r="C345" s="1"/>
      <c r="D345" s="1"/>
      <c r="E345" s="1"/>
      <c r="F345" s="1"/>
      <c r="G345" s="1"/>
      <c r="H345" s="1"/>
    </row>
    <row r="346" spans="1:8">
      <c r="A346" s="1"/>
      <c r="B346" s="1"/>
      <c r="C346" s="1"/>
      <c r="D346" s="1"/>
      <c r="E346" s="1"/>
      <c r="F346" s="1"/>
      <c r="G346" s="1"/>
      <c r="H346" s="1"/>
    </row>
    <row r="347" spans="1:8">
      <c r="A347" s="1"/>
      <c r="B347" s="1"/>
      <c r="C347" s="1"/>
      <c r="D347" s="1"/>
      <c r="E347" s="1"/>
      <c r="F347" s="1"/>
      <c r="G347" s="1"/>
      <c r="H347" s="1"/>
    </row>
    <row r="348" spans="1:8">
      <c r="A348" s="1"/>
      <c r="B348" s="1"/>
      <c r="C348" s="1"/>
      <c r="D348" s="1"/>
      <c r="E348" s="1"/>
      <c r="F348" s="1"/>
      <c r="G348" s="1"/>
      <c r="H348" s="1"/>
    </row>
    <row r="349" spans="1:8">
      <c r="A349" s="1"/>
      <c r="B349" s="1"/>
      <c r="C349" s="1"/>
      <c r="D349" s="1"/>
      <c r="E349" s="1"/>
      <c r="F349" s="1"/>
      <c r="G349" s="1"/>
      <c r="H349" s="1"/>
    </row>
    <row r="350" spans="1:8">
      <c r="A350" s="1"/>
      <c r="B350" s="1"/>
      <c r="C350" s="1"/>
      <c r="D350" s="1"/>
      <c r="E350" s="1"/>
      <c r="F350" s="1"/>
      <c r="G350" s="1"/>
      <c r="H350" s="1"/>
    </row>
    <row r="351" spans="1:8">
      <c r="A351" s="1"/>
      <c r="B351" s="1"/>
      <c r="C351" s="1"/>
      <c r="D351" s="1"/>
      <c r="E351" s="1"/>
      <c r="F351" s="1"/>
      <c r="G351" s="1"/>
      <c r="H351" s="1"/>
    </row>
    <row r="352" spans="1:8">
      <c r="A352" s="1"/>
      <c r="B352" s="1"/>
      <c r="C352" s="1"/>
      <c r="D352" s="1"/>
      <c r="E352" s="1"/>
      <c r="F352" s="1"/>
      <c r="G352" s="1"/>
      <c r="H352" s="1"/>
    </row>
    <row r="353" spans="1:8">
      <c r="A353" s="1"/>
      <c r="B353" s="1"/>
      <c r="C353" s="1"/>
      <c r="D353" s="1"/>
      <c r="E353" s="1"/>
      <c r="F353" s="1"/>
      <c r="G353" s="1"/>
      <c r="H353" s="1"/>
    </row>
    <row r="354" spans="1:8">
      <c r="A354" s="1"/>
      <c r="B354" s="1"/>
      <c r="C354" s="1"/>
      <c r="D354" s="1"/>
      <c r="E354" s="1"/>
      <c r="F354" s="1"/>
      <c r="G354" s="1"/>
      <c r="H354" s="1"/>
    </row>
    <row r="355" spans="1:8">
      <c r="A355" s="1"/>
      <c r="B355" s="1"/>
      <c r="C355" s="1"/>
      <c r="D355" s="1"/>
      <c r="E355" s="1"/>
      <c r="F355" s="1"/>
      <c r="G355" s="1"/>
      <c r="H355" s="1"/>
    </row>
    <row r="356" spans="1:8">
      <c r="A356" s="1"/>
      <c r="B356" s="1"/>
      <c r="C356" s="1"/>
      <c r="D356" s="1"/>
      <c r="E356" s="1"/>
      <c r="F356" s="1"/>
      <c r="G356" s="1"/>
      <c r="H356" s="1"/>
    </row>
    <row r="357" spans="1:8">
      <c r="A357" s="1"/>
      <c r="B357" s="1"/>
      <c r="C357" s="1"/>
      <c r="D357" s="1"/>
      <c r="E357" s="1"/>
      <c r="F357" s="1"/>
      <c r="G357" s="1"/>
      <c r="H357" s="1"/>
    </row>
    <row r="358" spans="1:8">
      <c r="A358" s="1"/>
      <c r="B358" s="1"/>
      <c r="C358" s="1"/>
      <c r="D358" s="1"/>
      <c r="E358" s="1"/>
      <c r="F358" s="1"/>
      <c r="G358" s="1"/>
      <c r="H358" s="1"/>
    </row>
    <row r="359" spans="1:8">
      <c r="A359" s="1"/>
      <c r="B359" s="1"/>
      <c r="C359" s="1"/>
      <c r="D359" s="1"/>
      <c r="E359" s="1"/>
      <c r="F359" s="1"/>
      <c r="G359" s="1"/>
      <c r="H359" s="1"/>
    </row>
    <row r="360" spans="1:8">
      <c r="A360" s="1"/>
      <c r="B360" s="1"/>
      <c r="C360" s="1"/>
      <c r="D360" s="1"/>
      <c r="E360" s="1"/>
      <c r="F360" s="1"/>
      <c r="G360" s="1"/>
      <c r="H360" s="1"/>
    </row>
    <row r="361" spans="1:8">
      <c r="A361" s="1"/>
      <c r="B361" s="1"/>
      <c r="C361" s="1"/>
      <c r="D361" s="1"/>
      <c r="E361" s="1"/>
      <c r="F361" s="1"/>
      <c r="G361" s="1"/>
      <c r="H361" s="1"/>
    </row>
    <row r="362" spans="1:8">
      <c r="A362" s="1"/>
      <c r="B362" s="1"/>
      <c r="C362" s="1"/>
      <c r="D362" s="1"/>
      <c r="E362" s="1"/>
      <c r="F362" s="1"/>
      <c r="G362" s="1"/>
      <c r="H362" s="1"/>
    </row>
    <row r="363" spans="1:8">
      <c r="A363" s="1"/>
      <c r="B363" s="1"/>
      <c r="C363" s="1"/>
      <c r="D363" s="1"/>
      <c r="E363" s="1"/>
      <c r="F363" s="1"/>
      <c r="G363" s="1"/>
      <c r="H363" s="1"/>
    </row>
    <row r="364" spans="1:8">
      <c r="A364" s="1"/>
      <c r="B364" s="1"/>
      <c r="C364" s="1"/>
      <c r="D364" s="1"/>
      <c r="E364" s="1"/>
      <c r="F364" s="1"/>
      <c r="G364" s="1"/>
      <c r="H364" s="1"/>
    </row>
    <row r="365" spans="1:8">
      <c r="A365" s="1"/>
      <c r="B365" s="1"/>
      <c r="C365" s="1"/>
      <c r="D365" s="1"/>
      <c r="E365" s="1"/>
      <c r="F365" s="1"/>
      <c r="G365" s="1"/>
      <c r="H365" s="1"/>
    </row>
    <row r="366" spans="1:8">
      <c r="A366" s="1"/>
      <c r="B366" s="1"/>
      <c r="C366" s="1"/>
      <c r="D366" s="1"/>
      <c r="E366" s="1"/>
      <c r="F366" s="1"/>
      <c r="G366" s="1"/>
      <c r="H366" s="1"/>
    </row>
    <row r="367" spans="1:8">
      <c r="A367" s="1"/>
      <c r="B367" s="1"/>
      <c r="C367" s="1"/>
      <c r="D367" s="1"/>
      <c r="E367" s="1"/>
      <c r="F367" s="1"/>
      <c r="G367" s="1"/>
      <c r="H367" s="1"/>
    </row>
    <row r="368" spans="1:8">
      <c r="A368" s="1"/>
      <c r="B368" s="1"/>
      <c r="C368" s="1"/>
      <c r="D368" s="1"/>
      <c r="E368" s="1"/>
      <c r="F368" s="1"/>
      <c r="G368" s="1"/>
      <c r="H368" s="1"/>
    </row>
    <row r="369" spans="1:8">
      <c r="A369" s="1"/>
      <c r="B369" s="1"/>
      <c r="C369" s="1"/>
      <c r="D369" s="1"/>
      <c r="E369" s="1"/>
      <c r="F369" s="1"/>
      <c r="G369" s="1"/>
      <c r="H369" s="1"/>
    </row>
    <row r="370" spans="1:8">
      <c r="A370" s="1"/>
      <c r="B370" s="1"/>
      <c r="C370" s="1"/>
      <c r="D370" s="1"/>
      <c r="E370" s="1"/>
      <c r="F370" s="1"/>
      <c r="G370" s="1"/>
      <c r="H370" s="1"/>
    </row>
    <row r="371" spans="1:8">
      <c r="A371" s="1"/>
      <c r="B371" s="1"/>
      <c r="C371" s="1"/>
      <c r="D371" s="1"/>
      <c r="E371" s="1"/>
      <c r="F371" s="1"/>
      <c r="G371" s="1"/>
      <c r="H371" s="1"/>
    </row>
    <row r="372" spans="1:8">
      <c r="A372" s="1"/>
      <c r="B372" s="1"/>
      <c r="C372" s="1"/>
      <c r="D372" s="1"/>
      <c r="E372" s="1"/>
      <c r="F372" s="1"/>
      <c r="G372" s="1"/>
      <c r="H372" s="1"/>
    </row>
    <row r="373" spans="1:8">
      <c r="A373" s="1"/>
      <c r="B373" s="1"/>
      <c r="C373" s="1"/>
      <c r="D373" s="1"/>
      <c r="E373" s="1"/>
      <c r="F373" s="1"/>
      <c r="G373" s="1"/>
      <c r="H373" s="1"/>
    </row>
    <row r="374" spans="1:8">
      <c r="A374" s="1"/>
      <c r="B374" s="1"/>
      <c r="C374" s="1"/>
      <c r="D374" s="1"/>
      <c r="E374" s="1"/>
      <c r="F374" s="1"/>
      <c r="G374" s="1"/>
      <c r="H374" s="1"/>
    </row>
    <row r="375" spans="1:8">
      <c r="A375" s="1"/>
      <c r="B375" s="1"/>
      <c r="C375" s="1"/>
      <c r="D375" s="1"/>
      <c r="E375" s="1"/>
      <c r="F375" s="1"/>
      <c r="G375" s="1"/>
      <c r="H375" s="1"/>
    </row>
    <row r="376" spans="1:8">
      <c r="A376" s="1"/>
      <c r="B376" s="1"/>
      <c r="C376" s="1"/>
      <c r="D376" s="1"/>
      <c r="E376" s="1"/>
      <c r="F376" s="1"/>
      <c r="G376" s="1"/>
      <c r="H376" s="1"/>
    </row>
    <row r="377" spans="1:8">
      <c r="A377" s="1"/>
      <c r="B377" s="1"/>
      <c r="C377" s="1"/>
      <c r="D377" s="1"/>
      <c r="E377" s="1"/>
      <c r="F377" s="1"/>
      <c r="G377" s="1"/>
      <c r="H377" s="1"/>
    </row>
    <row r="378" spans="1:8">
      <c r="A378" s="1"/>
      <c r="B378" s="1"/>
      <c r="C378" s="1"/>
      <c r="D378" s="1"/>
      <c r="E378" s="1"/>
      <c r="F378" s="1"/>
      <c r="G378" s="1"/>
      <c r="H378" s="1"/>
    </row>
    <row r="379" spans="1:8">
      <c r="A379" s="1"/>
      <c r="B379" s="1"/>
      <c r="C379" s="1"/>
      <c r="D379" s="1"/>
      <c r="E379" s="1"/>
      <c r="F379" s="1"/>
      <c r="G379" s="1"/>
      <c r="H379" s="1"/>
    </row>
    <row r="380" spans="1:8">
      <c r="A380" s="1"/>
      <c r="B380" s="1"/>
      <c r="C380" s="1"/>
      <c r="D380" s="1"/>
      <c r="E380" s="1"/>
      <c r="F380" s="1"/>
      <c r="G380" s="1"/>
      <c r="H380" s="1"/>
    </row>
    <row r="381" spans="1:8">
      <c r="A381" s="1"/>
      <c r="B381" s="1"/>
      <c r="C381" s="1"/>
      <c r="D381" s="1"/>
      <c r="E381" s="1"/>
      <c r="F381" s="1"/>
      <c r="G381" s="1"/>
      <c r="H381" s="1"/>
    </row>
    <row r="382" spans="1:8">
      <c r="A382" s="1"/>
      <c r="B382" s="1"/>
      <c r="C382" s="1"/>
      <c r="D382" s="1"/>
      <c r="E382" s="1"/>
      <c r="F382" s="1"/>
      <c r="G382" s="1"/>
      <c r="H382" s="1"/>
    </row>
    <row r="383" spans="1:8">
      <c r="A383" s="1"/>
      <c r="B383" s="1"/>
      <c r="C383" s="1"/>
      <c r="D383" s="1"/>
      <c r="E383" s="1"/>
      <c r="F383" s="1"/>
      <c r="G383" s="1"/>
      <c r="H383" s="1"/>
    </row>
    <row r="384" spans="1:8">
      <c r="A384" s="1"/>
      <c r="B384" s="1"/>
      <c r="C384" s="1"/>
      <c r="D384" s="1"/>
      <c r="E384" s="1"/>
      <c r="F384" s="1"/>
      <c r="G384" s="1"/>
      <c r="H384" s="1"/>
    </row>
    <row r="385" spans="1:8">
      <c r="A385" s="1"/>
      <c r="B385" s="1"/>
      <c r="C385" s="1"/>
      <c r="D385" s="1"/>
      <c r="E385" s="1"/>
      <c r="F385" s="1"/>
      <c r="G385" s="1"/>
      <c r="H385" s="1"/>
    </row>
    <row r="386" spans="1:8">
      <c r="A386" s="1"/>
      <c r="B386" s="1"/>
      <c r="C386" s="1"/>
      <c r="D386" s="1"/>
      <c r="E386" s="1"/>
      <c r="F386" s="1"/>
      <c r="G386" s="1"/>
      <c r="H386" s="1"/>
    </row>
    <row r="387" spans="1:8">
      <c r="A387" s="1"/>
      <c r="B387" s="1"/>
      <c r="C387" s="1"/>
      <c r="D387" s="1"/>
      <c r="E387" s="1"/>
      <c r="F387" s="1"/>
      <c r="G387" s="1"/>
      <c r="H387" s="1"/>
    </row>
    <row r="388" spans="1:8">
      <c r="A388" s="1"/>
      <c r="B388" s="1"/>
      <c r="C388" s="1"/>
      <c r="D388" s="1"/>
      <c r="E388" s="1"/>
      <c r="F388" s="1"/>
      <c r="G388" s="1"/>
      <c r="H388" s="1"/>
    </row>
    <row r="389" spans="1:8">
      <c r="A389" s="1"/>
      <c r="B389" s="1"/>
      <c r="C389" s="1"/>
      <c r="D389" s="1"/>
      <c r="E389" s="1"/>
      <c r="F389" s="1"/>
      <c r="G389" s="1"/>
      <c r="H389" s="1"/>
    </row>
    <row r="390" spans="1:8">
      <c r="A390" s="1"/>
      <c r="B390" s="1"/>
      <c r="C390" s="1"/>
      <c r="D390" s="1"/>
      <c r="E390" s="1"/>
      <c r="F390" s="1"/>
      <c r="G390" s="1"/>
      <c r="H390" s="1"/>
    </row>
    <row r="391" spans="1:8">
      <c r="A391" s="1"/>
      <c r="B391" s="1"/>
      <c r="C391" s="1"/>
      <c r="D391" s="1"/>
      <c r="E391" s="1"/>
      <c r="F391" s="1"/>
      <c r="G391" s="1"/>
      <c r="H391" s="1"/>
    </row>
    <row r="392" spans="1:8">
      <c r="A392" s="1"/>
      <c r="B392" s="1"/>
      <c r="C392" s="1"/>
      <c r="D392" s="1"/>
      <c r="E392" s="1"/>
      <c r="F392" s="1"/>
      <c r="G392" s="1"/>
      <c r="H392" s="1"/>
    </row>
    <row r="393" spans="1:8">
      <c r="A393" s="1"/>
      <c r="B393" s="1"/>
      <c r="C393" s="1"/>
      <c r="D393" s="1"/>
      <c r="E393" s="1"/>
      <c r="F393" s="1"/>
      <c r="G393" s="1"/>
      <c r="H393" s="1"/>
    </row>
    <row r="394" spans="1:8">
      <c r="A394" s="1"/>
      <c r="B394" s="1"/>
      <c r="C394" s="1"/>
      <c r="D394" s="1"/>
      <c r="E394" s="1"/>
      <c r="F394" s="1"/>
      <c r="G394" s="1"/>
      <c r="H394" s="1"/>
    </row>
    <row r="395" spans="1:8">
      <c r="A395" s="1"/>
      <c r="B395" s="1"/>
      <c r="C395" s="1"/>
      <c r="D395" s="1"/>
      <c r="E395" s="1"/>
      <c r="F395" s="1"/>
      <c r="G395" s="1"/>
      <c r="H395" s="1"/>
    </row>
    <row r="396" spans="1:8">
      <c r="B396" s="1"/>
      <c r="C396" s="1"/>
      <c r="D396" s="1"/>
      <c r="E396" s="1"/>
      <c r="F396" s="1"/>
      <c r="G396" s="1"/>
      <c r="H396" s="1"/>
    </row>
    <row r="397" spans="1:8">
      <c r="B397" s="1"/>
      <c r="C397" s="1"/>
      <c r="D397" s="1"/>
      <c r="E397" s="1"/>
      <c r="F397" s="1"/>
      <c r="G397" s="1"/>
      <c r="H397" s="1"/>
    </row>
    <row r="398" spans="1:8">
      <c r="B398" s="1"/>
      <c r="C398" s="1"/>
      <c r="D398" s="1"/>
      <c r="E398" s="1"/>
      <c r="F398" s="1"/>
      <c r="G398" s="1"/>
      <c r="H398" s="1"/>
    </row>
    <row r="399" spans="1:8">
      <c r="B399" s="1"/>
      <c r="C399" s="1"/>
      <c r="D399" s="1"/>
      <c r="E399" s="1"/>
      <c r="F399" s="1"/>
      <c r="G399" s="1"/>
      <c r="H399" s="1"/>
    </row>
    <row r="400" spans="1:8">
      <c r="B400" s="1"/>
      <c r="C400" s="1"/>
      <c r="D400" s="1"/>
      <c r="E400" s="1"/>
      <c r="F400" s="1"/>
      <c r="G400" s="1"/>
      <c r="H400" s="1"/>
    </row>
    <row r="401" spans="2:8">
      <c r="B401" s="1"/>
      <c r="C401" s="1"/>
      <c r="D401" s="1"/>
      <c r="E401" s="1"/>
      <c r="F401" s="1"/>
      <c r="G401" s="1"/>
      <c r="H401" s="1"/>
    </row>
    <row r="402" spans="2:8">
      <c r="B402" s="1"/>
      <c r="C402" s="1"/>
      <c r="D402" s="1"/>
      <c r="E402" s="1"/>
      <c r="F402" s="1"/>
      <c r="G402" s="1"/>
      <c r="H402" s="1"/>
    </row>
    <row r="403" spans="2:8">
      <c r="B403" s="1"/>
      <c r="C403" s="1"/>
      <c r="D403" s="1"/>
      <c r="E403" s="1"/>
      <c r="F403" s="1"/>
      <c r="G403" s="1"/>
      <c r="H403" s="1"/>
    </row>
    <row r="404" spans="2:8">
      <c r="B404" s="1"/>
      <c r="C404" s="1"/>
      <c r="D404" s="1"/>
      <c r="E404" s="1"/>
      <c r="F404" s="1"/>
      <c r="G404" s="1"/>
      <c r="H404" s="1"/>
    </row>
    <row r="405" spans="2:8">
      <c r="B405" s="1"/>
      <c r="C405" s="1"/>
      <c r="D405" s="1"/>
      <c r="E405" s="1"/>
      <c r="F405" s="1"/>
      <c r="G405" s="1"/>
      <c r="H405" s="1"/>
    </row>
    <row r="406" spans="2:8">
      <c r="B406" s="1"/>
      <c r="C406" s="1"/>
      <c r="D406" s="1"/>
      <c r="E406" s="1"/>
      <c r="F406" s="1"/>
      <c r="G406" s="1"/>
      <c r="H406" s="1"/>
    </row>
    <row r="407" spans="2:8">
      <c r="B407" s="1"/>
      <c r="C407" s="1"/>
      <c r="D407" s="1"/>
      <c r="E407" s="1"/>
      <c r="F407" s="1"/>
      <c r="G407" s="1"/>
      <c r="H407" s="1"/>
    </row>
    <row r="408" spans="2:8">
      <c r="B408" s="1"/>
      <c r="C408" s="1"/>
      <c r="D408" s="1"/>
      <c r="E408" s="1"/>
      <c r="F408" s="1"/>
      <c r="G408" s="1"/>
      <c r="H408" s="1"/>
    </row>
    <row r="409" spans="2:8">
      <c r="B409" s="1"/>
      <c r="C409" s="1"/>
      <c r="D409" s="1"/>
      <c r="E409" s="1"/>
      <c r="F409" s="1"/>
      <c r="G409" s="1"/>
      <c r="H409" s="1"/>
    </row>
    <row r="410" spans="2:8">
      <c r="B410" s="1"/>
      <c r="C410" s="1"/>
      <c r="D410" s="1"/>
      <c r="E410" s="1"/>
      <c r="F410" s="1"/>
      <c r="G410" s="1"/>
      <c r="H410" s="1"/>
    </row>
    <row r="411" spans="2:8">
      <c r="B411" s="1"/>
      <c r="C411" s="1"/>
      <c r="D411" s="1"/>
      <c r="E411" s="1"/>
      <c r="F411" s="1"/>
      <c r="G411" s="1"/>
      <c r="H411" s="1"/>
    </row>
    <row r="412" spans="2:8">
      <c r="B412" s="1"/>
      <c r="C412" s="1"/>
      <c r="D412" s="1"/>
      <c r="E412" s="1"/>
      <c r="F412" s="1"/>
      <c r="G412" s="1"/>
      <c r="H412" s="1"/>
    </row>
    <row r="413" spans="2:8">
      <c r="B413" s="1"/>
      <c r="C413" s="1"/>
      <c r="D413" s="1"/>
      <c r="E413" s="1"/>
      <c r="F413" s="1"/>
      <c r="G413" s="1"/>
      <c r="H413" s="1"/>
    </row>
    <row r="414" spans="2:8">
      <c r="B414" s="1"/>
      <c r="C414" s="1"/>
      <c r="D414" s="1"/>
      <c r="E414" s="1"/>
      <c r="F414" s="1"/>
      <c r="G414" s="1"/>
      <c r="H414" s="1"/>
    </row>
    <row r="415" spans="2:8">
      <c r="B415" s="1"/>
      <c r="C415" s="1"/>
      <c r="D415" s="1"/>
      <c r="E415" s="1"/>
      <c r="F415" s="1"/>
      <c r="G415" s="1"/>
      <c r="H415" s="1"/>
    </row>
    <row r="416" spans="2:8">
      <c r="B416" s="1"/>
      <c r="C416" s="1"/>
      <c r="D416" s="1"/>
      <c r="E416" s="1"/>
      <c r="F416" s="1"/>
      <c r="G416" s="1"/>
      <c r="H416" s="1"/>
    </row>
    <row r="417" spans="2:8">
      <c r="B417" s="1"/>
      <c r="C417" s="1"/>
      <c r="D417" s="1"/>
      <c r="E417" s="1"/>
      <c r="F417" s="1"/>
      <c r="G417" s="1"/>
      <c r="H417" s="1"/>
    </row>
    <row r="418" spans="2:8">
      <c r="B418" s="1"/>
      <c r="C418" s="1"/>
      <c r="D418" s="1"/>
      <c r="E418" s="1"/>
      <c r="F418" s="1"/>
      <c r="G418" s="1"/>
      <c r="H418" s="1"/>
    </row>
    <row r="419" spans="2:8">
      <c r="B419" s="1"/>
      <c r="C419" s="1"/>
      <c r="D419" s="1"/>
      <c r="E419" s="1"/>
      <c r="F419" s="1"/>
      <c r="G419" s="1"/>
      <c r="H419" s="1"/>
    </row>
    <row r="420" spans="2:8">
      <c r="B420" s="1"/>
      <c r="C420" s="1"/>
      <c r="D420" s="1"/>
      <c r="E420" s="1"/>
      <c r="F420" s="1"/>
      <c r="G420" s="1"/>
      <c r="H420" s="1"/>
    </row>
    <row r="421" spans="2:8">
      <c r="B421" s="1"/>
      <c r="C421" s="1"/>
      <c r="D421" s="1"/>
      <c r="E421" s="1"/>
      <c r="F421" s="1"/>
      <c r="G421" s="1"/>
      <c r="H421" s="1"/>
    </row>
    <row r="422" spans="2:8">
      <c r="B422" s="1"/>
      <c r="C422" s="1"/>
      <c r="D422" s="1"/>
      <c r="E422" s="1"/>
      <c r="F422" s="1"/>
      <c r="G422" s="1"/>
      <c r="H422" s="1"/>
    </row>
    <row r="423" spans="2:8">
      <c r="B423" s="1"/>
      <c r="C423" s="1"/>
      <c r="D423" s="1"/>
      <c r="E423" s="1"/>
      <c r="F423" s="1"/>
      <c r="G423" s="1"/>
      <c r="H423" s="1"/>
    </row>
    <row r="424" spans="2:8">
      <c r="B424" s="1"/>
      <c r="C424" s="1"/>
      <c r="D424" s="1"/>
      <c r="E424" s="1"/>
      <c r="F424" s="1"/>
      <c r="G424" s="1"/>
      <c r="H424" s="1"/>
    </row>
    <row r="425" spans="2:8">
      <c r="B425" s="1"/>
      <c r="C425" s="1"/>
      <c r="D425" s="1"/>
      <c r="E425" s="1"/>
      <c r="F425" s="1"/>
      <c r="G425" s="1"/>
      <c r="H425" s="1"/>
    </row>
    <row r="426" spans="2:8">
      <c r="B426" s="1"/>
      <c r="C426" s="1"/>
      <c r="D426" s="1"/>
      <c r="E426" s="1"/>
      <c r="F426" s="1"/>
      <c r="G426" s="1"/>
      <c r="H426" s="1"/>
    </row>
    <row r="427" spans="2:8">
      <c r="B427" s="1"/>
      <c r="C427" s="1"/>
      <c r="D427" s="1"/>
      <c r="E427" s="1"/>
      <c r="F427" s="1"/>
      <c r="G427" s="1"/>
      <c r="H427" s="1"/>
    </row>
    <row r="428" spans="2:8">
      <c r="B428" s="1"/>
      <c r="C428" s="1"/>
      <c r="D428" s="1"/>
      <c r="E428" s="1"/>
      <c r="F428" s="1"/>
      <c r="G428" s="1"/>
      <c r="H428" s="1"/>
    </row>
    <row r="429" spans="2:8">
      <c r="B429" s="1"/>
      <c r="C429" s="1"/>
      <c r="D429" s="1"/>
      <c r="E429" s="1"/>
      <c r="F429" s="1"/>
      <c r="G429" s="1"/>
      <c r="H429" s="1"/>
    </row>
    <row r="430" spans="2:8">
      <c r="B430" s="1"/>
      <c r="C430" s="1"/>
      <c r="D430" s="1"/>
      <c r="E430" s="1"/>
      <c r="F430" s="1"/>
      <c r="G430" s="1"/>
      <c r="H430" s="1"/>
    </row>
    <row r="431" spans="2:8">
      <c r="B431" s="1"/>
      <c r="C431" s="1"/>
      <c r="D431" s="1"/>
      <c r="E431" s="1"/>
      <c r="F431" s="1"/>
      <c r="G431" s="1"/>
      <c r="H431" s="1"/>
    </row>
    <row r="432" spans="2:8">
      <c r="B432" s="1"/>
      <c r="C432" s="1"/>
      <c r="D432" s="1"/>
      <c r="E432" s="1"/>
      <c r="F432" s="1"/>
      <c r="G432" s="1"/>
      <c r="H432" s="1"/>
    </row>
    <row r="433" spans="2:8">
      <c r="B433" s="1"/>
      <c r="C433" s="1"/>
      <c r="D433" s="1"/>
      <c r="E433" s="1"/>
      <c r="F433" s="1"/>
      <c r="G433" s="1"/>
      <c r="H433" s="1"/>
    </row>
    <row r="434" spans="2:8">
      <c r="B434" s="1"/>
      <c r="C434" s="1"/>
      <c r="D434" s="1"/>
      <c r="E434" s="1"/>
      <c r="F434" s="1"/>
      <c r="G434" s="1"/>
      <c r="H434" s="1"/>
    </row>
  </sheetData>
  <mergeCells count="4">
    <mergeCell ref="C2:H2"/>
    <mergeCell ref="B1:C1"/>
    <mergeCell ref="D49:H49"/>
    <mergeCell ref="D118:G1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C971-A60A-4E09-8ADD-B5C8969DBE9A}">
  <dimension ref="A1:L41"/>
  <sheetViews>
    <sheetView workbookViewId="0">
      <selection activeCell="D7" sqref="D7"/>
    </sheetView>
  </sheetViews>
  <sheetFormatPr defaultRowHeight="14.4"/>
  <cols>
    <col min="1" max="1" width="2.44140625" customWidth="1"/>
    <col min="2" max="2" width="50.6640625" bestFit="1" customWidth="1"/>
    <col min="4" max="7" width="14.33203125" bestFit="1" customWidth="1"/>
  </cols>
  <sheetData>
    <row r="1" spans="1:12" ht="27" customHeight="1">
      <c r="A1" s="249"/>
      <c r="B1" s="250" t="s">
        <v>346</v>
      </c>
      <c r="C1" s="251"/>
      <c r="D1" s="252"/>
      <c r="E1" s="252"/>
      <c r="F1" s="252"/>
      <c r="G1" s="253"/>
    </row>
    <row r="2" spans="1:12">
      <c r="A2" s="254"/>
      <c r="B2" s="247"/>
      <c r="C2" s="60"/>
      <c r="D2" s="920" t="s">
        <v>163</v>
      </c>
      <c r="E2" s="920"/>
      <c r="F2" s="920"/>
      <c r="G2" s="921"/>
    </row>
    <row r="3" spans="1:12" ht="18" customHeight="1">
      <c r="A3" s="255"/>
      <c r="B3" s="248"/>
      <c r="C3" s="121" t="s">
        <v>1</v>
      </c>
      <c r="D3" s="108">
        <v>42735</v>
      </c>
      <c r="E3" s="108">
        <v>43100</v>
      </c>
      <c r="F3" s="108">
        <v>43465</v>
      </c>
      <c r="G3" s="256">
        <v>43830</v>
      </c>
    </row>
    <row r="4" spans="1:12">
      <c r="A4" s="257"/>
      <c r="B4" s="2"/>
      <c r="C4" s="2"/>
      <c r="D4" s="28"/>
      <c r="E4" s="26"/>
      <c r="F4" s="26"/>
      <c r="G4" s="258"/>
    </row>
    <row r="5" spans="1:12">
      <c r="A5" s="257"/>
      <c r="B5" s="5" t="s">
        <v>303</v>
      </c>
      <c r="C5" s="2"/>
      <c r="D5" s="178">
        <v>443</v>
      </c>
      <c r="E5" s="179">
        <v>710</v>
      </c>
      <c r="F5" s="179">
        <v>588</v>
      </c>
      <c r="G5" s="259">
        <v>687</v>
      </c>
    </row>
    <row r="6" spans="1:12">
      <c r="A6" s="257"/>
      <c r="B6" s="2" t="s">
        <v>347</v>
      </c>
      <c r="C6" s="2"/>
      <c r="D6" s="180">
        <v>-122</v>
      </c>
      <c r="E6" s="181">
        <v>-192</v>
      </c>
      <c r="F6" s="181">
        <v>-157</v>
      </c>
      <c r="G6" s="260">
        <v>-189</v>
      </c>
    </row>
    <row r="7" spans="1:12">
      <c r="A7" s="257"/>
      <c r="B7" s="2" t="s">
        <v>376</v>
      </c>
      <c r="C7" s="2"/>
      <c r="D7" s="245">
        <f>-'Reorganised Statements'!E99*('Reorganised Statements'!E109/'Reorganised Statements'!E101)</f>
        <v>-39.814371257485028</v>
      </c>
      <c r="E7" s="246">
        <f>-'Reorganised Statements'!F99*('Reorganised Statements'!F109/'Reorganised Statements'!F101)</f>
        <v>-44.666666666666664</v>
      </c>
      <c r="F7" s="246">
        <f>-'Reorganised Statements'!G99*('Reorganised Statements'!G109/'Reorganised Statements'!G101)</f>
        <v>-31.400000000000002</v>
      </c>
      <c r="G7" s="261">
        <f>-'Reorganised Statements'!H99*('Reorganised Statements'!H109/'Reorganised Statements'!H101)</f>
        <v>-34.481927710843372</v>
      </c>
    </row>
    <row r="8" spans="1:12">
      <c r="A8" s="257"/>
      <c r="B8" s="21" t="s">
        <v>348</v>
      </c>
      <c r="C8" s="22"/>
      <c r="D8" s="182">
        <f>SUM(D5:D7)</f>
        <v>281.18562874251495</v>
      </c>
      <c r="E8" s="183">
        <f t="shared" ref="E8:G8" si="0">SUM(E5:E7)</f>
        <v>473.33333333333331</v>
      </c>
      <c r="F8" s="183">
        <f t="shared" si="0"/>
        <v>399.6</v>
      </c>
      <c r="G8" s="262">
        <f t="shared" si="0"/>
        <v>463.51807228915663</v>
      </c>
    </row>
    <row r="9" spans="1:12">
      <c r="A9" s="257"/>
      <c r="B9" s="2"/>
      <c r="C9" s="2"/>
      <c r="D9" s="180"/>
      <c r="E9" s="181"/>
      <c r="F9" s="181"/>
      <c r="G9" s="260"/>
    </row>
    <row r="10" spans="1:12">
      <c r="A10" s="257"/>
      <c r="B10" s="2" t="s">
        <v>370</v>
      </c>
      <c r="C10" s="2"/>
      <c r="D10" s="180">
        <f>'Reorganised Statements'!D10-'Reorganised Statements'!E10</f>
        <v>25</v>
      </c>
      <c r="E10" s="181">
        <f>'Reorganised Statements'!E10-'Reorganised Statements'!F10</f>
        <v>12</v>
      </c>
      <c r="F10" s="181">
        <f>'Reorganised Statements'!F10-'Reorganised Statements'!G10</f>
        <v>-40</v>
      </c>
      <c r="G10" s="260">
        <f>'Reorganised Statements'!G10-'Reorganised Statements'!H10</f>
        <v>3</v>
      </c>
    </row>
    <row r="11" spans="1:12">
      <c r="A11" s="257"/>
      <c r="B11" s="2" t="s">
        <v>349</v>
      </c>
      <c r="C11" s="2"/>
      <c r="D11" s="180">
        <f>'Reorganised Statements'!D11-'Reorganised Statements'!E11</f>
        <v>-336</v>
      </c>
      <c r="E11" s="181">
        <f>'Reorganised Statements'!E11-'Reorganised Statements'!F11</f>
        <v>150</v>
      </c>
      <c r="F11" s="181">
        <f>'Reorganised Statements'!F11-'Reorganised Statements'!G11</f>
        <v>-110</v>
      </c>
      <c r="G11" s="260">
        <f>'Reorganised Statements'!G11-'Reorganised Statements'!H11</f>
        <v>-71</v>
      </c>
    </row>
    <row r="12" spans="1:12">
      <c r="A12" s="257"/>
      <c r="B12" s="2" t="s">
        <v>369</v>
      </c>
      <c r="C12" s="2"/>
      <c r="D12" s="180">
        <f>'Reorganised Statements'!D12-'Reorganised Statements'!E12</f>
        <v>214</v>
      </c>
      <c r="E12" s="181">
        <f>'Reorganised Statements'!E12-'Reorganised Statements'!F12</f>
        <v>-3</v>
      </c>
      <c r="F12" s="181">
        <f>'Reorganised Statements'!F12-'Reorganised Statements'!G12</f>
        <v>32</v>
      </c>
      <c r="G12" s="260">
        <f>'Reorganised Statements'!G12-'Reorganised Statements'!H12</f>
        <v>68</v>
      </c>
    </row>
    <row r="13" spans="1:12">
      <c r="A13" s="257"/>
      <c r="B13" s="21" t="s">
        <v>371</v>
      </c>
      <c r="C13" s="22"/>
      <c r="D13" s="182">
        <f>SUM(D10:D12)</f>
        <v>-97</v>
      </c>
      <c r="E13" s="183">
        <f t="shared" ref="E13:F13" si="1">SUM(E10:E12)</f>
        <v>159</v>
      </c>
      <c r="F13" s="183">
        <f t="shared" si="1"/>
        <v>-118</v>
      </c>
      <c r="G13" s="262">
        <f>SUM(G10:G12)</f>
        <v>0</v>
      </c>
      <c r="H13" s="244"/>
      <c r="I13" s="244"/>
      <c r="J13" s="244"/>
      <c r="K13" s="244"/>
      <c r="L13" s="244"/>
    </row>
    <row r="14" spans="1:12">
      <c r="A14" s="257"/>
      <c r="B14" s="2"/>
      <c r="C14" s="2"/>
      <c r="D14" s="180"/>
      <c r="E14" s="181"/>
      <c r="F14" s="181"/>
      <c r="G14" s="260"/>
    </row>
    <row r="15" spans="1:12">
      <c r="A15" s="257"/>
      <c r="B15" s="2" t="s">
        <v>350</v>
      </c>
      <c r="C15" s="2"/>
      <c r="D15" s="180">
        <f>'Reorganised Statements'!D15-'Reorganised Statements'!E15</f>
        <v>-59</v>
      </c>
      <c r="E15" s="181">
        <f>'Reorganised Statements'!E15-'Reorganised Statements'!F15</f>
        <v>132</v>
      </c>
      <c r="F15" s="181">
        <f>'Reorganised Statements'!F15-'Reorganised Statements'!G15</f>
        <v>53</v>
      </c>
      <c r="G15" s="260">
        <f>'Reorganised Statements'!G15-'Reorganised Statements'!H15</f>
        <v>-155</v>
      </c>
    </row>
    <row r="16" spans="1:12">
      <c r="A16" s="257"/>
      <c r="B16" s="2" t="s">
        <v>351</v>
      </c>
      <c r="C16" s="2"/>
      <c r="D16" s="180">
        <f>'Reorganised Statements'!D21-'Reorganised Statements'!E21</f>
        <v>210</v>
      </c>
      <c r="E16" s="181">
        <f>'Reorganised Statements'!E21-'Reorganised Statements'!F21</f>
        <v>-220</v>
      </c>
      <c r="F16" s="181">
        <f>'Reorganised Statements'!F21-'Reorganised Statements'!G21</f>
        <v>90</v>
      </c>
      <c r="G16" s="260">
        <f>'Reorganised Statements'!G21-'Reorganised Statements'!H21</f>
        <v>236</v>
      </c>
    </row>
    <row r="17" spans="1:8">
      <c r="A17" s="257"/>
      <c r="B17" s="21" t="s">
        <v>372</v>
      </c>
      <c r="C17" s="22"/>
      <c r="D17" s="182">
        <f>SUM(D13,D15:D16)</f>
        <v>54</v>
      </c>
      <c r="E17" s="183">
        <f t="shared" ref="E17:G17" si="2">SUM(E13,E15:E16)</f>
        <v>71</v>
      </c>
      <c r="F17" s="183">
        <f t="shared" si="2"/>
        <v>25</v>
      </c>
      <c r="G17" s="262">
        <f t="shared" si="2"/>
        <v>81</v>
      </c>
    </row>
    <row r="18" spans="1:8">
      <c r="A18" s="257"/>
      <c r="B18" s="2"/>
      <c r="C18" s="2"/>
      <c r="D18" s="180"/>
      <c r="E18" s="181"/>
      <c r="F18" s="181"/>
      <c r="G18" s="260"/>
    </row>
    <row r="19" spans="1:8">
      <c r="A19" s="257"/>
      <c r="B19" s="2" t="s">
        <v>352</v>
      </c>
      <c r="C19" s="2"/>
      <c r="D19" s="180">
        <f>('Reorganised Statements'!D5+'Reorganised Statements'!D6)-('Reorganised Statements'!E5+'Reorganised Statements'!E6)+'Reorganised Statements'!E72</f>
        <v>-1066</v>
      </c>
      <c r="E19" s="181">
        <f>('Reorganised Statements'!E5+'Reorganised Statements'!E6)-('Reorganised Statements'!F5+'Reorganised Statements'!F6)+'Reorganised Statements'!F72</f>
        <v>-80</v>
      </c>
      <c r="F19" s="181">
        <f>('Reorganised Statements'!F5+'Reorganised Statements'!F6)-('Reorganised Statements'!G5+'Reorganised Statements'!G6)+'Reorganised Statements'!G72</f>
        <v>-1076</v>
      </c>
      <c r="G19" s="260">
        <f>('Reorganised Statements'!G5+'Reorganised Statements'!G6)-('Reorganised Statements'!H5+'Reorganised Statements'!H6)+'Reorganised Statements'!H72</f>
        <v>-837</v>
      </c>
    </row>
    <row r="20" spans="1:8">
      <c r="A20" s="257"/>
      <c r="B20" s="2" t="s">
        <v>353</v>
      </c>
      <c r="C20" s="2"/>
      <c r="D20" s="180">
        <v>648</v>
      </c>
      <c r="E20" s="181">
        <v>444</v>
      </c>
      <c r="F20" s="181">
        <v>623</v>
      </c>
      <c r="G20" s="260">
        <v>511</v>
      </c>
    </row>
    <row r="21" spans="1:8">
      <c r="A21" s="257"/>
      <c r="B21" s="2" t="s">
        <v>354</v>
      </c>
      <c r="C21" s="2"/>
      <c r="D21" s="180">
        <f>'Reorganised Statements'!D30-'Reorganised Statements'!E30</f>
        <v>95</v>
      </c>
      <c r="E21" s="180">
        <f>'Reorganised Statements'!E30-'Reorganised Statements'!F30</f>
        <v>-46</v>
      </c>
      <c r="F21" s="180">
        <f>'Reorganised Statements'!F30-'Reorganised Statements'!G30</f>
        <v>17</v>
      </c>
      <c r="G21" s="263">
        <f>'Reorganised Statements'!G30-'Reorganised Statements'!H30</f>
        <v>34</v>
      </c>
      <c r="H21" s="244"/>
    </row>
    <row r="22" spans="1:8">
      <c r="A22" s="257"/>
      <c r="B22" s="2" t="s">
        <v>355</v>
      </c>
      <c r="C22" s="2"/>
      <c r="D22" s="180">
        <f>'Reorganised Statements'!D29-'Reorganised Statements'!E29</f>
        <v>33</v>
      </c>
      <c r="E22" s="180">
        <f>'Reorganised Statements'!E29-'Reorganised Statements'!F29</f>
        <v>-46</v>
      </c>
      <c r="F22" s="180">
        <f>'Reorganised Statements'!F29-'Reorganised Statements'!G29</f>
        <v>-5</v>
      </c>
      <c r="G22" s="263">
        <f>'Reorganised Statements'!G29-'Reorganised Statements'!H29</f>
        <v>-7</v>
      </c>
      <c r="H22" s="244"/>
    </row>
    <row r="23" spans="1:8">
      <c r="A23" s="257"/>
      <c r="B23" s="2" t="s">
        <v>368</v>
      </c>
      <c r="C23" s="2"/>
      <c r="D23" s="180">
        <f>'Reorganised Statements'!D28-'Reorganised Statements'!E28</f>
        <v>-33</v>
      </c>
      <c r="E23" s="180">
        <f>'Reorganised Statements'!E28-'Reorganised Statements'!F28</f>
        <v>40</v>
      </c>
      <c r="F23" s="180">
        <f>'Reorganised Statements'!F28-'Reorganised Statements'!G28</f>
        <v>37</v>
      </c>
      <c r="G23" s="263">
        <f>'Reorganised Statements'!G28-'Reorganised Statements'!H28</f>
        <v>-13</v>
      </c>
    </row>
    <row r="24" spans="1:8">
      <c r="A24" s="257"/>
      <c r="B24" s="2" t="s">
        <v>356</v>
      </c>
      <c r="C24" s="2"/>
      <c r="D24" s="180">
        <v>20</v>
      </c>
      <c r="E24" s="181">
        <v>-91</v>
      </c>
      <c r="F24" s="181">
        <v>11</v>
      </c>
      <c r="G24" s="260">
        <v>-3</v>
      </c>
    </row>
    <row r="25" spans="1:8">
      <c r="A25" s="257"/>
      <c r="B25" s="15" t="s">
        <v>357</v>
      </c>
      <c r="C25" s="17"/>
      <c r="D25" s="184">
        <f>D8+D17+SUM(D19:D24)</f>
        <v>32.18562874251495</v>
      </c>
      <c r="E25" s="184">
        <f t="shared" ref="E25:G25" si="3">E8+E17+SUM(E19:E24)</f>
        <v>765.33333333333326</v>
      </c>
      <c r="F25" s="184">
        <f t="shared" si="3"/>
        <v>31.600000000000023</v>
      </c>
      <c r="G25" s="264">
        <f t="shared" si="3"/>
        <v>229.51807228915663</v>
      </c>
    </row>
    <row r="26" spans="1:8">
      <c r="A26" s="257"/>
      <c r="B26" s="2" t="s">
        <v>358</v>
      </c>
      <c r="C26" s="2"/>
      <c r="D26" s="188">
        <f>-D25/D5</f>
        <v>-7.2653789486489734E-2</v>
      </c>
      <c r="E26" s="188">
        <f t="shared" ref="E26:G26" si="4">E25/E5</f>
        <v>1.0779342723004695</v>
      </c>
      <c r="F26" s="188">
        <f t="shared" si="4"/>
        <v>5.3741496598639492E-2</v>
      </c>
      <c r="G26" s="265">
        <f t="shared" si="4"/>
        <v>0.33408744146893249</v>
      </c>
    </row>
    <row r="27" spans="1:8">
      <c r="A27" s="257"/>
      <c r="B27" s="2"/>
      <c r="C27" s="2"/>
      <c r="D27" s="180"/>
      <c r="E27" s="181"/>
      <c r="F27" s="181"/>
      <c r="G27" s="260"/>
    </row>
    <row r="28" spans="1:8">
      <c r="A28" s="257"/>
      <c r="B28" s="2" t="s">
        <v>359</v>
      </c>
      <c r="C28" s="2"/>
      <c r="D28" s="180">
        <f>('Reorganised Statements'!D7-'Reorganised Statements'!E7)+'Reorganised Statements'!E99</f>
        <v>-108</v>
      </c>
      <c r="E28" s="180">
        <f>('Reorganised Statements'!E7-'Reorganised Statements'!F7)+'Reorganised Statements'!F99</f>
        <v>-105</v>
      </c>
      <c r="F28" s="180">
        <f>('Reorganised Statements'!F7-'Reorganised Statements'!G7)+'Reorganised Statements'!G99</f>
        <v>-36</v>
      </c>
      <c r="G28" s="180">
        <f>('Reorganised Statements'!G7-'Reorganised Statements'!H7)+'Reorganised Statements'!H99</f>
        <v>-126</v>
      </c>
    </row>
    <row r="29" spans="1:8">
      <c r="A29" s="257"/>
      <c r="B29" s="2" t="s">
        <v>360</v>
      </c>
      <c r="C29" s="2"/>
      <c r="D29" s="180">
        <f>'Reorganised Statements'!D39-'Reorganised Statements'!E39</f>
        <v>14</v>
      </c>
      <c r="E29" s="180">
        <f>'Reorganised Statements'!E39-'Reorganised Statements'!F39</f>
        <v>143</v>
      </c>
      <c r="F29" s="180">
        <f>'Reorganised Statements'!F39-'Reorganised Statements'!G39</f>
        <v>-260</v>
      </c>
      <c r="G29" s="263">
        <f>'Reorganised Statements'!G39-'Reorganised Statements'!H39</f>
        <v>-67</v>
      </c>
    </row>
    <row r="30" spans="1:8">
      <c r="A30" s="257"/>
      <c r="B30" s="2" t="s">
        <v>377</v>
      </c>
      <c r="C30" s="2"/>
      <c r="D30" s="180">
        <f>-D7</f>
        <v>39.814371257485028</v>
      </c>
      <c r="E30" s="180">
        <f t="shared" ref="E30:G30" si="5">-E7</f>
        <v>44.666666666666664</v>
      </c>
      <c r="F30" s="180">
        <f t="shared" si="5"/>
        <v>31.400000000000002</v>
      </c>
      <c r="G30" s="263">
        <f t="shared" si="5"/>
        <v>34.481927710843372</v>
      </c>
    </row>
    <row r="31" spans="1:8">
      <c r="A31" s="257"/>
      <c r="B31" s="15" t="s">
        <v>361</v>
      </c>
      <c r="C31" s="17"/>
      <c r="D31" s="184">
        <f>D25+D28+D29+D30</f>
        <v>-22.000000000000021</v>
      </c>
      <c r="E31" s="185">
        <f t="shared" ref="E31:G31" si="6">E25+E28+E29+E30</f>
        <v>847.99999999999989</v>
      </c>
      <c r="F31" s="185">
        <f t="shared" si="6"/>
        <v>-232.99999999999997</v>
      </c>
      <c r="G31" s="266">
        <f t="shared" si="6"/>
        <v>71</v>
      </c>
    </row>
    <row r="32" spans="1:8">
      <c r="A32" s="257"/>
      <c r="B32" s="2" t="s">
        <v>362</v>
      </c>
      <c r="C32" s="2"/>
      <c r="D32" s="180"/>
      <c r="E32" s="181"/>
      <c r="F32" s="181"/>
      <c r="G32" s="260"/>
    </row>
    <row r="33" spans="1:8">
      <c r="A33" s="257"/>
      <c r="B33" s="2"/>
      <c r="C33" s="2"/>
      <c r="D33" s="186"/>
      <c r="E33" s="187"/>
      <c r="F33" s="187"/>
      <c r="G33" s="267"/>
    </row>
    <row r="34" spans="1:8">
      <c r="A34" s="257"/>
      <c r="B34" s="2" t="s">
        <v>363</v>
      </c>
      <c r="C34" s="2"/>
      <c r="D34" s="187">
        <f>('Reorganised Statements'!D35-'Reorganised Statements'!E35)-'Reorganised Statements'!E114</f>
        <v>-212</v>
      </c>
      <c r="E34" s="187">
        <f>('Reorganised Statements'!E35-'Reorganised Statements'!F35)-'Reorganised Statements'!F114</f>
        <v>-559</v>
      </c>
      <c r="F34" s="187">
        <f>('Reorganised Statements'!F35-'Reorganised Statements'!G35)-'Reorganised Statements'!G114</f>
        <v>166</v>
      </c>
      <c r="G34" s="267">
        <f>('Reorganised Statements'!G35-'Reorganised Statements'!H35)-'Reorganised Statements'!H114</f>
        <v>-261</v>
      </c>
    </row>
    <row r="35" spans="1:8">
      <c r="A35" s="257"/>
      <c r="B35" s="5" t="s">
        <v>364</v>
      </c>
      <c r="C35" s="2"/>
      <c r="D35" s="186">
        <f>D31+D34</f>
        <v>-234.00000000000003</v>
      </c>
      <c r="E35" s="186">
        <f t="shared" ref="E35:G35" si="7">E31+E34</f>
        <v>288.99999999999989</v>
      </c>
      <c r="F35" s="186">
        <f t="shared" si="7"/>
        <v>-66.999999999999972</v>
      </c>
      <c r="G35" s="268">
        <f t="shared" si="7"/>
        <v>-190</v>
      </c>
    </row>
    <row r="36" spans="1:8">
      <c r="A36" s="257"/>
      <c r="B36" s="2"/>
      <c r="C36" s="2"/>
      <c r="D36" s="186"/>
      <c r="E36" s="187"/>
      <c r="F36" s="187"/>
      <c r="G36" s="267"/>
    </row>
    <row r="37" spans="1:8">
      <c r="A37" s="257"/>
      <c r="B37" s="175" t="s">
        <v>365</v>
      </c>
      <c r="C37" s="2"/>
      <c r="D37" s="186">
        <v>636</v>
      </c>
      <c r="E37" s="187">
        <v>402</v>
      </c>
      <c r="F37" s="187">
        <v>691</v>
      </c>
      <c r="G37" s="267">
        <v>624</v>
      </c>
      <c r="H37" s="244"/>
    </row>
    <row r="38" spans="1:8">
      <c r="A38" s="257"/>
      <c r="B38" s="175" t="s">
        <v>366</v>
      </c>
      <c r="C38" s="2"/>
      <c r="D38" s="186">
        <v>402</v>
      </c>
      <c r="E38" s="187">
        <v>691</v>
      </c>
      <c r="F38" s="187">
        <v>624</v>
      </c>
      <c r="G38" s="267">
        <v>434</v>
      </c>
      <c r="H38" s="244"/>
    </row>
    <row r="39" spans="1:8" ht="15" thickBot="1">
      <c r="A39" s="269"/>
      <c r="B39" s="270" t="s">
        <v>367</v>
      </c>
      <c r="C39" s="270"/>
      <c r="D39" s="271">
        <f>D38-D37</f>
        <v>-234</v>
      </c>
      <c r="E39" s="271">
        <f t="shared" ref="E39:G39" si="8">E38-E37</f>
        <v>289</v>
      </c>
      <c r="F39" s="271">
        <f t="shared" si="8"/>
        <v>-67</v>
      </c>
      <c r="G39" s="272">
        <f t="shared" si="8"/>
        <v>-190</v>
      </c>
      <c r="H39" s="244"/>
    </row>
    <row r="40" spans="1:8" ht="15" thickBot="1">
      <c r="A40" s="1"/>
      <c r="B40" s="1"/>
      <c r="C40" s="1"/>
      <c r="D40" s="1"/>
      <c r="E40" s="1"/>
      <c r="F40" s="1"/>
      <c r="G40" s="1"/>
    </row>
    <row r="41" spans="1:8" ht="15" thickBot="1">
      <c r="A41" s="1"/>
      <c r="B41" s="273" t="s">
        <v>378</v>
      </c>
      <c r="C41" s="274"/>
      <c r="D41" s="274" t="str">
        <f>IF(D35=D39,"Correct","Incorrect")</f>
        <v>Correct</v>
      </c>
      <c r="E41" s="274" t="str">
        <f t="shared" ref="E41:G41" si="9">IF(E35=E39,"Correct","Incorrect")</f>
        <v>Correct</v>
      </c>
      <c r="F41" s="274" t="str">
        <f t="shared" si="9"/>
        <v>Correct</v>
      </c>
      <c r="G41" s="275" t="str">
        <f t="shared" si="9"/>
        <v>Correct</v>
      </c>
    </row>
  </sheetData>
  <mergeCells count="1">
    <mergeCell ref="D2:G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519F-90E1-4FDA-9AEB-E44D11AA75F5}">
  <dimension ref="A1:V146"/>
  <sheetViews>
    <sheetView topLeftCell="B1" zoomScale="71" zoomScaleNormal="50" workbookViewId="0">
      <selection activeCell="D84" sqref="D84"/>
    </sheetView>
  </sheetViews>
  <sheetFormatPr defaultRowHeight="14.4"/>
  <cols>
    <col min="1" max="1" width="61.109375" customWidth="1"/>
    <col min="2" max="2" width="9.33203125" customWidth="1"/>
    <col min="3" max="3" width="21.6640625" customWidth="1"/>
    <col min="4" max="4" width="19" customWidth="1"/>
    <col min="5" max="5" width="15.6640625" customWidth="1"/>
    <col min="6" max="6" width="14.33203125" customWidth="1"/>
    <col min="7" max="8" width="15.6640625" customWidth="1"/>
    <col min="9" max="9" width="14.109375" customWidth="1"/>
  </cols>
  <sheetData>
    <row r="1" spans="1:20" ht="25.8">
      <c r="A1" s="396" t="s">
        <v>538</v>
      </c>
      <c r="B1" s="397"/>
      <c r="C1" s="125"/>
      <c r="D1" s="125"/>
      <c r="E1" s="125"/>
      <c r="F1" s="125"/>
      <c r="G1" s="288"/>
      <c r="H1" s="1"/>
      <c r="I1" s="1"/>
      <c r="J1" s="1"/>
      <c r="K1" s="1"/>
      <c r="L1" s="1"/>
      <c r="M1" s="1"/>
      <c r="N1" s="1"/>
      <c r="O1" s="1"/>
      <c r="P1" s="1"/>
      <c r="Q1" s="1"/>
      <c r="R1" s="1"/>
      <c r="S1" s="1"/>
      <c r="T1" s="1"/>
    </row>
    <row r="2" spans="1:20">
      <c r="A2" s="289"/>
      <c r="B2" s="914" t="s">
        <v>158</v>
      </c>
      <c r="C2" s="914"/>
      <c r="D2" s="914"/>
      <c r="E2" s="914"/>
      <c r="F2" s="914"/>
      <c r="G2" s="915"/>
      <c r="H2" s="1"/>
      <c r="I2" s="1"/>
      <c r="J2" s="1"/>
      <c r="K2" s="1"/>
      <c r="L2" s="1"/>
      <c r="M2" s="1"/>
      <c r="N2" s="1"/>
      <c r="O2" s="1"/>
      <c r="P2" s="1"/>
      <c r="Q2" s="1"/>
      <c r="R2" s="1"/>
      <c r="S2" s="1"/>
      <c r="T2" s="1"/>
    </row>
    <row r="3" spans="1:20">
      <c r="A3" s="255"/>
      <c r="B3" s="122" t="s">
        <v>1</v>
      </c>
      <c r="C3" s="124">
        <v>42461</v>
      </c>
      <c r="D3" s="124">
        <v>42826</v>
      </c>
      <c r="E3" s="124">
        <v>43191</v>
      </c>
      <c r="F3" s="124">
        <v>43556</v>
      </c>
      <c r="G3" s="290">
        <v>43922</v>
      </c>
      <c r="H3" s="1"/>
      <c r="I3" s="1"/>
      <c r="J3" s="1"/>
      <c r="K3" s="1"/>
      <c r="L3" s="1"/>
      <c r="M3" s="1"/>
      <c r="N3" s="1"/>
      <c r="O3" s="1"/>
      <c r="P3" s="1"/>
      <c r="Q3" s="1"/>
      <c r="R3" s="1"/>
      <c r="S3" s="1"/>
      <c r="T3" s="1"/>
    </row>
    <row r="4" spans="1:20">
      <c r="A4" s="291"/>
      <c r="B4" s="2"/>
      <c r="C4" s="28"/>
      <c r="D4" s="26"/>
      <c r="E4" s="26"/>
      <c r="F4" s="26"/>
      <c r="G4" s="258"/>
      <c r="H4" s="1"/>
      <c r="I4" s="1"/>
      <c r="J4" s="1"/>
      <c r="K4" s="1"/>
      <c r="L4" s="1"/>
      <c r="M4" s="1"/>
      <c r="N4" s="1"/>
      <c r="O4" s="1"/>
      <c r="P4" s="1"/>
      <c r="Q4" s="1"/>
      <c r="R4" s="1"/>
      <c r="S4" s="1"/>
      <c r="T4" s="1"/>
    </row>
    <row r="5" spans="1:20">
      <c r="A5" s="292" t="s">
        <v>326</v>
      </c>
      <c r="B5" s="137"/>
      <c r="C5" s="147">
        <v>5022</v>
      </c>
      <c r="D5" s="147">
        <v>5026</v>
      </c>
      <c r="E5" s="147">
        <f>+(4592)</f>
        <v>4592</v>
      </c>
      <c r="F5" s="147">
        <v>4703</v>
      </c>
      <c r="G5" s="293">
        <v>4917</v>
      </c>
      <c r="H5" s="1"/>
      <c r="I5" s="1"/>
      <c r="J5" s="1"/>
      <c r="K5" s="1"/>
      <c r="L5" s="1"/>
      <c r="M5" s="1"/>
      <c r="N5" s="1"/>
      <c r="O5" s="1"/>
      <c r="P5" s="1"/>
      <c r="Q5" s="1"/>
      <c r="R5" s="1"/>
      <c r="S5" s="1"/>
      <c r="T5" s="1"/>
    </row>
    <row r="6" spans="1:20">
      <c r="A6" s="292" t="s">
        <v>327</v>
      </c>
      <c r="B6" s="137"/>
      <c r="C6" s="147">
        <v>1360</v>
      </c>
      <c r="D6" s="147">
        <v>1756</v>
      </c>
      <c r="E6" s="147">
        <v>1902</v>
      </c>
      <c r="F6" s="147">
        <v>2344</v>
      </c>
      <c r="G6" s="293">
        <v>2429</v>
      </c>
      <c r="H6" s="1"/>
      <c r="I6" s="1"/>
      <c r="J6" s="1"/>
      <c r="K6" s="1"/>
      <c r="L6" s="1"/>
      <c r="M6" s="1"/>
      <c r="N6" s="1"/>
      <c r="O6" s="1"/>
      <c r="P6" s="1"/>
      <c r="Q6" s="1"/>
      <c r="R6" s="1"/>
      <c r="S6" s="1"/>
      <c r="T6" s="1"/>
    </row>
    <row r="7" spans="1:20">
      <c r="A7" s="292" t="s">
        <v>322</v>
      </c>
      <c r="B7" s="137"/>
      <c r="C7" s="147">
        <f>70+76</f>
        <v>146</v>
      </c>
      <c r="D7" s="147">
        <f>62+78</f>
        <v>140</v>
      </c>
      <c r="E7" s="147">
        <f>+(63+42)</f>
        <v>105</v>
      </c>
      <c r="F7" s="147">
        <f>18+26</f>
        <v>44</v>
      </c>
      <c r="G7" s="293">
        <f>+(24+71)</f>
        <v>95</v>
      </c>
      <c r="H7" s="1"/>
      <c r="I7" s="1"/>
      <c r="J7" s="1"/>
      <c r="K7" s="1"/>
      <c r="L7" s="1"/>
      <c r="M7" s="1"/>
      <c r="N7" s="1"/>
      <c r="O7" s="1"/>
      <c r="P7" s="1"/>
      <c r="Q7" s="1"/>
      <c r="R7" s="1"/>
      <c r="S7" s="1"/>
      <c r="T7" s="1"/>
    </row>
    <row r="8" spans="1:20">
      <c r="A8" s="294" t="s">
        <v>328</v>
      </c>
      <c r="B8" s="295"/>
      <c r="C8" s="152">
        <f>SUM(C5:C7)</f>
        <v>6528</v>
      </c>
      <c r="D8" s="152">
        <f>SUM(D5:D7)</f>
        <v>6922</v>
      </c>
      <c r="E8" s="152">
        <f>E5+E6+E7</f>
        <v>6599</v>
      </c>
      <c r="F8" s="152">
        <f>F5+F6+F7</f>
        <v>7091</v>
      </c>
      <c r="G8" s="296">
        <f>SUM(G5:G7)</f>
        <v>7441</v>
      </c>
      <c r="H8" s="1"/>
      <c r="I8" s="1"/>
      <c r="J8" s="1"/>
      <c r="K8" s="1"/>
      <c r="L8" s="1"/>
      <c r="M8" s="1"/>
      <c r="N8" s="1"/>
      <c r="O8" s="1"/>
      <c r="P8" s="1"/>
      <c r="Q8" s="1"/>
      <c r="R8" s="1"/>
      <c r="S8" s="1"/>
      <c r="T8" s="1"/>
    </row>
    <row r="9" spans="1:20">
      <c r="A9" s="292"/>
      <c r="B9" s="137"/>
      <c r="C9" s="147"/>
      <c r="D9" s="147"/>
      <c r="E9" s="147"/>
      <c r="F9" s="147"/>
      <c r="G9" s="293"/>
      <c r="H9" s="1"/>
      <c r="I9" s="1"/>
      <c r="J9" s="1"/>
      <c r="K9" s="1"/>
      <c r="L9" s="1"/>
      <c r="M9" s="1"/>
      <c r="N9" s="1"/>
      <c r="O9" s="1"/>
      <c r="P9" s="1"/>
      <c r="Q9" s="1"/>
      <c r="R9" s="1"/>
      <c r="S9" s="1"/>
      <c r="T9" s="1"/>
    </row>
    <row r="10" spans="1:20">
      <c r="A10" s="292" t="s">
        <v>317</v>
      </c>
      <c r="B10" s="137"/>
      <c r="C10" s="147">
        <v>98</v>
      </c>
      <c r="D10" s="147">
        <v>118</v>
      </c>
      <c r="E10" s="147">
        <v>80</v>
      </c>
      <c r="F10" s="147">
        <v>119</v>
      </c>
      <c r="G10" s="293">
        <v>104</v>
      </c>
      <c r="H10" s="1"/>
      <c r="I10" s="1"/>
      <c r="J10" s="1"/>
      <c r="K10" s="1"/>
      <c r="L10" s="1"/>
      <c r="M10" s="1"/>
      <c r="N10" s="1"/>
      <c r="O10" s="1"/>
      <c r="P10" s="1"/>
      <c r="Q10" s="1"/>
      <c r="R10" s="1"/>
      <c r="S10" s="1"/>
      <c r="T10" s="1"/>
    </row>
    <row r="11" spans="1:20">
      <c r="A11" s="292" t="s">
        <v>318</v>
      </c>
      <c r="B11" s="137"/>
      <c r="C11" s="147">
        <v>1547</v>
      </c>
      <c r="D11" s="147">
        <v>1878</v>
      </c>
      <c r="E11" s="147">
        <f>+(1826)</f>
        <v>1826</v>
      </c>
      <c r="F11" s="147">
        <v>2077</v>
      </c>
      <c r="G11" s="293">
        <v>2056</v>
      </c>
      <c r="H11" s="1"/>
      <c r="I11" s="1"/>
      <c r="J11" s="1"/>
      <c r="K11" s="1"/>
      <c r="L11" s="1"/>
      <c r="M11" s="1"/>
      <c r="N11" s="1"/>
      <c r="O11" s="1"/>
      <c r="P11" s="1"/>
      <c r="Q11" s="1"/>
      <c r="R11" s="1"/>
      <c r="S11" s="1"/>
      <c r="T11" s="1"/>
    </row>
    <row r="12" spans="1:20">
      <c r="A12" s="292" t="s">
        <v>323</v>
      </c>
      <c r="B12" s="137"/>
      <c r="C12" s="147">
        <v>-1012</v>
      </c>
      <c r="D12" s="147">
        <f>-(1151)</f>
        <v>-1151</v>
      </c>
      <c r="E12" s="147">
        <f>-(1150)</f>
        <v>-1150</v>
      </c>
      <c r="F12" s="147">
        <f>-(1321)</f>
        <v>-1321</v>
      </c>
      <c r="G12" s="293">
        <f>-(1323)</f>
        <v>-1323</v>
      </c>
      <c r="H12" s="1"/>
      <c r="I12" s="1"/>
      <c r="J12" s="1"/>
      <c r="K12" s="1"/>
      <c r="L12" s="1"/>
      <c r="M12" s="1"/>
      <c r="N12" s="1"/>
      <c r="O12" s="1"/>
      <c r="P12" s="1"/>
      <c r="Q12" s="1"/>
      <c r="R12" s="1"/>
      <c r="S12" s="1"/>
      <c r="T12" s="1"/>
    </row>
    <row r="13" spans="1:20">
      <c r="A13" s="297" t="s">
        <v>329</v>
      </c>
      <c r="B13" s="298"/>
      <c r="C13" s="155">
        <f>SUM(C10:C12)</f>
        <v>633</v>
      </c>
      <c r="D13" s="155">
        <f>SUM(D10:D12)</f>
        <v>845</v>
      </c>
      <c r="E13" s="155">
        <f>E10+E11+E12</f>
        <v>756</v>
      </c>
      <c r="F13" s="155">
        <f>F10+F11+F12</f>
        <v>875</v>
      </c>
      <c r="G13" s="299">
        <f>G10+G11+G12</f>
        <v>837</v>
      </c>
      <c r="H13" s="1"/>
      <c r="I13" s="1"/>
      <c r="J13" s="1"/>
      <c r="K13" s="1"/>
      <c r="L13" s="1"/>
      <c r="M13" s="1"/>
      <c r="N13" s="1"/>
      <c r="O13" s="1"/>
      <c r="P13" s="1"/>
      <c r="Q13" s="1"/>
      <c r="R13" s="1"/>
      <c r="S13" s="1"/>
      <c r="T13" s="1"/>
    </row>
    <row r="14" spans="1:20">
      <c r="A14" s="300"/>
      <c r="B14" s="136"/>
      <c r="C14" s="147"/>
      <c r="D14" s="147"/>
      <c r="E14" s="147"/>
      <c r="F14" s="147"/>
      <c r="G14" s="301"/>
      <c r="H14" s="1"/>
      <c r="I14" s="1"/>
      <c r="J14" s="1"/>
      <c r="K14" s="1"/>
      <c r="L14" s="1"/>
      <c r="M14" s="1"/>
      <c r="N14" s="1"/>
      <c r="O14" s="1"/>
      <c r="P14" s="1"/>
      <c r="Q14" s="1"/>
      <c r="R14" s="1"/>
      <c r="S14" s="1"/>
      <c r="T14" s="1"/>
    </row>
    <row r="15" spans="1:20">
      <c r="A15" s="302" t="s">
        <v>454</v>
      </c>
      <c r="B15" s="137"/>
      <c r="C15" s="147"/>
      <c r="D15" s="147"/>
      <c r="E15" s="147"/>
      <c r="F15" s="147"/>
      <c r="G15" s="293"/>
      <c r="H15" s="284"/>
      <c r="I15" s="284"/>
      <c r="J15" s="52"/>
      <c r="K15" s="284"/>
      <c r="L15" s="284"/>
      <c r="M15" s="52"/>
      <c r="N15" s="1"/>
      <c r="O15" s="1"/>
      <c r="P15" s="1"/>
      <c r="Q15" s="1"/>
      <c r="R15" s="1"/>
      <c r="S15" s="1"/>
      <c r="T15" s="1"/>
    </row>
    <row r="16" spans="1:20">
      <c r="A16" s="292" t="s">
        <v>319</v>
      </c>
      <c r="B16" s="137"/>
      <c r="C16" s="147">
        <v>335</v>
      </c>
      <c r="D16" s="147">
        <v>248</v>
      </c>
      <c r="E16" s="147">
        <v>201</v>
      </c>
      <c r="F16" s="147">
        <v>391</v>
      </c>
      <c r="G16" s="293">
        <v>946</v>
      </c>
      <c r="H16" s="52"/>
      <c r="I16" s="52"/>
      <c r="J16" s="52"/>
      <c r="K16" s="52"/>
      <c r="L16" s="52"/>
      <c r="M16" s="52"/>
      <c r="N16" s="52"/>
      <c r="O16" s="52"/>
      <c r="P16" s="52"/>
      <c r="Q16" s="52"/>
      <c r="R16" s="52"/>
      <c r="S16" s="52"/>
      <c r="T16" s="52"/>
    </row>
    <row r="17" spans="1:20">
      <c r="A17" s="292" t="s">
        <v>320</v>
      </c>
      <c r="B17" s="137"/>
      <c r="C17" s="147">
        <v>233</v>
      </c>
      <c r="D17" s="147">
        <v>200</v>
      </c>
      <c r="E17" s="147">
        <f>+(7)</f>
        <v>7</v>
      </c>
      <c r="F17" s="147">
        <v>11</v>
      </c>
      <c r="G17" s="293">
        <v>13</v>
      </c>
      <c r="H17" s="52"/>
      <c r="I17" s="52"/>
      <c r="J17" s="52"/>
      <c r="K17" s="52"/>
      <c r="L17" s="52"/>
      <c r="M17" s="52"/>
      <c r="N17" s="52"/>
      <c r="O17" s="52"/>
      <c r="P17" s="52"/>
      <c r="Q17" s="52"/>
      <c r="R17" s="52"/>
      <c r="S17" s="52"/>
      <c r="T17" s="52"/>
    </row>
    <row r="18" spans="1:20" ht="12.6" customHeight="1">
      <c r="A18" s="303" t="s">
        <v>31</v>
      </c>
      <c r="B18" s="149"/>
      <c r="C18" s="147">
        <v>6</v>
      </c>
      <c r="D18" s="147">
        <v>22</v>
      </c>
      <c r="E18" s="147">
        <v>8</v>
      </c>
      <c r="F18" s="147">
        <v>22</v>
      </c>
      <c r="G18" s="293">
        <v>28</v>
      </c>
      <c r="H18" s="52"/>
      <c r="I18" s="52"/>
      <c r="J18" s="52"/>
      <c r="K18" s="52"/>
      <c r="L18" s="52"/>
      <c r="M18" s="52"/>
      <c r="N18" s="52"/>
      <c r="O18" s="52"/>
      <c r="P18" s="52"/>
      <c r="Q18" s="52"/>
      <c r="R18" s="52"/>
      <c r="S18" s="52"/>
      <c r="T18" s="52"/>
    </row>
    <row r="19" spans="1:20">
      <c r="A19" s="292" t="s">
        <v>75</v>
      </c>
      <c r="B19" s="137"/>
      <c r="C19" s="147">
        <v>69</v>
      </c>
      <c r="D19" s="147">
        <v>70</v>
      </c>
      <c r="E19" s="147">
        <v>67</v>
      </c>
      <c r="F19" s="147">
        <v>49</v>
      </c>
      <c r="G19" s="301">
        <v>51</v>
      </c>
      <c r="H19" s="52"/>
      <c r="I19" s="52"/>
      <c r="J19" s="52"/>
      <c r="K19" s="52"/>
      <c r="L19" s="52"/>
      <c r="M19" s="52"/>
      <c r="N19" s="52"/>
      <c r="O19" s="52"/>
      <c r="P19" s="52"/>
      <c r="Q19" s="52"/>
      <c r="R19" s="52"/>
      <c r="S19" s="52"/>
      <c r="T19" s="52"/>
    </row>
    <row r="20" spans="1:20" ht="15" customHeight="1">
      <c r="A20" s="303" t="s">
        <v>321</v>
      </c>
      <c r="B20" s="137"/>
      <c r="C20" s="147">
        <v>2</v>
      </c>
      <c r="D20" s="147">
        <f>+(2)</f>
        <v>2</v>
      </c>
      <c r="E20" s="147">
        <v>226</v>
      </c>
      <c r="F20" s="147">
        <v>110</v>
      </c>
      <c r="G20" s="293">
        <v>0</v>
      </c>
      <c r="H20" s="52"/>
      <c r="I20" s="52"/>
      <c r="J20" s="52"/>
      <c r="K20" s="52"/>
      <c r="L20" s="52"/>
      <c r="M20" s="52"/>
      <c r="N20" s="52"/>
      <c r="O20" s="52"/>
      <c r="P20" s="52"/>
      <c r="Q20" s="52"/>
      <c r="R20" s="52"/>
      <c r="S20" s="52"/>
      <c r="T20" s="52"/>
    </row>
    <row r="21" spans="1:20">
      <c r="A21" s="302" t="s">
        <v>341</v>
      </c>
      <c r="B21" s="137"/>
      <c r="C21" s="147"/>
      <c r="D21" s="147"/>
      <c r="E21" s="147"/>
      <c r="F21" s="147"/>
      <c r="G21" s="304"/>
      <c r="H21" s="52"/>
      <c r="I21" s="52"/>
      <c r="J21" s="52"/>
      <c r="K21" s="52"/>
      <c r="L21" s="52"/>
      <c r="M21" s="52"/>
      <c r="N21" s="52"/>
      <c r="O21" s="52"/>
      <c r="P21" s="52"/>
      <c r="Q21" s="52"/>
      <c r="R21" s="52"/>
      <c r="S21" s="52"/>
      <c r="T21" s="52"/>
    </row>
    <row r="22" spans="1:20">
      <c r="A22" s="292" t="s">
        <v>120</v>
      </c>
      <c r="B22" s="137"/>
      <c r="C22" s="147">
        <v>-95</v>
      </c>
      <c r="D22" s="147">
        <v>-109</v>
      </c>
      <c r="E22" s="147">
        <f>-(154)</f>
        <v>-154</v>
      </c>
      <c r="F22" s="147">
        <v>-151</v>
      </c>
      <c r="G22" s="293">
        <f>-(154)</f>
        <v>-154</v>
      </c>
      <c r="H22" s="52"/>
      <c r="I22" s="52"/>
      <c r="J22" s="52"/>
      <c r="K22" s="52"/>
      <c r="L22" s="52"/>
      <c r="M22" s="52"/>
      <c r="N22" s="52"/>
      <c r="O22" s="52"/>
      <c r="P22" s="52"/>
      <c r="Q22" s="52"/>
      <c r="R22" s="52"/>
      <c r="S22" s="52"/>
      <c r="T22" s="52"/>
    </row>
    <row r="23" spans="1:20">
      <c r="A23" s="292" t="s">
        <v>153</v>
      </c>
      <c r="B23" s="137"/>
      <c r="C23" s="147">
        <v>-85</v>
      </c>
      <c r="D23" s="147">
        <f>-(103)</f>
        <v>-103</v>
      </c>
      <c r="E23" s="147">
        <f>-(41)</f>
        <v>-41</v>
      </c>
      <c r="F23" s="147">
        <v>-91</v>
      </c>
      <c r="G23" s="293">
        <f>-(53)</f>
        <v>-53</v>
      </c>
      <c r="H23" s="52"/>
      <c r="I23" s="52"/>
      <c r="J23" s="52"/>
      <c r="K23" s="52"/>
      <c r="L23" s="52"/>
      <c r="M23" s="52"/>
      <c r="N23" s="52"/>
      <c r="O23" s="52"/>
      <c r="P23" s="52"/>
      <c r="Q23" s="52"/>
      <c r="R23" s="52"/>
      <c r="S23" s="52"/>
      <c r="T23" s="52"/>
    </row>
    <row r="24" spans="1:20">
      <c r="A24" s="292" t="s">
        <v>324</v>
      </c>
      <c r="B24" s="137"/>
      <c r="C24" s="147">
        <v>-707</v>
      </c>
      <c r="D24" s="147">
        <f>-(681)</f>
        <v>-681</v>
      </c>
      <c r="E24" s="147">
        <f>-(632)</f>
        <v>-632</v>
      </c>
      <c r="F24" s="147">
        <v>-882</v>
      </c>
      <c r="G24" s="293">
        <f>-(1352)</f>
        <v>-1352</v>
      </c>
      <c r="H24" s="52"/>
      <c r="I24" s="52"/>
      <c r="J24" s="52"/>
      <c r="K24" s="52"/>
      <c r="L24" s="52"/>
      <c r="M24" s="52"/>
      <c r="N24" s="52"/>
      <c r="O24" s="52"/>
      <c r="P24" s="52"/>
      <c r="Q24" s="52"/>
      <c r="R24" s="52"/>
      <c r="S24" s="52"/>
      <c r="T24" s="52"/>
    </row>
    <row r="25" spans="1:20">
      <c r="A25" s="292" t="s">
        <v>375</v>
      </c>
      <c r="B25" s="137"/>
      <c r="C25" s="147">
        <v>0</v>
      </c>
      <c r="D25" s="147">
        <f>-(2)</f>
        <v>-2</v>
      </c>
      <c r="E25" s="147">
        <v>0</v>
      </c>
      <c r="F25" s="147">
        <v>0</v>
      </c>
      <c r="G25" s="293">
        <v>0</v>
      </c>
      <c r="H25" s="52"/>
      <c r="I25" s="52"/>
      <c r="J25" s="52"/>
      <c r="K25" s="52"/>
      <c r="L25" s="52"/>
      <c r="M25" s="52"/>
      <c r="N25" s="52"/>
      <c r="O25" s="52"/>
      <c r="P25" s="52"/>
      <c r="Q25" s="52"/>
      <c r="R25" s="52"/>
      <c r="S25" s="52"/>
      <c r="T25" s="52"/>
    </row>
    <row r="26" spans="1:20">
      <c r="A26" s="294" t="s">
        <v>330</v>
      </c>
      <c r="B26" s="295"/>
      <c r="C26" s="152">
        <f>C13+SUM(C16:C25)</f>
        <v>391</v>
      </c>
      <c r="D26" s="152">
        <f>D13+SUM(D16:D25)</f>
        <v>492</v>
      </c>
      <c r="E26" s="152">
        <f>E13+E16+E17+E18+E19+E20+E22+E23+E24+E25</f>
        <v>438</v>
      </c>
      <c r="F26" s="152">
        <f>F13+F16+F17+F18+F19+F20+F22+F23+F24</f>
        <v>334</v>
      </c>
      <c r="G26" s="305">
        <f>G13+G16+G17+G18+G19+G20+G22+G23+G24+G25</f>
        <v>316</v>
      </c>
      <c r="H26" s="52"/>
      <c r="I26" s="52"/>
      <c r="J26" s="52"/>
      <c r="K26" s="52"/>
      <c r="L26" s="52"/>
      <c r="M26" s="52"/>
      <c r="N26" s="52"/>
      <c r="O26" s="52"/>
      <c r="P26" s="52"/>
      <c r="Q26" s="52"/>
      <c r="R26" s="52"/>
      <c r="S26" s="52"/>
      <c r="T26" s="52"/>
    </row>
    <row r="27" spans="1:20">
      <c r="A27" s="292"/>
      <c r="B27" s="137"/>
      <c r="C27" s="147"/>
      <c r="D27" s="147"/>
      <c r="E27" s="147"/>
      <c r="F27" s="147"/>
      <c r="G27" s="293"/>
      <c r="H27" s="52"/>
      <c r="I27" s="52"/>
      <c r="J27" s="52"/>
      <c r="K27" s="52"/>
      <c r="L27" s="52"/>
      <c r="M27" s="52"/>
      <c r="N27" s="52"/>
      <c r="O27" s="52"/>
      <c r="P27" s="52"/>
      <c r="Q27" s="52"/>
      <c r="R27" s="52"/>
      <c r="S27" s="52"/>
      <c r="T27" s="52"/>
    </row>
    <row r="28" spans="1:20">
      <c r="A28" s="292" t="s">
        <v>374</v>
      </c>
      <c r="B28" s="137"/>
      <c r="C28" s="147">
        <v>305</v>
      </c>
      <c r="D28" s="147">
        <f>+(357)</f>
        <v>357</v>
      </c>
      <c r="E28" s="147">
        <f>+(295)</f>
        <v>295</v>
      </c>
      <c r="F28" s="147">
        <v>274</v>
      </c>
      <c r="G28" s="293">
        <f>+(286)</f>
        <v>286</v>
      </c>
      <c r="H28" s="52"/>
      <c r="I28" s="52"/>
      <c r="J28" s="52"/>
      <c r="K28" s="52"/>
      <c r="L28" s="52"/>
      <c r="M28" s="52"/>
      <c r="N28" s="52"/>
      <c r="O28" s="52"/>
      <c r="P28" s="52"/>
      <c r="Q28" s="52"/>
      <c r="R28" s="52"/>
      <c r="S28" s="52"/>
      <c r="T28" s="52"/>
    </row>
    <row r="29" spans="1:20">
      <c r="A29" s="292" t="s">
        <v>113</v>
      </c>
      <c r="B29" s="137"/>
      <c r="C29" s="147">
        <v>-327</v>
      </c>
      <c r="D29" s="147">
        <f>-(359)</f>
        <v>-359</v>
      </c>
      <c r="E29" s="147">
        <f>-(315)</f>
        <v>-315</v>
      </c>
      <c r="F29" s="147">
        <v>-311</v>
      </c>
      <c r="G29" s="293">
        <f>-(300)</f>
        <v>-300</v>
      </c>
      <c r="H29" s="52"/>
      <c r="I29" s="52"/>
      <c r="J29" s="52"/>
      <c r="K29" s="52"/>
      <c r="L29" s="52"/>
      <c r="M29" s="52"/>
      <c r="N29" s="52"/>
      <c r="O29" s="52"/>
      <c r="P29" s="52"/>
      <c r="Q29" s="52"/>
      <c r="R29" s="52"/>
      <c r="S29" s="52"/>
      <c r="T29" s="52"/>
    </row>
    <row r="30" spans="1:20">
      <c r="A30" s="292" t="s">
        <v>325</v>
      </c>
      <c r="B30" s="137"/>
      <c r="C30" s="147">
        <f>-(604)</f>
        <v>-604</v>
      </c>
      <c r="D30" s="147">
        <f>-(666)</f>
        <v>-666</v>
      </c>
      <c r="E30" s="147">
        <f>-(626)</f>
        <v>-626</v>
      </c>
      <c r="F30" s="147">
        <f>-(637)</f>
        <v>-637</v>
      </c>
      <c r="G30" s="293">
        <f>-(668)</f>
        <v>-668</v>
      </c>
      <c r="H30" s="1"/>
      <c r="I30" s="1"/>
      <c r="J30" s="1"/>
      <c r="K30" s="1"/>
      <c r="L30" s="1"/>
      <c r="M30" s="1"/>
      <c r="N30" s="1"/>
      <c r="O30" s="1"/>
      <c r="P30" s="1"/>
      <c r="Q30" s="1"/>
      <c r="R30" s="1"/>
      <c r="S30" s="1"/>
      <c r="T30" s="1"/>
    </row>
    <row r="31" spans="1:20">
      <c r="A31" s="306" t="s">
        <v>331</v>
      </c>
      <c r="B31" s="307"/>
      <c r="C31" s="151">
        <f>C8+C26+SUM(C28:C30)</f>
        <v>6293</v>
      </c>
      <c r="D31" s="151">
        <f>D8+D26+D28+D29+D30</f>
        <v>6746</v>
      </c>
      <c r="E31" s="151">
        <f>E8+E26+E28+E29+E30</f>
        <v>6391</v>
      </c>
      <c r="F31" s="151">
        <f>F8+F26+F28+F29+F30</f>
        <v>6751</v>
      </c>
      <c r="G31" s="308">
        <f>G8+G26+G28+G29+G30</f>
        <v>7075</v>
      </c>
      <c r="H31" s="1"/>
      <c r="I31" s="1"/>
      <c r="J31" s="1"/>
      <c r="K31" s="1"/>
      <c r="L31" s="1"/>
      <c r="M31" s="1"/>
      <c r="N31" s="1"/>
      <c r="O31" s="1"/>
      <c r="P31" s="1"/>
      <c r="Q31" s="1"/>
      <c r="R31" s="1"/>
      <c r="S31" s="1"/>
      <c r="T31" s="1"/>
    </row>
    <row r="32" spans="1:20">
      <c r="A32" s="292"/>
      <c r="B32" s="137"/>
      <c r="C32" s="147"/>
      <c r="D32" s="139"/>
      <c r="E32" s="139"/>
      <c r="F32" s="139"/>
      <c r="G32" s="293"/>
      <c r="H32" s="1"/>
      <c r="I32" s="1"/>
      <c r="J32" s="1"/>
      <c r="K32" s="1"/>
      <c r="L32" s="1"/>
      <c r="M32" s="1"/>
      <c r="N32" s="1"/>
      <c r="O32" s="1"/>
      <c r="P32" s="1"/>
      <c r="Q32" s="1"/>
      <c r="R32" s="1"/>
      <c r="S32" s="1"/>
      <c r="T32" s="1"/>
    </row>
    <row r="33" spans="1:22">
      <c r="A33" s="292"/>
      <c r="B33" s="137"/>
      <c r="C33" s="147"/>
      <c r="D33" s="139"/>
      <c r="E33" s="139"/>
      <c r="F33" s="139"/>
      <c r="G33" s="293"/>
      <c r="H33" s="1"/>
      <c r="I33" s="1"/>
      <c r="J33" s="1"/>
      <c r="K33" s="1"/>
      <c r="L33" s="1"/>
      <c r="M33" s="1"/>
      <c r="N33" s="1"/>
      <c r="O33" s="1"/>
      <c r="P33" s="1"/>
      <c r="Q33" s="1"/>
      <c r="R33" s="1"/>
      <c r="S33" s="1"/>
      <c r="T33" s="1"/>
    </row>
    <row r="34" spans="1:22">
      <c r="A34" s="292"/>
      <c r="B34" s="137"/>
      <c r="C34" s="147"/>
      <c r="D34" s="139"/>
      <c r="E34" s="139"/>
      <c r="F34" s="139"/>
      <c r="G34" s="293"/>
      <c r="H34" s="1"/>
      <c r="I34" s="1"/>
      <c r="J34" s="1"/>
      <c r="K34" s="1"/>
      <c r="L34" s="1"/>
      <c r="M34" s="1"/>
      <c r="N34" s="1"/>
      <c r="O34" s="1"/>
      <c r="P34" s="1"/>
      <c r="Q34" s="1"/>
      <c r="R34" s="1"/>
      <c r="S34" s="1"/>
      <c r="T34" s="1"/>
    </row>
    <row r="35" spans="1:22">
      <c r="A35" s="309" t="s">
        <v>338</v>
      </c>
      <c r="B35" s="310"/>
      <c r="C35" s="152">
        <v>-3132</v>
      </c>
      <c r="D35" s="152">
        <f>-(3462)</f>
        <v>-3462</v>
      </c>
      <c r="E35" s="152">
        <f>-(3191)</f>
        <v>-3191</v>
      </c>
      <c r="F35" s="152">
        <f>-(3614)</f>
        <v>-3614</v>
      </c>
      <c r="G35" s="296">
        <f>-(3746)</f>
        <v>-3746</v>
      </c>
      <c r="H35" s="1"/>
      <c r="I35" s="1"/>
      <c r="J35" s="1"/>
      <c r="K35" s="1"/>
      <c r="L35" s="1"/>
      <c r="M35" s="1"/>
      <c r="N35" s="1"/>
      <c r="O35" s="1"/>
      <c r="P35" s="1"/>
      <c r="Q35" s="1"/>
      <c r="R35" s="1"/>
      <c r="S35" s="1"/>
      <c r="T35" s="1"/>
    </row>
    <row r="36" spans="1:22">
      <c r="A36" s="292"/>
      <c r="B36" s="137"/>
      <c r="C36" s="147"/>
      <c r="D36" s="147"/>
      <c r="E36" s="147"/>
      <c r="F36" s="147"/>
      <c r="G36" s="293"/>
      <c r="H36" s="1"/>
      <c r="I36" s="1"/>
      <c r="J36" s="1"/>
      <c r="K36" s="1"/>
      <c r="L36" s="1"/>
      <c r="M36" s="1"/>
      <c r="N36" s="1"/>
      <c r="O36" s="1"/>
      <c r="P36" s="1"/>
      <c r="Q36" s="1"/>
      <c r="R36" s="1"/>
      <c r="S36" s="1"/>
      <c r="T36" s="1"/>
    </row>
    <row r="37" spans="1:22">
      <c r="A37" s="292" t="s">
        <v>105</v>
      </c>
      <c r="B37" s="137"/>
      <c r="C37" s="147">
        <v>-3090</v>
      </c>
      <c r="D37" s="147">
        <f>-(3730)</f>
        <v>-3730</v>
      </c>
      <c r="E37" s="147">
        <f>-(3515)</f>
        <v>-3515</v>
      </c>
      <c r="F37" s="147">
        <f>-(3074)</f>
        <v>-3074</v>
      </c>
      <c r="G37" s="293">
        <f>-(3052)</f>
        <v>-3052</v>
      </c>
      <c r="H37" s="1"/>
      <c r="I37" s="1"/>
      <c r="J37" s="1"/>
      <c r="K37" s="1"/>
      <c r="L37" s="1"/>
      <c r="M37" s="1"/>
      <c r="N37" s="1"/>
      <c r="O37" s="1"/>
      <c r="P37" s="1"/>
      <c r="Q37" s="1"/>
      <c r="R37" s="1"/>
      <c r="S37" s="1"/>
      <c r="T37" s="1"/>
    </row>
    <row r="38" spans="1:22">
      <c r="A38" s="292" t="s">
        <v>150</v>
      </c>
      <c r="B38" s="137"/>
      <c r="C38" s="147">
        <v>-630</v>
      </c>
      <c r="D38" s="147">
        <f>-(243)</f>
        <v>-243</v>
      </c>
      <c r="E38" s="147">
        <f>-(411)</f>
        <v>-411</v>
      </c>
      <c r="F38" s="147">
        <f>-(667)</f>
        <v>-667</v>
      </c>
      <c r="G38" s="293">
        <f>-(584)</f>
        <v>-584</v>
      </c>
      <c r="H38" s="1"/>
      <c r="I38" s="1"/>
      <c r="J38" s="1"/>
      <c r="K38" s="1"/>
      <c r="L38" s="1"/>
      <c r="M38" s="1"/>
      <c r="N38" s="1"/>
      <c r="O38" s="1"/>
      <c r="P38" s="1"/>
      <c r="Q38" s="1"/>
      <c r="R38" s="1"/>
      <c r="S38" s="1"/>
      <c r="T38" s="1"/>
    </row>
    <row r="39" spans="1:22">
      <c r="A39" s="311" t="s">
        <v>337</v>
      </c>
      <c r="B39" s="312"/>
      <c r="C39" s="155">
        <f>C37+C38</f>
        <v>-3720</v>
      </c>
      <c r="D39" s="155">
        <f>D37+D38</f>
        <v>-3973</v>
      </c>
      <c r="E39" s="155">
        <f>E37+E38</f>
        <v>-3926</v>
      </c>
      <c r="F39" s="155">
        <f>F37+F38</f>
        <v>-3741</v>
      </c>
      <c r="G39" s="313">
        <f>G37+G38</f>
        <v>-3636</v>
      </c>
      <c r="H39" s="1"/>
      <c r="I39" s="1"/>
      <c r="J39" s="1"/>
      <c r="K39" s="1"/>
      <c r="L39" s="1"/>
      <c r="M39" s="1"/>
      <c r="N39" s="1"/>
      <c r="O39" s="1"/>
      <c r="P39" s="1"/>
      <c r="Q39" s="1"/>
      <c r="R39" s="1"/>
      <c r="S39" s="1"/>
      <c r="T39" s="1"/>
    </row>
    <row r="40" spans="1:22">
      <c r="A40" s="302"/>
      <c r="B40" s="138"/>
      <c r="C40" s="147"/>
      <c r="D40" s="147"/>
      <c r="E40" s="147"/>
      <c r="F40" s="147"/>
      <c r="G40" s="314"/>
      <c r="H40" s="1"/>
      <c r="I40" s="1"/>
      <c r="J40" s="1"/>
      <c r="K40" s="1"/>
      <c r="L40" s="1"/>
      <c r="M40" s="1"/>
      <c r="N40" s="1"/>
      <c r="O40" s="1"/>
      <c r="P40" s="1"/>
      <c r="Q40" s="1"/>
      <c r="R40" s="1"/>
      <c r="S40" s="1"/>
      <c r="T40" s="1"/>
    </row>
    <row r="41" spans="1:22">
      <c r="A41" s="292" t="s">
        <v>77</v>
      </c>
      <c r="B41" s="137"/>
      <c r="C41" s="147">
        <v>559</v>
      </c>
      <c r="D41" s="147">
        <f>+(689)</f>
        <v>689</v>
      </c>
      <c r="E41" s="147">
        <v>726</v>
      </c>
      <c r="F41" s="147">
        <v>604</v>
      </c>
      <c r="G41" s="293">
        <f>+(307)</f>
        <v>307</v>
      </c>
      <c r="H41" s="1"/>
      <c r="I41" s="1"/>
      <c r="J41" s="1"/>
      <c r="K41" s="1"/>
      <c r="L41" s="1"/>
      <c r="M41" s="1"/>
      <c r="N41" s="1"/>
      <c r="O41" s="1"/>
      <c r="P41" s="1"/>
      <c r="Q41" s="1"/>
      <c r="R41" s="1"/>
      <c r="S41" s="1"/>
      <c r="T41" s="1"/>
    </row>
    <row r="42" spans="1:22">
      <c r="A42" s="294" t="s">
        <v>332</v>
      </c>
      <c r="B42" s="295"/>
      <c r="C42" s="152">
        <f>C39+C41</f>
        <v>-3161</v>
      </c>
      <c r="D42" s="152">
        <f>D39+D41</f>
        <v>-3284</v>
      </c>
      <c r="E42" s="152">
        <f>E39+E41</f>
        <v>-3200</v>
      </c>
      <c r="F42" s="152">
        <f>F39+F41</f>
        <v>-3137</v>
      </c>
      <c r="G42" s="296">
        <f>G39+G41</f>
        <v>-3329</v>
      </c>
      <c r="H42" s="1"/>
      <c r="I42" s="1"/>
      <c r="J42" s="1"/>
      <c r="K42" s="1"/>
      <c r="L42" s="1"/>
      <c r="M42" s="1"/>
      <c r="N42" s="1"/>
      <c r="O42" s="1"/>
      <c r="P42" s="1"/>
      <c r="Q42" s="1"/>
      <c r="R42" s="1"/>
      <c r="S42" s="1"/>
      <c r="T42" s="1"/>
    </row>
    <row r="43" spans="1:22">
      <c r="A43" s="292"/>
      <c r="B43" s="137"/>
      <c r="C43" s="147"/>
      <c r="D43" s="147"/>
      <c r="E43" s="147"/>
      <c r="F43" s="147"/>
      <c r="G43" s="293"/>
      <c r="H43" s="1"/>
      <c r="I43" s="1"/>
      <c r="J43" s="1"/>
      <c r="K43" s="1"/>
      <c r="L43" s="1"/>
      <c r="M43" s="1"/>
      <c r="N43" s="1"/>
      <c r="O43" s="1"/>
      <c r="P43" s="1"/>
      <c r="Q43" s="1"/>
      <c r="R43" s="1"/>
      <c r="S43" s="1"/>
      <c r="T43" s="1"/>
    </row>
    <row r="44" spans="1:22" ht="15" thickBot="1">
      <c r="A44" s="315" t="s">
        <v>331</v>
      </c>
      <c r="B44" s="316"/>
      <c r="C44" s="317">
        <f>C35+C42</f>
        <v>-6293</v>
      </c>
      <c r="D44" s="317">
        <f>D35+D42</f>
        <v>-6746</v>
      </c>
      <c r="E44" s="317">
        <f>E35+E42</f>
        <v>-6391</v>
      </c>
      <c r="F44" s="317">
        <f>F35+F42</f>
        <v>-6751</v>
      </c>
      <c r="G44" s="318">
        <f>G35+G42</f>
        <v>-7075</v>
      </c>
      <c r="H44" s="1"/>
      <c r="I44" s="1"/>
      <c r="J44" s="1"/>
      <c r="K44" s="1"/>
      <c r="L44" s="1"/>
      <c r="M44" s="1"/>
      <c r="N44" s="1"/>
      <c r="O44" s="1"/>
      <c r="P44" s="1"/>
      <c r="Q44" s="1"/>
      <c r="R44" s="1"/>
      <c r="S44" s="1"/>
      <c r="T44" s="1"/>
    </row>
    <row r="45" spans="1:22">
      <c r="A45" s="1"/>
      <c r="B45" s="1"/>
      <c r="C45" s="1"/>
      <c r="D45" s="1"/>
      <c r="E45" s="1"/>
      <c r="F45" s="1"/>
      <c r="G45" s="1"/>
      <c r="H45" s="1"/>
      <c r="I45" s="1"/>
      <c r="J45" s="1"/>
      <c r="K45" s="1"/>
      <c r="L45" s="1"/>
      <c r="M45" s="1"/>
      <c r="N45" s="1"/>
      <c r="O45" s="1"/>
      <c r="P45" s="1"/>
      <c r="Q45" s="1"/>
      <c r="R45" s="1"/>
      <c r="S45" s="1"/>
      <c r="T45" s="1"/>
    </row>
    <row r="46" spans="1:22">
      <c r="A46" s="287" t="s">
        <v>455</v>
      </c>
      <c r="B46" s="287"/>
      <c r="C46" s="287" t="str">
        <f t="shared" ref="C46:F46" si="0">IF(C31+C44=0,"Correct","Incorrect")</f>
        <v>Correct</v>
      </c>
      <c r="D46" s="287" t="str">
        <f t="shared" si="0"/>
        <v>Correct</v>
      </c>
      <c r="E46" s="287" t="str">
        <f t="shared" si="0"/>
        <v>Correct</v>
      </c>
      <c r="F46" s="287" t="str">
        <f t="shared" si="0"/>
        <v>Correct</v>
      </c>
      <c r="G46" s="287" t="str">
        <f>IF(G31+G44=0,"Correct","Incorrect")</f>
        <v>Correct</v>
      </c>
      <c r="H46" s="1"/>
      <c r="I46" s="1"/>
      <c r="J46" s="1"/>
      <c r="K46" s="1"/>
      <c r="L46" s="1"/>
      <c r="M46" s="1"/>
      <c r="N46" s="1"/>
      <c r="O46" s="1"/>
      <c r="P46" s="1"/>
      <c r="Q46" s="1"/>
      <c r="R46" s="1"/>
      <c r="S46" s="1"/>
      <c r="T46" s="1"/>
    </row>
    <row r="47" spans="1:22" ht="15" thickBot="1">
      <c r="A47" s="1"/>
      <c r="B47" s="1"/>
      <c r="C47" s="1"/>
      <c r="D47" s="1"/>
      <c r="E47" s="1"/>
      <c r="F47" s="1"/>
      <c r="G47" s="1"/>
      <c r="H47" s="1"/>
      <c r="I47" s="1"/>
      <c r="J47" s="1"/>
      <c r="K47" s="1"/>
      <c r="L47" s="1"/>
      <c r="M47" s="1"/>
      <c r="N47" s="1"/>
      <c r="O47" s="1"/>
      <c r="P47" s="1"/>
      <c r="Q47" s="1"/>
      <c r="R47" s="1"/>
      <c r="S47" s="1"/>
      <c r="T47" s="1"/>
    </row>
    <row r="48" spans="1:22" ht="24.6">
      <c r="A48" s="319" t="s">
        <v>537</v>
      </c>
      <c r="B48" s="320"/>
      <c r="C48" s="320"/>
      <c r="D48" s="320"/>
      <c r="E48" s="320"/>
      <c r="F48" s="320"/>
      <c r="G48" s="321"/>
      <c r="H48" s="52"/>
      <c r="I48" s="52"/>
      <c r="J48" s="52"/>
      <c r="K48" s="52"/>
      <c r="L48" s="52"/>
      <c r="M48" s="52"/>
      <c r="N48" s="52"/>
      <c r="O48" s="52"/>
      <c r="P48" s="52"/>
      <c r="Q48" s="52"/>
      <c r="R48" s="52"/>
      <c r="S48" s="52"/>
      <c r="T48" s="52"/>
      <c r="U48" s="276"/>
      <c r="V48" s="276"/>
    </row>
    <row r="49" spans="1:22">
      <c r="A49" s="322"/>
      <c r="B49" s="107"/>
      <c r="C49" s="918" t="s">
        <v>163</v>
      </c>
      <c r="D49" s="918"/>
      <c r="E49" s="918"/>
      <c r="F49" s="918"/>
      <c r="G49" s="919"/>
      <c r="H49" s="52"/>
      <c r="I49" s="52"/>
      <c r="J49" s="52"/>
      <c r="K49" s="52"/>
      <c r="L49" s="52"/>
      <c r="M49" s="52"/>
      <c r="N49" s="52"/>
      <c r="O49" s="52"/>
      <c r="P49" s="52"/>
      <c r="Q49" s="52"/>
      <c r="R49" s="52"/>
      <c r="S49" s="52"/>
      <c r="T49" s="52"/>
      <c r="U49" s="276"/>
      <c r="V49" s="276"/>
    </row>
    <row r="50" spans="1:22">
      <c r="A50" s="323"/>
      <c r="B50" s="121" t="s">
        <v>1</v>
      </c>
      <c r="C50" s="108" t="s">
        <v>444</v>
      </c>
      <c r="D50" s="285" t="s">
        <v>445</v>
      </c>
      <c r="E50" s="285" t="s">
        <v>446</v>
      </c>
      <c r="F50" s="285" t="s">
        <v>447</v>
      </c>
      <c r="G50" s="324" t="s">
        <v>448</v>
      </c>
      <c r="H50" s="52"/>
      <c r="I50" s="52"/>
      <c r="J50" s="52"/>
      <c r="K50" s="52"/>
      <c r="L50" s="52"/>
      <c r="M50" s="52"/>
      <c r="N50" s="52"/>
      <c r="O50" s="52"/>
      <c r="P50" s="52"/>
      <c r="Q50" s="52"/>
      <c r="R50" s="52"/>
      <c r="S50" s="52"/>
      <c r="T50" s="52"/>
      <c r="U50" s="276"/>
      <c r="V50" s="276"/>
    </row>
    <row r="51" spans="1:22">
      <c r="A51" s="325"/>
      <c r="B51" s="166"/>
      <c r="C51" s="172"/>
      <c r="D51" s="173"/>
      <c r="E51" s="173"/>
      <c r="F51" s="173"/>
      <c r="G51" s="616"/>
      <c r="H51" s="52"/>
      <c r="I51" s="52"/>
      <c r="J51" s="52"/>
      <c r="K51" s="52"/>
      <c r="L51" s="52"/>
      <c r="M51" s="52"/>
      <c r="N51" s="52"/>
      <c r="O51" s="52"/>
      <c r="P51" s="52"/>
      <c r="Q51" s="52"/>
      <c r="R51" s="52"/>
      <c r="S51" s="52"/>
      <c r="T51" s="52"/>
      <c r="U51" s="276"/>
      <c r="V51" s="276"/>
    </row>
    <row r="52" spans="1:22">
      <c r="A52" s="291" t="s">
        <v>343</v>
      </c>
      <c r="B52" s="166"/>
      <c r="C52" s="146">
        <f>(1287-1379) + 'Reorganised Statements'!D52</f>
        <v>4829</v>
      </c>
      <c r="D52" s="141">
        <f>(1812-1622) + 'Reorganised Statements'!E52</f>
        <v>5050</v>
      </c>
      <c r="E52" s="141">
        <f>(1812-1622) + 'Reorganised Statements'!F52</f>
        <v>5986</v>
      </c>
      <c r="F52" s="141">
        <f>(2119-1812) + 'Reorganised Statements'!G52</f>
        <v>6801</v>
      </c>
      <c r="G52" s="617">
        <f>1707-2110 +'Reorganised Statements'!H52</f>
        <v>6921</v>
      </c>
      <c r="H52" s="284"/>
      <c r="I52" s="52"/>
      <c r="J52" s="284"/>
      <c r="K52" s="284"/>
      <c r="L52" s="52"/>
      <c r="M52" s="284"/>
      <c r="N52" s="284"/>
      <c r="O52" s="52"/>
      <c r="P52" s="284"/>
      <c r="Q52" s="284"/>
      <c r="R52" s="52"/>
      <c r="S52" s="284"/>
      <c r="T52" s="284"/>
      <c r="U52" s="276"/>
      <c r="V52" s="276"/>
    </row>
    <row r="53" spans="1:22">
      <c r="A53" s="175" t="s">
        <v>442</v>
      </c>
      <c r="B53" s="166"/>
      <c r="C53" s="147">
        <f>-(817-885) +SUM('Reorganised Statements'!D58:D60)</f>
        <v>-3176</v>
      </c>
      <c r="D53" s="139">
        <f>-(1239 - 1069)+SUM('Reorganised Statements'!E58:E60)</f>
        <v>-3272</v>
      </c>
      <c r="E53" s="139">
        <f>-(1239 - 1069)+SUM('Reorganised Statements'!F58:F60)</f>
        <v>-4132</v>
      </c>
      <c r="F53" s="139">
        <f>-(1605-1239)+SUM('Reorganised Statements'!G58:G60)</f>
        <v>-4964</v>
      </c>
      <c r="G53" s="304">
        <f>-(1196-1605) + SUM('Reorganised Statements'!H58:H60)</f>
        <v>-4981</v>
      </c>
      <c r="H53" s="52"/>
      <c r="I53" s="52"/>
      <c r="J53" s="52"/>
      <c r="K53" s="52"/>
      <c r="L53" s="52"/>
      <c r="M53" s="52"/>
      <c r="N53" s="52"/>
      <c r="O53" s="52"/>
      <c r="P53" s="52"/>
      <c r="Q53" s="52"/>
      <c r="R53" s="52"/>
      <c r="S53" s="52"/>
      <c r="T53" s="52"/>
      <c r="U53" s="276"/>
      <c r="V53" s="276"/>
    </row>
    <row r="54" spans="1:22">
      <c r="A54" s="175" t="s">
        <v>443</v>
      </c>
      <c r="B54" s="166"/>
      <c r="C54" s="147">
        <f>-(165-160) + 'Reorganised Statements'!D61</f>
        <v>-634</v>
      </c>
      <c r="D54" s="139">
        <f>-(165-160) + 'Reorganised Statements'!E61</f>
        <v>-601</v>
      </c>
      <c r="E54" s="139">
        <f>-(165-160) + 'Reorganised Statements'!F61</f>
        <v>-640</v>
      </c>
      <c r="F54" s="139">
        <f>-(177-165)+'Reorganised Statements'!G61</f>
        <v>-677</v>
      </c>
      <c r="G54" s="304">
        <f xml:space="preserve"> -(180-177)+'Reorganised Statements'!H61</f>
        <v>-703</v>
      </c>
      <c r="H54" s="52"/>
      <c r="I54" s="52"/>
      <c r="J54" s="52"/>
      <c r="K54" s="52"/>
      <c r="L54" s="52"/>
      <c r="M54" s="52"/>
      <c r="N54" s="52"/>
      <c r="O54" s="52"/>
      <c r="P54" s="52"/>
      <c r="Q54" s="52"/>
      <c r="R54" s="52"/>
      <c r="S54" s="52"/>
      <c r="T54" s="52"/>
      <c r="U54" s="276"/>
      <c r="V54" s="276"/>
    </row>
    <row r="55" spans="1:22">
      <c r="A55" s="291"/>
      <c r="B55" s="166"/>
      <c r="C55" s="147"/>
      <c r="D55" s="139"/>
      <c r="E55" s="139"/>
      <c r="F55" s="139"/>
      <c r="G55" s="304"/>
      <c r="H55" s="52"/>
      <c r="I55" s="52"/>
      <c r="J55" s="52"/>
      <c r="K55" s="52"/>
      <c r="L55" s="52"/>
      <c r="M55" s="52"/>
      <c r="N55" s="52"/>
      <c r="O55" s="52"/>
      <c r="P55" s="52"/>
      <c r="Q55" s="52"/>
      <c r="R55" s="52"/>
      <c r="S55" s="52"/>
      <c r="T55" s="52"/>
      <c r="U55" s="276"/>
      <c r="V55" s="276"/>
    </row>
    <row r="56" spans="1:22">
      <c r="A56" s="327" t="s">
        <v>306</v>
      </c>
      <c r="B56" s="170"/>
      <c r="C56" s="152">
        <f>SUM(C52:C54)</f>
        <v>1019</v>
      </c>
      <c r="D56" s="142">
        <f>SUM(D52:D54)</f>
        <v>1177</v>
      </c>
      <c r="E56" s="142">
        <f>SUM(E52:E54)</f>
        <v>1214</v>
      </c>
      <c r="F56" s="142">
        <f>SUM(F52:F54)</f>
        <v>1160</v>
      </c>
      <c r="G56" s="305">
        <f>SUM(G52:G54)</f>
        <v>1237</v>
      </c>
      <c r="H56" s="52"/>
      <c r="I56" s="52"/>
      <c r="J56" s="52"/>
      <c r="K56" s="52"/>
      <c r="L56" s="52"/>
      <c r="M56" s="52"/>
      <c r="N56" s="52"/>
      <c r="O56" s="52"/>
      <c r="P56" s="52"/>
      <c r="Q56" s="52"/>
      <c r="R56" s="52"/>
      <c r="S56" s="52"/>
      <c r="T56" s="52"/>
      <c r="U56" s="276"/>
      <c r="V56" s="276"/>
    </row>
    <row r="57" spans="1:22">
      <c r="A57" s="175" t="s">
        <v>449</v>
      </c>
      <c r="B57" s="166"/>
      <c r="C57" s="146">
        <f>-(121-110) + 'Reorganised Statements'!D72+'Reorganised Statements'!D76</f>
        <v>-844</v>
      </c>
      <c r="D57" s="141">
        <f>-(121-110) + 'Reorganised Statements'!E72+'Reorganised Statements'!E76</f>
        <v>-730</v>
      </c>
      <c r="E57" s="141">
        <f>-(121-110) + 'Reorganised Statements'!F72+'Reorganised Statements'!F76</f>
        <v>-500</v>
      </c>
      <c r="F57" s="141">
        <f>-(131-121) + 'Reorganised Statements'!G72+'Reorganised Statements'!G76</f>
        <v>-653</v>
      </c>
      <c r="G57" s="617">
        <f>-(135-131) + 'Reorganised Statements'!H72+'Reorganised Statements'!H76</f>
        <v>-551</v>
      </c>
      <c r="H57" s="52"/>
      <c r="I57" s="52"/>
      <c r="J57" s="52"/>
      <c r="K57" s="52"/>
      <c r="L57" s="52"/>
      <c r="M57" s="52"/>
      <c r="N57" s="52"/>
      <c r="O57" s="52"/>
      <c r="P57" s="52"/>
      <c r="Q57" s="52"/>
      <c r="R57" s="52"/>
      <c r="S57" s="52"/>
      <c r="T57" s="52"/>
      <c r="U57" s="276"/>
      <c r="V57" s="276"/>
    </row>
    <row r="58" spans="1:22">
      <c r="A58" s="291"/>
      <c r="B58" s="166"/>
      <c r="C58" s="147"/>
      <c r="D58" s="139"/>
      <c r="E58" s="141"/>
      <c r="F58" s="141"/>
      <c r="G58" s="617"/>
      <c r="H58" s="52"/>
      <c r="I58" s="52"/>
      <c r="J58" s="52"/>
      <c r="K58" s="52"/>
      <c r="L58" s="52"/>
      <c r="M58" s="52"/>
      <c r="N58" s="52"/>
      <c r="O58" s="52"/>
      <c r="P58" s="52"/>
      <c r="Q58" s="52"/>
      <c r="R58" s="52"/>
      <c r="S58" s="52"/>
      <c r="T58" s="52"/>
      <c r="U58" s="276"/>
      <c r="V58" s="276"/>
    </row>
    <row r="59" spans="1:22">
      <c r="A59" s="327" t="s">
        <v>303</v>
      </c>
      <c r="B59" s="170"/>
      <c r="C59" s="152">
        <f>C56+C57</f>
        <v>175</v>
      </c>
      <c r="D59" s="142">
        <f>D56+D57</f>
        <v>447</v>
      </c>
      <c r="E59" s="142">
        <f>E56+E57</f>
        <v>714</v>
      </c>
      <c r="F59" s="142">
        <f>F56+F57</f>
        <v>507</v>
      </c>
      <c r="G59" s="305">
        <f>G56+G57</f>
        <v>686</v>
      </c>
      <c r="H59" s="52"/>
      <c r="I59" s="52"/>
      <c r="J59" s="52"/>
      <c r="K59" s="52"/>
      <c r="L59" s="52"/>
      <c r="M59" s="52"/>
      <c r="N59" s="52"/>
      <c r="O59" s="52"/>
      <c r="P59" s="52"/>
      <c r="Q59" s="52"/>
      <c r="R59" s="52"/>
      <c r="S59" s="52"/>
      <c r="T59" s="52"/>
      <c r="U59" s="276"/>
      <c r="V59" s="276"/>
    </row>
    <row r="60" spans="1:22">
      <c r="A60" s="175" t="s">
        <v>450</v>
      </c>
      <c r="B60" s="166"/>
      <c r="C60" s="147">
        <f>(0-0) + 'Reorganised Statements'!D82</f>
        <v>1</v>
      </c>
      <c r="D60" s="139">
        <f>(0-0) + 'Reorganised Statements'!E82</f>
        <v>52</v>
      </c>
      <c r="E60" s="139">
        <f>(0-0) + 'Reorganised Statements'!F82</f>
        <v>0</v>
      </c>
      <c r="F60" s="139">
        <f xml:space="preserve"> (0-0) + 'Reorganised Statements'!G82</f>
        <v>14</v>
      </c>
      <c r="G60" s="304">
        <f>'Reorganised Statements'!H82+0</f>
        <v>4</v>
      </c>
      <c r="H60" s="52"/>
      <c r="I60" s="52"/>
      <c r="J60" s="52"/>
      <c r="K60" s="52"/>
      <c r="L60" s="52"/>
      <c r="M60" s="52"/>
      <c r="N60" s="52"/>
      <c r="O60" s="52"/>
      <c r="P60" s="52"/>
      <c r="Q60" s="52"/>
      <c r="R60" s="52"/>
      <c r="S60" s="52"/>
      <c r="T60" s="52"/>
      <c r="U60" s="276"/>
      <c r="V60" s="276"/>
    </row>
    <row r="61" spans="1:22">
      <c r="A61" s="175" t="s">
        <v>439</v>
      </c>
      <c r="B61" s="284"/>
      <c r="C61" s="622">
        <f>-(29-25) + 'Reorganised Statements'!D83</f>
        <v>-142</v>
      </c>
      <c r="D61" s="624">
        <f>-(29-25) + 'Reorganised Statements'!E83</f>
        <v>-165</v>
      </c>
      <c r="E61" s="624">
        <f>-(29-25) + 'Reorganised Statements'!F83</f>
        <v>-138</v>
      </c>
      <c r="F61" s="624">
        <f>-(24-29) + 'Reorganised Statements'!G83</f>
        <v>-107</v>
      </c>
      <c r="G61" s="263">
        <f>-(18-24) + 'Reorganised Statements'!H83</f>
        <v>-104</v>
      </c>
      <c r="H61" s="52"/>
      <c r="I61" s="52"/>
      <c r="J61" s="52"/>
      <c r="K61" s="52"/>
      <c r="L61" s="52"/>
      <c r="M61" s="52"/>
      <c r="N61" s="52"/>
      <c r="O61" s="52"/>
      <c r="P61" s="52"/>
      <c r="Q61" s="52"/>
      <c r="R61" s="52"/>
      <c r="S61" s="52"/>
      <c r="T61" s="52"/>
      <c r="U61" s="276"/>
      <c r="V61" s="276"/>
    </row>
    <row r="62" spans="1:22">
      <c r="A62" s="328" t="s">
        <v>359</v>
      </c>
      <c r="B62" s="166"/>
      <c r="C62" s="239">
        <f>C60+C61</f>
        <v>-141</v>
      </c>
      <c r="D62" s="171">
        <f>D60+D61</f>
        <v>-113</v>
      </c>
      <c r="E62" s="171">
        <f>E60+E61</f>
        <v>-138</v>
      </c>
      <c r="F62" s="171">
        <f>F60+F61</f>
        <v>-93</v>
      </c>
      <c r="G62" s="615">
        <f>G60+G61</f>
        <v>-100</v>
      </c>
      <c r="H62" s="52"/>
      <c r="I62" s="52"/>
      <c r="J62" s="52"/>
      <c r="K62" s="52"/>
      <c r="L62" s="52"/>
      <c r="M62" s="52"/>
      <c r="N62" s="52"/>
      <c r="O62" s="52"/>
      <c r="P62" s="52"/>
      <c r="Q62" s="52"/>
      <c r="R62" s="52"/>
      <c r="S62" s="52"/>
      <c r="T62" s="52"/>
      <c r="U62" s="276"/>
      <c r="V62" s="276"/>
    </row>
    <row r="63" spans="1:22">
      <c r="A63" s="327" t="s">
        <v>304</v>
      </c>
      <c r="B63" s="170"/>
      <c r="C63" s="152">
        <f>C59+C62</f>
        <v>34</v>
      </c>
      <c r="D63" s="142">
        <f>D59+D62</f>
        <v>334</v>
      </c>
      <c r="E63" s="142">
        <f>E59+E62</f>
        <v>576</v>
      </c>
      <c r="F63" s="142">
        <f>F59+F62</f>
        <v>414</v>
      </c>
      <c r="G63" s="305">
        <f>G59+G62</f>
        <v>586</v>
      </c>
      <c r="H63" s="52"/>
      <c r="I63" s="52"/>
      <c r="J63" s="52"/>
      <c r="K63" s="52"/>
      <c r="L63" s="52"/>
      <c r="M63" s="52"/>
      <c r="N63" s="52"/>
      <c r="O63" s="52"/>
      <c r="P63" s="52"/>
      <c r="Q63" s="52"/>
      <c r="R63" s="52"/>
      <c r="S63" s="52"/>
      <c r="T63" s="52"/>
      <c r="U63" s="276"/>
      <c r="V63" s="276"/>
    </row>
    <row r="64" spans="1:22">
      <c r="A64" s="329" t="s">
        <v>451</v>
      </c>
      <c r="B64" s="166"/>
      <c r="C64" s="239">
        <f>-(83-78) + 'Reorganised Statements'!D109</f>
        <v>-138</v>
      </c>
      <c r="D64" s="171">
        <f>-(83-78) + 'Reorganised Statements'!E109</f>
        <v>-127</v>
      </c>
      <c r="E64" s="171">
        <f>-(83-78) + 'Reorganised Statements'!F109</f>
        <v>-197</v>
      </c>
      <c r="F64" s="171">
        <f>-(59-83) + 'Reorganised Statements'!G109</f>
        <v>-133</v>
      </c>
      <c r="G64" s="618">
        <f>-(58-59)+'Reorganised Statements'!H109</f>
        <v>-188</v>
      </c>
      <c r="H64" s="52"/>
      <c r="I64" s="52"/>
      <c r="J64" s="52"/>
      <c r="K64" s="52"/>
      <c r="L64" s="52"/>
      <c r="M64" s="52"/>
      <c r="N64" s="52"/>
      <c r="O64" s="52"/>
      <c r="P64" s="52"/>
      <c r="Q64" s="52"/>
      <c r="R64" s="52"/>
      <c r="S64" s="52"/>
      <c r="T64" s="52"/>
      <c r="U64" s="276"/>
      <c r="V64" s="276"/>
    </row>
    <row r="65" spans="1:22">
      <c r="A65" s="330" t="s">
        <v>440</v>
      </c>
      <c r="B65" s="286"/>
      <c r="C65" s="625">
        <f>C63+C64</f>
        <v>-104</v>
      </c>
      <c r="D65" s="623">
        <f>D63+D64</f>
        <v>207</v>
      </c>
      <c r="E65" s="623">
        <f>E63+E64</f>
        <v>379</v>
      </c>
      <c r="F65" s="623">
        <f>F63+F64</f>
        <v>281</v>
      </c>
      <c r="G65" s="619">
        <f>G63+G64</f>
        <v>398</v>
      </c>
      <c r="H65" s="52"/>
      <c r="I65" s="52"/>
      <c r="J65" s="52"/>
      <c r="K65" s="52"/>
      <c r="L65" s="52"/>
      <c r="M65" s="52"/>
      <c r="N65" s="52"/>
      <c r="O65" s="52"/>
      <c r="P65" s="52"/>
      <c r="Q65" s="52"/>
      <c r="R65" s="52"/>
      <c r="S65" s="52"/>
      <c r="T65" s="52"/>
      <c r="U65" s="276"/>
      <c r="V65" s="276"/>
    </row>
    <row r="66" spans="1:22">
      <c r="A66" s="175" t="s">
        <v>441</v>
      </c>
      <c r="B66" s="166"/>
      <c r="C66" s="147">
        <f>(2-4) + 'Reorganised Statements'!D111</f>
        <v>-2</v>
      </c>
      <c r="D66" s="139">
        <f>(2-4) + 'Reorganised Statements'!E111</f>
        <v>17</v>
      </c>
      <c r="E66" s="139">
        <f>(2-4) + 'Reorganised Statements'!F111</f>
        <v>-87</v>
      </c>
      <c r="F66" s="139">
        <f>(0-2) + 'Reorganised Statements'!G111</f>
        <v>19</v>
      </c>
      <c r="G66" s="304">
        <f xml:space="preserve">  0 + 'Reorganised Statements'!H111</f>
        <v>1</v>
      </c>
      <c r="H66" s="52"/>
      <c r="I66" s="52"/>
      <c r="J66" s="52"/>
      <c r="K66" s="52"/>
      <c r="L66" s="52"/>
      <c r="M66" s="52"/>
      <c r="N66" s="52"/>
      <c r="O66" s="52"/>
      <c r="P66" s="52"/>
      <c r="Q66" s="52"/>
      <c r="R66" s="52"/>
      <c r="S66" s="52"/>
      <c r="T66" s="52"/>
      <c r="U66" s="276"/>
      <c r="V66" s="276"/>
    </row>
    <row r="67" spans="1:22">
      <c r="A67" s="175"/>
      <c r="B67" s="166"/>
      <c r="C67" s="147"/>
      <c r="D67" s="139"/>
      <c r="E67" s="139"/>
      <c r="F67" s="139"/>
      <c r="G67" s="304"/>
      <c r="H67" s="52"/>
      <c r="I67" s="52"/>
      <c r="J67" s="52"/>
      <c r="K67" s="52"/>
      <c r="L67" s="52"/>
      <c r="M67" s="52"/>
      <c r="N67" s="52"/>
      <c r="O67" s="52"/>
      <c r="P67" s="52"/>
      <c r="Q67" s="52"/>
      <c r="R67" s="52"/>
      <c r="S67" s="52"/>
      <c r="T67" s="52"/>
      <c r="U67" s="276"/>
      <c r="V67" s="276"/>
    </row>
    <row r="68" spans="1:22">
      <c r="A68" s="327" t="s">
        <v>452</v>
      </c>
      <c r="B68" s="170"/>
      <c r="C68" s="153">
        <f>C65+C66</f>
        <v>-106</v>
      </c>
      <c r="D68" s="154">
        <f>D65+D66</f>
        <v>224</v>
      </c>
      <c r="E68" s="154">
        <f>E65+E66</f>
        <v>292</v>
      </c>
      <c r="F68" s="154">
        <f>F65+F66</f>
        <v>300</v>
      </c>
      <c r="G68" s="620">
        <f>G65+G66</f>
        <v>399</v>
      </c>
      <c r="H68" s="52"/>
      <c r="I68" s="52"/>
      <c r="J68" s="52"/>
      <c r="K68" s="52"/>
      <c r="L68" s="52"/>
      <c r="M68" s="52"/>
      <c r="N68" s="52"/>
      <c r="O68" s="52"/>
      <c r="P68" s="52"/>
      <c r="Q68" s="52"/>
      <c r="R68" s="52"/>
      <c r="S68" s="52"/>
      <c r="T68" s="52"/>
      <c r="U68" s="276"/>
      <c r="V68" s="276"/>
    </row>
    <row r="69" spans="1:22">
      <c r="A69" s="175" t="s">
        <v>453</v>
      </c>
      <c r="B69" s="166"/>
      <c r="C69" s="147">
        <f>-(4-4) + 'Reorganised Statements'!D112</f>
        <v>130</v>
      </c>
      <c r="D69" s="139">
        <f>-(4-4) + 'Reorganised Statements'!E112</f>
        <v>1</v>
      </c>
      <c r="E69" s="139">
        <f>-(4-4) + 'Reorganised Statements'!F112</f>
        <v>-6</v>
      </c>
      <c r="F69" s="139">
        <f>-(10-4) + 'Reorganised Statements'!G112</f>
        <v>-16</v>
      </c>
      <c r="G69" s="304">
        <f>-(8-10) + 'Reorganised Statements'!H112</f>
        <v>-2</v>
      </c>
      <c r="H69" s="52"/>
      <c r="I69" s="52"/>
      <c r="J69" s="52"/>
      <c r="K69" s="52"/>
      <c r="L69" s="52"/>
      <c r="M69" s="52"/>
      <c r="N69" s="52"/>
      <c r="O69" s="52"/>
      <c r="P69" s="52"/>
      <c r="Q69" s="52"/>
      <c r="R69" s="52"/>
      <c r="S69" s="52"/>
      <c r="T69" s="52"/>
      <c r="U69" s="276"/>
      <c r="V69" s="276"/>
    </row>
    <row r="70" spans="1:22">
      <c r="A70" s="175"/>
      <c r="B70" s="166"/>
      <c r="C70" s="147"/>
      <c r="D70" s="139"/>
      <c r="E70" s="139"/>
      <c r="F70" s="139"/>
      <c r="G70" s="304"/>
      <c r="H70" s="1"/>
      <c r="I70" s="1"/>
      <c r="J70" s="1"/>
      <c r="K70" s="1"/>
      <c r="L70" s="1"/>
      <c r="M70" s="1"/>
      <c r="N70" s="1"/>
      <c r="O70" s="1"/>
      <c r="P70" s="1"/>
      <c r="Q70" s="1"/>
      <c r="R70" s="1"/>
      <c r="S70" s="1"/>
      <c r="T70" s="1"/>
    </row>
    <row r="71" spans="1:22" ht="15" thickBot="1">
      <c r="A71" s="332" t="s">
        <v>336</v>
      </c>
      <c r="B71" s="333"/>
      <c r="C71" s="317">
        <f>C68+C69</f>
        <v>24</v>
      </c>
      <c r="D71" s="361">
        <f>D68+D69</f>
        <v>225</v>
      </c>
      <c r="E71" s="361">
        <f>E68+E69</f>
        <v>286</v>
      </c>
      <c r="F71" s="361">
        <f>F68+F69</f>
        <v>284</v>
      </c>
      <c r="G71" s="621">
        <f>G68+G69</f>
        <v>397</v>
      </c>
      <c r="H71" s="1"/>
      <c r="I71" s="1"/>
      <c r="J71" s="1"/>
      <c r="K71" s="1"/>
      <c r="L71" s="1"/>
      <c r="M71" s="1"/>
      <c r="N71" s="1"/>
      <c r="O71" s="1"/>
      <c r="P71" s="1"/>
      <c r="Q71" s="1"/>
      <c r="R71" s="1"/>
      <c r="S71" s="1"/>
      <c r="T71" s="1"/>
    </row>
    <row r="72" spans="1:22">
      <c r="A72" s="52"/>
      <c r="B72" s="52"/>
      <c r="C72" s="52"/>
      <c r="D72" s="52"/>
      <c r="E72" s="52"/>
      <c r="F72" s="52"/>
      <c r="G72" s="52"/>
      <c r="H72" s="1"/>
      <c r="I72" s="1"/>
      <c r="J72" s="1"/>
      <c r="K72" s="1"/>
      <c r="L72" s="1"/>
      <c r="M72" s="1"/>
      <c r="N72" s="1"/>
      <c r="O72" s="1"/>
      <c r="P72" s="1"/>
      <c r="Q72" s="1"/>
      <c r="R72" s="1"/>
      <c r="S72" s="1"/>
      <c r="T72" s="1"/>
    </row>
    <row r="73" spans="1:22">
      <c r="A73" s="1"/>
      <c r="B73" s="1"/>
      <c r="C73" s="1"/>
      <c r="D73" s="1"/>
      <c r="E73" s="1"/>
      <c r="F73" s="1"/>
      <c r="G73" s="1"/>
      <c r="H73" s="1"/>
      <c r="I73" s="1"/>
      <c r="J73" s="1"/>
      <c r="K73" s="1"/>
      <c r="L73" s="1"/>
      <c r="M73" s="1"/>
      <c r="N73" s="1"/>
      <c r="O73" s="1"/>
      <c r="P73" s="1"/>
      <c r="Q73" s="1"/>
      <c r="R73" s="1"/>
      <c r="S73" s="1"/>
      <c r="T73" s="1"/>
    </row>
    <row r="74" spans="1:22">
      <c r="A74" s="1"/>
      <c r="B74" s="1"/>
      <c r="C74" s="1"/>
      <c r="D74" s="1"/>
      <c r="E74" s="1"/>
      <c r="F74" s="1"/>
      <c r="G74" s="1"/>
      <c r="H74" s="1"/>
      <c r="I74" s="1"/>
      <c r="J74" s="1"/>
      <c r="K74" s="1"/>
      <c r="L74" s="1"/>
      <c r="M74" s="1"/>
      <c r="N74" s="1"/>
      <c r="O74" s="1"/>
      <c r="P74" s="1"/>
      <c r="Q74" s="1"/>
      <c r="R74" s="1"/>
      <c r="S74" s="1"/>
      <c r="T74" s="1"/>
    </row>
    <row r="75" spans="1:22" ht="15" thickBot="1">
      <c r="A75" s="1"/>
      <c r="B75" s="1"/>
      <c r="C75" s="1"/>
      <c r="D75" s="1"/>
      <c r="E75" s="1"/>
      <c r="F75" s="1"/>
      <c r="G75" s="1"/>
      <c r="H75" s="1"/>
      <c r="I75" s="1"/>
      <c r="J75" s="1"/>
      <c r="K75" s="1"/>
      <c r="L75" s="1"/>
      <c r="M75" s="1"/>
      <c r="N75" s="1"/>
      <c r="O75" s="1"/>
      <c r="P75" s="1"/>
      <c r="Q75" s="1"/>
      <c r="R75" s="1"/>
      <c r="S75" s="1"/>
      <c r="T75" s="1"/>
    </row>
    <row r="76" spans="1:22" ht="24.6">
      <c r="A76" s="334" t="s">
        <v>346</v>
      </c>
      <c r="B76" s="251"/>
      <c r="C76" s="252"/>
      <c r="D76" s="252"/>
      <c r="E76" s="252"/>
      <c r="F76" s="253"/>
      <c r="G76" s="1"/>
      <c r="H76" s="1"/>
      <c r="I76" s="1"/>
      <c r="J76" s="1"/>
      <c r="K76" s="1"/>
      <c r="L76" s="1"/>
      <c r="M76" s="1"/>
      <c r="N76" s="1"/>
      <c r="O76" s="1"/>
      <c r="P76" s="1"/>
      <c r="Q76" s="1"/>
      <c r="R76" s="1"/>
      <c r="S76" s="1"/>
      <c r="T76" s="1"/>
    </row>
    <row r="77" spans="1:22">
      <c r="A77" s="254"/>
      <c r="B77" s="60"/>
      <c r="C77" s="920" t="s">
        <v>163</v>
      </c>
      <c r="D77" s="920"/>
      <c r="E77" s="920"/>
      <c r="F77" s="921"/>
      <c r="G77" s="1"/>
      <c r="H77" s="1"/>
      <c r="I77" s="1"/>
      <c r="J77" s="1"/>
      <c r="K77" s="1"/>
      <c r="L77" s="1"/>
      <c r="M77" s="1"/>
      <c r="N77" s="1"/>
      <c r="O77" s="1"/>
      <c r="P77" s="1"/>
      <c r="Q77" s="1"/>
      <c r="R77" s="1"/>
      <c r="S77" s="1"/>
      <c r="T77" s="1"/>
    </row>
    <row r="78" spans="1:22">
      <c r="A78" s="255"/>
      <c r="B78" s="121" t="s">
        <v>1</v>
      </c>
      <c r="C78" s="285" t="s">
        <v>445</v>
      </c>
      <c r="D78" s="285" t="s">
        <v>446</v>
      </c>
      <c r="E78" s="285" t="s">
        <v>447</v>
      </c>
      <c r="F78" s="324" t="s">
        <v>448</v>
      </c>
      <c r="G78" s="1"/>
      <c r="H78" s="1"/>
      <c r="I78" s="1"/>
      <c r="J78" s="1"/>
      <c r="K78" s="1"/>
      <c r="L78" s="1"/>
      <c r="M78" s="1"/>
      <c r="N78" s="1"/>
      <c r="O78" s="1"/>
      <c r="P78" s="1"/>
      <c r="Q78" s="1"/>
      <c r="R78" s="1"/>
      <c r="S78" s="1"/>
      <c r="T78" s="1"/>
    </row>
    <row r="79" spans="1:22">
      <c r="A79" s="175"/>
      <c r="B79" s="2"/>
      <c r="C79" s="28"/>
      <c r="D79" s="26"/>
      <c r="E79" s="26"/>
      <c r="F79" s="258"/>
      <c r="G79" s="1"/>
      <c r="H79" s="1"/>
      <c r="I79" s="1"/>
      <c r="J79" s="1"/>
      <c r="K79" s="1"/>
      <c r="L79" s="1"/>
      <c r="M79" s="1"/>
      <c r="N79" s="1"/>
      <c r="O79" s="1"/>
      <c r="P79" s="1"/>
      <c r="Q79" s="1"/>
      <c r="R79" s="1"/>
      <c r="S79" s="1"/>
      <c r="T79" s="1"/>
    </row>
    <row r="80" spans="1:22">
      <c r="A80" s="291" t="s">
        <v>303</v>
      </c>
      <c r="B80" s="2"/>
      <c r="C80" s="178">
        <f>D59</f>
        <v>447</v>
      </c>
      <c r="D80" s="179">
        <f>E59</f>
        <v>714</v>
      </c>
      <c r="E80" s="179">
        <f>F59</f>
        <v>507</v>
      </c>
      <c r="F80" s="259">
        <f>G59</f>
        <v>686</v>
      </c>
      <c r="G80" s="1"/>
      <c r="H80" s="1"/>
      <c r="I80" s="1"/>
      <c r="J80" s="1"/>
      <c r="K80" s="1"/>
      <c r="L80" s="1"/>
      <c r="M80" s="1"/>
      <c r="N80" s="1"/>
      <c r="O80" s="1"/>
      <c r="P80" s="1"/>
      <c r="Q80" s="1"/>
      <c r="R80" s="1"/>
      <c r="S80" s="1"/>
      <c r="T80" s="1"/>
    </row>
    <row r="81" spans="1:22">
      <c r="A81" s="175" t="s">
        <v>347</v>
      </c>
      <c r="B81" s="2"/>
      <c r="C81" s="180">
        <f>D64</f>
        <v>-127</v>
      </c>
      <c r="D81" s="181">
        <f>E64</f>
        <v>-197</v>
      </c>
      <c r="E81" s="181">
        <f>F64</f>
        <v>-133</v>
      </c>
      <c r="F81" s="260">
        <f>G64</f>
        <v>-188</v>
      </c>
      <c r="G81" s="1"/>
      <c r="H81" s="1"/>
      <c r="I81" s="1"/>
      <c r="J81" s="1"/>
      <c r="K81" s="1"/>
      <c r="L81" s="1"/>
      <c r="M81" s="1"/>
      <c r="N81" s="1"/>
      <c r="O81" s="1"/>
      <c r="P81" s="1"/>
      <c r="Q81" s="1"/>
      <c r="R81" s="1"/>
      <c r="S81" s="1"/>
      <c r="T81" s="1"/>
    </row>
    <row r="82" spans="1:22">
      <c r="A82" s="175" t="s">
        <v>376</v>
      </c>
      <c r="B82" s="2"/>
      <c r="C82" s="245">
        <f>-(D64/D63)*(D62)</f>
        <v>-42.967065868263475</v>
      </c>
      <c r="D82" s="246">
        <f>-(E64/E63)*(E62)</f>
        <v>-47.197916666666664</v>
      </c>
      <c r="E82" s="246">
        <f>-(F64/F63)*(F62)</f>
        <v>-29.876811594202898</v>
      </c>
      <c r="F82" s="261">
        <f>-(G64/G63)*(G62)</f>
        <v>-32.081911262798634</v>
      </c>
      <c r="G82" s="1"/>
      <c r="H82" s="1"/>
      <c r="I82" s="1"/>
      <c r="J82" s="1"/>
      <c r="K82" s="1"/>
      <c r="L82" s="1"/>
      <c r="M82" s="1"/>
      <c r="N82" s="1"/>
      <c r="O82" s="1"/>
      <c r="P82" s="1"/>
      <c r="Q82" s="1"/>
      <c r="R82" s="1"/>
      <c r="S82" s="1"/>
      <c r="T82" s="1"/>
    </row>
    <row r="83" spans="1:22">
      <c r="A83" s="327" t="s">
        <v>348</v>
      </c>
      <c r="B83" s="22"/>
      <c r="C83" s="182">
        <f t="shared" ref="C83:E83" si="1">C80+C81+C82</f>
        <v>277.03293413173651</v>
      </c>
      <c r="D83" s="183">
        <f t="shared" si="1"/>
        <v>469.80208333333331</v>
      </c>
      <c r="E83" s="183">
        <f t="shared" si="1"/>
        <v>344.12318840579712</v>
      </c>
      <c r="F83" s="262">
        <f>F80+F81+F82</f>
        <v>465.91808873720134</v>
      </c>
      <c r="G83" s="1"/>
      <c r="H83" s="1"/>
      <c r="I83" s="1"/>
      <c r="J83" s="1"/>
      <c r="K83" s="1"/>
      <c r="L83" s="1"/>
      <c r="M83" s="1"/>
      <c r="N83" s="1"/>
      <c r="O83" s="1"/>
      <c r="P83" s="1"/>
      <c r="Q83" s="1"/>
      <c r="R83" s="1"/>
      <c r="S83" s="1"/>
      <c r="T83" s="1"/>
    </row>
    <row r="84" spans="1:22">
      <c r="A84" s="175"/>
      <c r="B84" s="2"/>
      <c r="C84" s="180"/>
      <c r="D84" s="181"/>
      <c r="E84" s="181"/>
      <c r="F84" s="260"/>
      <c r="G84" s="1"/>
      <c r="H84" s="1"/>
      <c r="I84" s="1"/>
      <c r="J84" s="1"/>
      <c r="K84" s="1"/>
      <c r="L84" s="1"/>
      <c r="M84" s="1"/>
      <c r="N84" s="1"/>
      <c r="O84" s="1"/>
      <c r="P84" s="1"/>
      <c r="Q84" s="1"/>
      <c r="R84" s="1"/>
      <c r="S84" s="1"/>
      <c r="T84" s="1"/>
    </row>
    <row r="85" spans="1:22">
      <c r="A85" s="175" t="s">
        <v>370</v>
      </c>
      <c r="B85" s="2"/>
      <c r="C85" s="180">
        <f t="shared" ref="C85:F87" si="2">C10-D10</f>
        <v>-20</v>
      </c>
      <c r="D85" s="181">
        <f t="shared" si="2"/>
        <v>38</v>
      </c>
      <c r="E85" s="181">
        <f t="shared" si="2"/>
        <v>-39</v>
      </c>
      <c r="F85" s="260">
        <f t="shared" si="2"/>
        <v>15</v>
      </c>
      <c r="G85" s="52"/>
      <c r="H85" s="52"/>
      <c r="I85" s="52"/>
      <c r="J85" s="52"/>
      <c r="K85" s="52"/>
      <c r="L85" s="52"/>
      <c r="M85" s="52"/>
      <c r="N85" s="52"/>
      <c r="O85" s="52"/>
      <c r="P85" s="52"/>
      <c r="Q85" s="52"/>
      <c r="R85" s="52"/>
      <c r="S85" s="52"/>
      <c r="T85" s="52"/>
      <c r="U85" s="104"/>
    </row>
    <row r="86" spans="1:22">
      <c r="A86" s="175" t="s">
        <v>349</v>
      </c>
      <c r="B86" s="2"/>
      <c r="C86" s="180">
        <f t="shared" si="2"/>
        <v>-331</v>
      </c>
      <c r="D86" s="181">
        <f t="shared" si="2"/>
        <v>52</v>
      </c>
      <c r="E86" s="181">
        <f t="shared" si="2"/>
        <v>-251</v>
      </c>
      <c r="F86" s="260">
        <f t="shared" si="2"/>
        <v>21</v>
      </c>
      <c r="G86" s="52"/>
      <c r="H86" s="52"/>
      <c r="I86" s="52"/>
      <c r="J86" s="52"/>
      <c r="K86" s="52"/>
      <c r="L86" s="52"/>
      <c r="M86" s="52"/>
      <c r="N86" s="52"/>
      <c r="O86" s="52"/>
      <c r="P86" s="52"/>
      <c r="Q86" s="52"/>
      <c r="R86" s="52"/>
      <c r="S86" s="52"/>
      <c r="T86" s="52"/>
      <c r="U86" s="276"/>
      <c r="V86" s="244"/>
    </row>
    <row r="87" spans="1:22">
      <c r="A87" s="175" t="s">
        <v>369</v>
      </c>
      <c r="B87" s="2"/>
      <c r="C87" s="180">
        <f t="shared" si="2"/>
        <v>139</v>
      </c>
      <c r="D87" s="181">
        <f t="shared" si="2"/>
        <v>-1</v>
      </c>
      <c r="E87" s="181">
        <f t="shared" si="2"/>
        <v>171</v>
      </c>
      <c r="F87" s="260">
        <f t="shared" si="2"/>
        <v>2</v>
      </c>
      <c r="G87" s="52"/>
      <c r="H87" s="52"/>
      <c r="I87" s="52"/>
      <c r="J87" s="52"/>
      <c r="K87" s="52"/>
      <c r="L87" s="52"/>
      <c r="M87" s="52"/>
      <c r="N87" s="52"/>
      <c r="O87" s="52"/>
      <c r="P87" s="52"/>
      <c r="Q87" s="52"/>
      <c r="R87" s="52"/>
      <c r="S87" s="52"/>
      <c r="T87" s="52"/>
      <c r="U87" s="276"/>
      <c r="V87" s="244"/>
    </row>
    <row r="88" spans="1:22">
      <c r="A88" s="327" t="s">
        <v>371</v>
      </c>
      <c r="B88" s="22"/>
      <c r="C88" s="182">
        <f>C85+C86+C87</f>
        <v>-212</v>
      </c>
      <c r="D88" s="183">
        <f t="shared" ref="D88:F88" si="3">D85+D86+D87</f>
        <v>89</v>
      </c>
      <c r="E88" s="183">
        <f t="shared" si="3"/>
        <v>-119</v>
      </c>
      <c r="F88" s="262">
        <f t="shared" si="3"/>
        <v>38</v>
      </c>
      <c r="G88" s="52"/>
      <c r="H88" s="52"/>
      <c r="I88" s="52"/>
      <c r="J88" s="52"/>
      <c r="K88" s="52"/>
      <c r="L88" s="52"/>
      <c r="M88" s="52"/>
      <c r="N88" s="52"/>
      <c r="O88" s="52"/>
      <c r="P88" s="52"/>
      <c r="Q88" s="52"/>
      <c r="R88" s="52"/>
      <c r="S88" s="52"/>
      <c r="T88" s="52"/>
      <c r="U88" s="276"/>
      <c r="V88" s="244"/>
    </row>
    <row r="89" spans="1:22">
      <c r="A89" s="175"/>
      <c r="B89" s="2"/>
      <c r="C89" s="180"/>
      <c r="D89" s="181"/>
      <c r="E89" s="181"/>
      <c r="F89" s="260"/>
      <c r="G89" s="427"/>
      <c r="H89" s="284"/>
      <c r="I89" s="52"/>
      <c r="J89" s="284"/>
      <c r="K89" s="284"/>
      <c r="L89" s="52"/>
      <c r="M89" s="284"/>
      <c r="N89" s="284"/>
      <c r="O89" s="52"/>
      <c r="P89" s="284"/>
      <c r="Q89" s="284"/>
      <c r="R89" s="52"/>
      <c r="S89" s="284"/>
      <c r="T89" s="284"/>
      <c r="U89" s="276"/>
      <c r="V89" s="244"/>
    </row>
    <row r="90" spans="1:22">
      <c r="A90" s="175" t="s">
        <v>350</v>
      </c>
      <c r="B90" s="2"/>
      <c r="C90" s="180">
        <f>SUM(C16:C20)-SUM(D16:D20)</f>
        <v>103</v>
      </c>
      <c r="D90" s="181">
        <f>SUM(D16:D20)-SUM(E16:E20)</f>
        <v>33</v>
      </c>
      <c r="E90" s="181">
        <f>SUM(E16:E20)-SUM(F16:F20)</f>
        <v>-74</v>
      </c>
      <c r="F90" s="260">
        <f>SUM(F16:F20)-SUM(G16:G20)</f>
        <v>-455</v>
      </c>
      <c r="G90" s="52"/>
      <c r="H90" s="52"/>
      <c r="I90" s="52"/>
      <c r="J90" s="52"/>
      <c r="K90" s="52"/>
      <c r="L90" s="52"/>
      <c r="M90" s="52"/>
      <c r="N90" s="52"/>
      <c r="O90" s="52"/>
      <c r="P90" s="52"/>
      <c r="Q90" s="52"/>
      <c r="R90" s="52"/>
      <c r="S90" s="52"/>
      <c r="T90" s="52"/>
      <c r="U90" s="276"/>
      <c r="V90" s="244"/>
    </row>
    <row r="91" spans="1:22">
      <c r="A91" s="175" t="s">
        <v>351</v>
      </c>
      <c r="B91" s="2"/>
      <c r="C91" s="180">
        <f>SUM(C22:C25)-SUM(D22:D25)</f>
        <v>8</v>
      </c>
      <c r="D91" s="181">
        <f>SUM(D22:D25)-SUM(E22:E25)</f>
        <v>-68</v>
      </c>
      <c r="E91" s="181">
        <f>SUM(E22:E25)-SUM(F22:F25)</f>
        <v>297</v>
      </c>
      <c r="F91" s="260">
        <f>SUM(F22:F25)-SUM(G22:G25)</f>
        <v>435</v>
      </c>
      <c r="G91" s="52"/>
      <c r="H91" s="52"/>
      <c r="I91" s="52"/>
      <c r="J91" s="52"/>
      <c r="K91" s="52"/>
      <c r="L91" s="52"/>
      <c r="M91" s="52"/>
      <c r="N91" s="52"/>
      <c r="O91" s="52"/>
      <c r="P91" s="52"/>
      <c r="Q91" s="52"/>
      <c r="R91" s="52"/>
      <c r="S91" s="52"/>
      <c r="T91" s="52"/>
      <c r="U91" s="276"/>
      <c r="V91" s="244"/>
    </row>
    <row r="92" spans="1:22">
      <c r="A92" s="327" t="s">
        <v>372</v>
      </c>
      <c r="B92" s="22"/>
      <c r="C92" s="182">
        <f>C88+C90+C91</f>
        <v>-101</v>
      </c>
      <c r="D92" s="183">
        <f t="shared" ref="D92:F92" si="4">D88+D90+D91</f>
        <v>54</v>
      </c>
      <c r="E92" s="183">
        <f t="shared" si="4"/>
        <v>104</v>
      </c>
      <c r="F92" s="262">
        <f t="shared" si="4"/>
        <v>18</v>
      </c>
      <c r="G92" s="52"/>
      <c r="H92" s="52"/>
      <c r="I92" s="52"/>
      <c r="J92" s="52"/>
      <c r="K92" s="52"/>
      <c r="L92" s="52"/>
      <c r="M92" s="52"/>
      <c r="N92" s="52"/>
      <c r="O92" s="52"/>
      <c r="P92" s="52"/>
      <c r="Q92" s="52"/>
      <c r="R92" s="52"/>
      <c r="S92" s="52"/>
      <c r="T92" s="52"/>
      <c r="U92" s="276"/>
      <c r="V92" s="244"/>
    </row>
    <row r="93" spans="1:22">
      <c r="A93" s="175"/>
      <c r="B93" s="2"/>
      <c r="C93" s="180"/>
      <c r="D93" s="181"/>
      <c r="E93" s="181"/>
      <c r="F93" s="260"/>
      <c r="G93" s="52"/>
      <c r="H93" s="52"/>
      <c r="I93" s="52"/>
      <c r="J93" s="52"/>
      <c r="K93" s="52"/>
      <c r="L93" s="52"/>
      <c r="M93" s="52"/>
      <c r="N93" s="52"/>
      <c r="O93" s="52"/>
      <c r="P93" s="52"/>
      <c r="Q93" s="52"/>
      <c r="R93" s="52"/>
      <c r="S93" s="52"/>
      <c r="T93" s="52"/>
      <c r="U93" s="276"/>
      <c r="V93" s="244"/>
    </row>
    <row r="94" spans="1:22">
      <c r="A94" s="175" t="s">
        <v>352</v>
      </c>
      <c r="B94" s="2"/>
      <c r="C94" s="180">
        <f>C5-D5+C6-D6+D57</f>
        <v>-1130</v>
      </c>
      <c r="D94" s="181">
        <f>D5+D6-E5-E6+E57</f>
        <v>-212</v>
      </c>
      <c r="E94" s="181">
        <f>E5+E6-F5-F6-E95</f>
        <v>-1186</v>
      </c>
      <c r="F94" s="260">
        <f>F5+F6-G5-G6 - F95</f>
        <v>-814</v>
      </c>
      <c r="G94" s="52"/>
      <c r="H94" s="52"/>
      <c r="I94" s="52"/>
      <c r="J94" s="52"/>
      <c r="K94" s="52"/>
      <c r="L94" s="52"/>
      <c r="M94" s="52"/>
      <c r="N94" s="52"/>
      <c r="O94" s="52"/>
      <c r="P94" s="52"/>
      <c r="Q94" s="52"/>
      <c r="R94" s="52"/>
      <c r="S94" s="52"/>
      <c r="T94" s="52"/>
      <c r="U94" s="276"/>
      <c r="V94" s="244"/>
    </row>
    <row r="95" spans="1:22">
      <c r="A95" s="175" t="s">
        <v>353</v>
      </c>
      <c r="B95" s="2"/>
      <c r="C95" s="180">
        <f>-D57</f>
        <v>730</v>
      </c>
      <c r="D95" s="181">
        <f>-E57</f>
        <v>500</v>
      </c>
      <c r="E95" s="181">
        <f>-'Reorganised Statements'!G72 + (131-121)</f>
        <v>633</v>
      </c>
      <c r="F95" s="260">
        <f>-'Reorganised Statements'!H72+(135-131)</f>
        <v>515</v>
      </c>
      <c r="G95" s="52"/>
      <c r="H95" s="52"/>
      <c r="I95" s="52"/>
      <c r="J95" s="52"/>
      <c r="K95" s="52"/>
      <c r="L95" s="52"/>
      <c r="M95" s="52"/>
      <c r="N95" s="52"/>
      <c r="O95" s="52"/>
      <c r="P95" s="52"/>
      <c r="Q95" s="52"/>
      <c r="R95" s="52"/>
      <c r="S95" s="52"/>
      <c r="T95" s="52"/>
      <c r="U95" s="276"/>
      <c r="V95" s="244"/>
    </row>
    <row r="96" spans="1:22">
      <c r="A96" s="175" t="s">
        <v>354</v>
      </c>
      <c r="B96" s="2"/>
      <c r="C96" s="180">
        <f>C30-D30</f>
        <v>62</v>
      </c>
      <c r="D96" s="181">
        <f>D30-E30</f>
        <v>-40</v>
      </c>
      <c r="E96" s="181">
        <f>E30-F30</f>
        <v>11</v>
      </c>
      <c r="F96" s="260">
        <f>F30-G30</f>
        <v>31</v>
      </c>
      <c r="G96" s="52"/>
      <c r="H96" s="52"/>
      <c r="I96" s="52"/>
      <c r="J96" s="52"/>
      <c r="K96" s="52"/>
      <c r="L96" s="52"/>
      <c r="M96" s="52"/>
      <c r="N96" s="52"/>
      <c r="O96" s="52"/>
      <c r="P96" s="52"/>
      <c r="Q96" s="52"/>
      <c r="R96" s="52"/>
      <c r="S96" s="52"/>
      <c r="T96" s="52"/>
      <c r="U96" s="276"/>
      <c r="V96" s="244"/>
    </row>
    <row r="97" spans="1:22">
      <c r="A97" s="175" t="s">
        <v>355</v>
      </c>
      <c r="B97" s="2"/>
      <c r="C97" s="180">
        <f>C29-D29</f>
        <v>32</v>
      </c>
      <c r="D97" s="181">
        <f>D29-E29</f>
        <v>-44</v>
      </c>
      <c r="E97" s="181">
        <f>E29-F29</f>
        <v>-4</v>
      </c>
      <c r="F97" s="260">
        <f>F29-G29</f>
        <v>-11</v>
      </c>
      <c r="G97" s="52"/>
      <c r="H97" s="52"/>
      <c r="I97" s="52"/>
      <c r="J97" s="52"/>
      <c r="K97" s="52"/>
      <c r="L97" s="52"/>
      <c r="M97" s="52"/>
      <c r="N97" s="52"/>
      <c r="O97" s="52"/>
      <c r="P97" s="52"/>
      <c r="Q97" s="52"/>
      <c r="R97" s="52"/>
      <c r="S97" s="52"/>
      <c r="T97" s="52"/>
      <c r="U97" s="276"/>
      <c r="V97" s="244"/>
    </row>
    <row r="98" spans="1:22">
      <c r="A98" s="175" t="s">
        <v>368</v>
      </c>
      <c r="B98" s="2"/>
      <c r="C98" s="180">
        <f>C28-D28</f>
        <v>-52</v>
      </c>
      <c r="D98" s="181">
        <f>D28-E28</f>
        <v>62</v>
      </c>
      <c r="E98" s="181">
        <f>E28-F28</f>
        <v>21</v>
      </c>
      <c r="F98" s="260">
        <f>F28-G28</f>
        <v>-12</v>
      </c>
      <c r="G98" s="52"/>
      <c r="H98" s="52"/>
      <c r="I98" s="52"/>
      <c r="J98" s="52"/>
      <c r="K98" s="52"/>
      <c r="L98" s="52"/>
      <c r="M98" s="52"/>
      <c r="N98" s="52"/>
      <c r="O98" s="52"/>
      <c r="P98" s="52"/>
      <c r="Q98" s="52"/>
      <c r="R98" s="52"/>
      <c r="S98" s="52"/>
      <c r="T98" s="52"/>
      <c r="U98" s="276"/>
      <c r="V98" s="244"/>
    </row>
    <row r="99" spans="1:22">
      <c r="A99" s="175" t="s">
        <v>356</v>
      </c>
      <c r="B99" s="2"/>
      <c r="C99" s="180">
        <f>D69+D66</f>
        <v>18</v>
      </c>
      <c r="D99" s="181">
        <f>E69+E66</f>
        <v>-93</v>
      </c>
      <c r="E99" s="181">
        <f>F69 + F66</f>
        <v>3</v>
      </c>
      <c r="F99" s="260">
        <f>G69 + G66</f>
        <v>-1</v>
      </c>
      <c r="G99" s="52"/>
      <c r="H99" s="52"/>
      <c r="I99" s="52"/>
      <c r="J99" s="52"/>
      <c r="K99" s="52"/>
      <c r="L99" s="52"/>
      <c r="M99" s="52"/>
      <c r="N99" s="52"/>
      <c r="O99" s="52"/>
      <c r="P99" s="52"/>
      <c r="Q99" s="52"/>
      <c r="R99" s="52"/>
      <c r="S99" s="52"/>
      <c r="T99" s="52"/>
      <c r="U99" s="276"/>
      <c r="V99" s="244"/>
    </row>
    <row r="100" spans="1:22">
      <c r="A100" s="335" t="s">
        <v>357</v>
      </c>
      <c r="B100" s="17"/>
      <c r="C100" s="184">
        <f>C83+C92+SUM(C94:C99)</f>
        <v>-163.96706586826349</v>
      </c>
      <c r="D100" s="185">
        <f t="shared" ref="D100:F100" si="5">D83+D92+SUM(D94:D99)</f>
        <v>696.80208333333326</v>
      </c>
      <c r="E100" s="185">
        <f>E83+E92+SUM(E94:E99)</f>
        <v>-73.876811594202877</v>
      </c>
      <c r="F100" s="266">
        <f t="shared" si="5"/>
        <v>191.91808873720134</v>
      </c>
      <c r="G100" s="52"/>
      <c r="H100" s="52"/>
      <c r="I100" s="52"/>
      <c r="J100" s="52"/>
      <c r="K100" s="52"/>
      <c r="L100" s="52"/>
      <c r="M100" s="52"/>
      <c r="N100" s="52"/>
      <c r="O100" s="52"/>
      <c r="P100" s="52"/>
      <c r="Q100" s="52"/>
      <c r="R100" s="52"/>
      <c r="S100" s="52"/>
      <c r="T100" s="52"/>
      <c r="U100" s="276"/>
      <c r="V100" s="244"/>
    </row>
    <row r="101" spans="1:22">
      <c r="A101" s="175" t="s">
        <v>358</v>
      </c>
      <c r="B101" s="2"/>
      <c r="C101" s="188"/>
      <c r="D101" s="626"/>
      <c r="E101" s="626"/>
      <c r="F101" s="628"/>
      <c r="G101" s="52"/>
      <c r="H101" s="52"/>
      <c r="I101" s="52"/>
      <c r="J101" s="52"/>
      <c r="K101" s="52"/>
      <c r="L101" s="52"/>
      <c r="M101" s="52"/>
      <c r="N101" s="52"/>
      <c r="O101" s="52"/>
      <c r="P101" s="52"/>
      <c r="Q101" s="52"/>
      <c r="R101" s="52"/>
      <c r="S101" s="52"/>
      <c r="T101" s="52"/>
      <c r="U101" s="276"/>
      <c r="V101" s="244"/>
    </row>
    <row r="102" spans="1:22">
      <c r="A102" s="175"/>
      <c r="B102" s="2"/>
      <c r="C102" s="180"/>
      <c r="D102" s="181"/>
      <c r="E102" s="181"/>
      <c r="F102" s="260"/>
      <c r="G102" s="52"/>
      <c r="H102" s="52"/>
      <c r="I102" s="52"/>
      <c r="J102" s="52"/>
      <c r="K102" s="52"/>
      <c r="L102" s="52"/>
      <c r="M102" s="52"/>
      <c r="N102" s="52"/>
      <c r="O102" s="52"/>
      <c r="P102" s="52"/>
      <c r="Q102" s="52"/>
      <c r="R102" s="52"/>
      <c r="S102" s="52"/>
      <c r="T102" s="52"/>
      <c r="U102" s="276"/>
      <c r="V102" s="244"/>
    </row>
    <row r="103" spans="1:22">
      <c r="A103" s="175" t="s">
        <v>359</v>
      </c>
      <c r="B103" s="2"/>
      <c r="C103" s="180">
        <f>C7-D7+D62</f>
        <v>-107</v>
      </c>
      <c r="D103" s="181">
        <f>D7-E7+E62</f>
        <v>-103</v>
      </c>
      <c r="E103" s="181">
        <f>E7-F7+F62</f>
        <v>-32</v>
      </c>
      <c r="F103" s="260">
        <f>F7-G7+G62</f>
        <v>-151</v>
      </c>
      <c r="G103" s="52"/>
      <c r="H103" s="52"/>
      <c r="I103" s="52"/>
      <c r="J103" s="52"/>
      <c r="K103" s="52"/>
      <c r="L103" s="52"/>
      <c r="M103" s="52"/>
      <c r="N103" s="52"/>
      <c r="O103" s="52"/>
      <c r="P103" s="52"/>
      <c r="Q103" s="52"/>
      <c r="R103" s="52"/>
      <c r="S103" s="52"/>
      <c r="T103" s="52"/>
      <c r="U103" s="276"/>
      <c r="V103" s="244"/>
    </row>
    <row r="104" spans="1:22">
      <c r="A104" s="175" t="s">
        <v>360</v>
      </c>
      <c r="B104" s="2"/>
      <c r="C104" s="180">
        <f>C39-D39</f>
        <v>253</v>
      </c>
      <c r="D104" s="181">
        <f>D39-E39</f>
        <v>-47</v>
      </c>
      <c r="E104" s="181">
        <f>E39-F39</f>
        <v>-185</v>
      </c>
      <c r="F104" s="260">
        <f>F39-G39</f>
        <v>-105</v>
      </c>
      <c r="G104" s="52"/>
      <c r="H104" s="52"/>
      <c r="I104" s="52"/>
      <c r="J104" s="52"/>
      <c r="K104" s="52"/>
      <c r="L104" s="52"/>
      <c r="M104" s="52"/>
      <c r="N104" s="52"/>
      <c r="O104" s="52"/>
      <c r="P104" s="52"/>
      <c r="Q104" s="52"/>
      <c r="R104" s="52"/>
      <c r="S104" s="52"/>
      <c r="T104" s="52"/>
      <c r="U104" s="276"/>
      <c r="V104" s="244"/>
    </row>
    <row r="105" spans="1:22">
      <c r="A105" s="175" t="s">
        <v>377</v>
      </c>
      <c r="B105" s="2"/>
      <c r="C105" s="245">
        <f>-C82</f>
        <v>42.967065868263475</v>
      </c>
      <c r="D105" s="246">
        <f t="shared" ref="D105:F105" si="6">-D82</f>
        <v>47.197916666666664</v>
      </c>
      <c r="E105" s="246">
        <f t="shared" si="6"/>
        <v>29.876811594202898</v>
      </c>
      <c r="F105" s="261">
        <f t="shared" si="6"/>
        <v>32.081911262798634</v>
      </c>
      <c r="G105" s="52"/>
      <c r="H105" s="52"/>
      <c r="I105" s="52"/>
      <c r="J105" s="52"/>
      <c r="K105" s="52"/>
      <c r="L105" s="52"/>
      <c r="M105" s="52"/>
      <c r="N105" s="52"/>
      <c r="O105" s="52"/>
      <c r="P105" s="52"/>
      <c r="Q105" s="52"/>
      <c r="R105" s="52"/>
      <c r="S105" s="52"/>
      <c r="T105" s="52"/>
      <c r="U105" s="276"/>
      <c r="V105" s="244"/>
    </row>
    <row r="106" spans="1:22">
      <c r="A106" s="335" t="s">
        <v>361</v>
      </c>
      <c r="B106" s="17"/>
      <c r="C106" s="184">
        <f>C100+C103+C104+C105</f>
        <v>24.999999999999986</v>
      </c>
      <c r="D106" s="185">
        <f t="shared" ref="D106:F106" si="7">D100+D103+D104+D105</f>
        <v>593.99999999999989</v>
      </c>
      <c r="E106" s="185">
        <f t="shared" si="7"/>
        <v>-261</v>
      </c>
      <c r="F106" s="266">
        <f t="shared" si="7"/>
        <v>-32.000000000000021</v>
      </c>
      <c r="G106" s="52"/>
      <c r="H106" s="52"/>
      <c r="I106" s="52"/>
      <c r="J106" s="52"/>
      <c r="K106" s="52"/>
      <c r="L106" s="52"/>
      <c r="M106" s="52"/>
      <c r="N106" s="52"/>
      <c r="O106" s="52"/>
      <c r="P106" s="52"/>
      <c r="Q106" s="52"/>
      <c r="R106" s="52"/>
      <c r="S106" s="52"/>
      <c r="T106" s="52"/>
      <c r="U106" s="276"/>
      <c r="V106" s="244"/>
    </row>
    <row r="107" spans="1:22">
      <c r="A107" s="175" t="s">
        <v>362</v>
      </c>
      <c r="B107" s="2"/>
      <c r="C107" s="180"/>
      <c r="D107" s="181"/>
      <c r="E107" s="181"/>
      <c r="F107" s="260"/>
      <c r="G107" s="52"/>
      <c r="H107" s="52"/>
      <c r="I107" s="52"/>
      <c r="J107" s="52"/>
      <c r="K107" s="52"/>
      <c r="L107" s="52"/>
      <c r="M107" s="52"/>
      <c r="N107" s="52"/>
      <c r="O107" s="52"/>
      <c r="P107" s="52"/>
      <c r="Q107" s="52"/>
      <c r="R107" s="52"/>
      <c r="S107" s="52"/>
      <c r="T107" s="52"/>
      <c r="U107" s="276"/>
      <c r="V107" s="244"/>
    </row>
    <row r="108" spans="1:22">
      <c r="A108" s="175"/>
      <c r="B108" s="2"/>
      <c r="C108" s="186"/>
      <c r="D108" s="187"/>
      <c r="E108" s="187"/>
      <c r="F108" s="267"/>
      <c r="G108" s="52"/>
      <c r="H108" s="52"/>
      <c r="I108" s="52"/>
      <c r="J108" s="52"/>
      <c r="K108" s="52"/>
      <c r="L108" s="52"/>
      <c r="M108" s="52"/>
      <c r="N108" s="52"/>
      <c r="O108" s="52"/>
      <c r="P108" s="52"/>
      <c r="Q108" s="52"/>
      <c r="R108" s="52"/>
      <c r="S108" s="52"/>
      <c r="T108" s="52"/>
      <c r="U108" s="276"/>
      <c r="V108" s="244"/>
    </row>
    <row r="109" spans="1:22">
      <c r="A109" s="175" t="s">
        <v>363</v>
      </c>
      <c r="B109" s="2"/>
      <c r="C109" s="186">
        <f>C35-D35-D71</f>
        <v>105</v>
      </c>
      <c r="D109" s="187">
        <f>D35-E35-E71</f>
        <v>-557</v>
      </c>
      <c r="E109" s="187">
        <f>E35-F35-F71</f>
        <v>139</v>
      </c>
      <c r="F109" s="267">
        <f>F35-G35-G71</f>
        <v>-265</v>
      </c>
      <c r="G109" s="52"/>
      <c r="H109" s="52"/>
      <c r="I109" s="52"/>
      <c r="J109" s="52"/>
      <c r="K109" s="52"/>
      <c r="L109" s="52"/>
      <c r="M109" s="52"/>
      <c r="N109" s="52"/>
      <c r="O109" s="52"/>
      <c r="P109" s="52"/>
      <c r="Q109" s="52"/>
      <c r="R109" s="52"/>
      <c r="S109" s="52"/>
      <c r="T109" s="52"/>
      <c r="U109" s="276"/>
      <c r="V109" s="244"/>
    </row>
    <row r="110" spans="1:22">
      <c r="A110" s="291" t="s">
        <v>364</v>
      </c>
      <c r="B110" s="2"/>
      <c r="C110" s="186">
        <f t="shared" ref="C110" si="8">C106+C109</f>
        <v>130</v>
      </c>
      <c r="D110" s="187">
        <f t="shared" ref="D110" si="9">D106+D109</f>
        <v>36.999999999999886</v>
      </c>
      <c r="E110" s="187">
        <f t="shared" ref="E110" si="10">E106+E109</f>
        <v>-122</v>
      </c>
      <c r="F110" s="267">
        <f t="shared" ref="F110" si="11">F106+F109</f>
        <v>-297</v>
      </c>
      <c r="G110" s="52"/>
      <c r="H110" s="52"/>
      <c r="I110" s="52"/>
      <c r="J110" s="52"/>
      <c r="K110" s="52"/>
      <c r="L110" s="52"/>
      <c r="M110" s="52"/>
      <c r="N110" s="52"/>
      <c r="O110" s="52"/>
      <c r="P110" s="52"/>
      <c r="Q110" s="52"/>
      <c r="R110" s="52"/>
      <c r="S110" s="52"/>
      <c r="T110" s="52"/>
      <c r="U110" s="276"/>
      <c r="V110" s="244"/>
    </row>
    <row r="111" spans="1:22">
      <c r="A111" s="175"/>
      <c r="B111" s="2"/>
      <c r="C111" s="186"/>
      <c r="D111" s="187"/>
      <c r="E111" s="187"/>
      <c r="F111" s="267"/>
      <c r="G111" s="1"/>
      <c r="H111" s="1"/>
      <c r="I111" s="1"/>
      <c r="J111" s="1"/>
      <c r="K111" s="1"/>
      <c r="L111" s="1"/>
      <c r="M111" s="1"/>
      <c r="N111" s="1"/>
      <c r="O111" s="1"/>
      <c r="P111" s="1"/>
      <c r="Q111" s="1"/>
      <c r="R111" s="1"/>
      <c r="S111" s="1"/>
      <c r="T111" s="1"/>
      <c r="U111" s="244"/>
      <c r="V111" s="244"/>
    </row>
    <row r="112" spans="1:22">
      <c r="A112" s="175" t="s">
        <v>365</v>
      </c>
      <c r="B112" s="2"/>
      <c r="C112" s="186">
        <f>C41</f>
        <v>559</v>
      </c>
      <c r="D112" s="187">
        <f>D41</f>
        <v>689</v>
      </c>
      <c r="E112" s="187">
        <f>E41</f>
        <v>726</v>
      </c>
      <c r="F112" s="267">
        <f>F41</f>
        <v>604</v>
      </c>
      <c r="G112" s="1"/>
      <c r="H112" s="1"/>
      <c r="I112" s="1"/>
      <c r="J112" s="1"/>
      <c r="K112" s="1"/>
      <c r="L112" s="1"/>
      <c r="M112" s="1"/>
      <c r="N112" s="1"/>
      <c r="O112" s="1"/>
      <c r="P112" s="1"/>
      <c r="Q112" s="1"/>
      <c r="R112" s="1"/>
      <c r="S112" s="1"/>
      <c r="T112" s="1"/>
      <c r="U112" s="244"/>
      <c r="V112" s="244"/>
    </row>
    <row r="113" spans="1:22">
      <c r="A113" s="175" t="s">
        <v>366</v>
      </c>
      <c r="B113" s="2"/>
      <c r="C113" s="186">
        <f>D41</f>
        <v>689</v>
      </c>
      <c r="D113" s="187">
        <f>E41</f>
        <v>726</v>
      </c>
      <c r="E113" s="187">
        <f>F41</f>
        <v>604</v>
      </c>
      <c r="F113" s="267">
        <f>G41</f>
        <v>307</v>
      </c>
      <c r="G113" s="1"/>
      <c r="H113" s="1"/>
      <c r="I113" s="1"/>
      <c r="J113" s="1"/>
      <c r="K113" s="1"/>
      <c r="L113" s="1"/>
      <c r="M113" s="1"/>
      <c r="N113" s="1"/>
      <c r="O113" s="1"/>
      <c r="P113" s="1"/>
      <c r="Q113" s="1"/>
      <c r="R113" s="1"/>
      <c r="S113" s="1"/>
      <c r="T113" s="1"/>
      <c r="U113" s="244"/>
      <c r="V113" s="244"/>
    </row>
    <row r="114" spans="1:22" ht="15" thickBot="1">
      <c r="A114" s="336" t="s">
        <v>367</v>
      </c>
      <c r="B114" s="270"/>
      <c r="C114" s="271">
        <f>C113-C112</f>
        <v>130</v>
      </c>
      <c r="D114" s="627">
        <f t="shared" ref="D114:F114" si="12">D113-D112</f>
        <v>37</v>
      </c>
      <c r="E114" s="627">
        <f t="shared" si="12"/>
        <v>-122</v>
      </c>
      <c r="F114" s="629">
        <f t="shared" si="12"/>
        <v>-297</v>
      </c>
      <c r="G114" s="1"/>
      <c r="H114" s="1"/>
      <c r="I114" s="1"/>
      <c r="J114" s="1"/>
      <c r="K114" s="1"/>
      <c r="L114" s="1"/>
      <c r="M114" s="1"/>
      <c r="N114" s="1"/>
      <c r="O114" s="1"/>
      <c r="P114" s="1"/>
      <c r="Q114" s="1"/>
      <c r="R114" s="1"/>
      <c r="S114" s="1"/>
      <c r="T114" s="1"/>
      <c r="U114" s="244"/>
      <c r="V114" s="244"/>
    </row>
    <row r="115" spans="1:22" ht="15" thickBot="1">
      <c r="A115" s="257"/>
      <c r="B115" s="52"/>
      <c r="C115" s="52"/>
      <c r="D115" s="52"/>
      <c r="E115" s="52"/>
      <c r="F115" s="278"/>
      <c r="G115" s="1"/>
      <c r="H115" s="1"/>
      <c r="I115" s="1"/>
      <c r="J115" s="1"/>
      <c r="K115" s="1"/>
      <c r="L115" s="1"/>
      <c r="M115" s="1"/>
      <c r="N115" s="1"/>
      <c r="O115" s="1"/>
      <c r="P115" s="1"/>
      <c r="Q115" s="1"/>
      <c r="R115" s="1"/>
      <c r="S115" s="1"/>
      <c r="T115" s="1"/>
    </row>
    <row r="116" spans="1:22" ht="15" thickBot="1">
      <c r="A116" s="273" t="s">
        <v>378</v>
      </c>
      <c r="B116" s="274"/>
      <c r="C116" s="338">
        <f t="shared" ref="C116:E116" si="13">C110-C114</f>
        <v>0</v>
      </c>
      <c r="D116" s="339">
        <f>D110-D114</f>
        <v>-1.1368683772161603E-13</v>
      </c>
      <c r="E116" s="338">
        <f t="shared" si="13"/>
        <v>0</v>
      </c>
      <c r="F116" s="338">
        <f>F110-F114</f>
        <v>0</v>
      </c>
      <c r="G116" s="1"/>
      <c r="H116" s="1"/>
      <c r="I116" s="1"/>
      <c r="J116" s="1"/>
      <c r="K116" s="1"/>
      <c r="L116" s="1"/>
      <c r="M116" s="1"/>
      <c r="N116" s="1"/>
      <c r="O116" s="1"/>
      <c r="P116" s="1"/>
      <c r="Q116" s="1"/>
      <c r="R116" s="1"/>
      <c r="S116" s="1"/>
      <c r="T116" s="1"/>
    </row>
    <row r="117" spans="1:22">
      <c r="A117" s="1"/>
      <c r="B117" s="1"/>
      <c r="C117" s="1"/>
      <c r="D117" s="1"/>
      <c r="E117" s="1"/>
      <c r="F117" s="1"/>
      <c r="G117" s="1"/>
      <c r="H117" s="1"/>
      <c r="I117" s="1"/>
      <c r="J117" s="1"/>
      <c r="K117" s="1"/>
      <c r="L117" s="1"/>
      <c r="M117" s="1"/>
      <c r="N117" s="1"/>
      <c r="O117" s="1"/>
      <c r="P117" s="1"/>
      <c r="Q117" s="1"/>
      <c r="R117" s="1"/>
      <c r="S117" s="1"/>
      <c r="T117" s="1"/>
    </row>
    <row r="118" spans="1:22">
      <c r="A118" s="1"/>
      <c r="B118" s="1"/>
      <c r="C118" s="428"/>
      <c r="D118" s="1"/>
      <c r="E118" s="1"/>
      <c r="F118" s="1"/>
      <c r="G118" s="1"/>
      <c r="H118" s="1"/>
      <c r="I118" s="1"/>
      <c r="J118" s="1"/>
      <c r="K118" s="1"/>
      <c r="L118" s="1"/>
      <c r="M118" s="1"/>
      <c r="N118" s="1"/>
      <c r="O118" s="1"/>
      <c r="P118" s="1"/>
      <c r="Q118" s="1"/>
      <c r="R118" s="1"/>
      <c r="S118" s="1"/>
      <c r="T118" s="1"/>
    </row>
    <row r="119" spans="1:22">
      <c r="A119" s="1"/>
      <c r="B119" s="1"/>
      <c r="C119" s="428"/>
      <c r="D119" s="1"/>
      <c r="E119" s="1"/>
      <c r="F119" s="1"/>
      <c r="G119" s="1"/>
      <c r="H119" s="1"/>
      <c r="I119" s="1"/>
      <c r="J119" s="1"/>
      <c r="K119" s="1"/>
      <c r="L119" s="1"/>
      <c r="M119" s="1"/>
      <c r="N119" s="1"/>
      <c r="O119" s="1"/>
      <c r="P119" s="1"/>
      <c r="Q119" s="1"/>
      <c r="R119" s="1"/>
      <c r="S119" s="1"/>
      <c r="T119" s="1"/>
    </row>
    <row r="120" spans="1:22">
      <c r="A120" s="1"/>
      <c r="B120" s="1"/>
      <c r="C120" s="428"/>
      <c r="D120" s="1"/>
      <c r="E120" s="1"/>
      <c r="F120" s="1"/>
      <c r="G120" s="1"/>
      <c r="H120" s="1"/>
      <c r="I120" s="1"/>
      <c r="J120" s="1"/>
      <c r="K120" s="1"/>
      <c r="L120" s="1"/>
      <c r="M120" s="1"/>
      <c r="N120" s="1"/>
      <c r="O120" s="1"/>
      <c r="P120" s="1"/>
      <c r="Q120" s="1"/>
      <c r="R120" s="1"/>
      <c r="S120" s="1"/>
      <c r="T120" s="1"/>
    </row>
    <row r="121" spans="1:22">
      <c r="A121" s="1"/>
      <c r="B121" s="1"/>
      <c r="C121" s="428"/>
      <c r="D121" s="1"/>
      <c r="E121" s="1"/>
      <c r="F121" s="1"/>
      <c r="G121" s="1"/>
      <c r="H121" s="1"/>
      <c r="I121" s="1"/>
      <c r="J121" s="1"/>
      <c r="K121" s="1"/>
      <c r="L121" s="1"/>
      <c r="M121" s="1"/>
      <c r="N121" s="1"/>
      <c r="O121" s="1"/>
      <c r="P121" s="1"/>
      <c r="Q121" s="1"/>
      <c r="R121" s="1"/>
      <c r="S121" s="1"/>
      <c r="T121" s="1"/>
    </row>
    <row r="122" spans="1:22">
      <c r="A122" s="1"/>
      <c r="B122" s="1"/>
      <c r="C122" s="428"/>
      <c r="D122" s="1"/>
      <c r="E122" s="1"/>
      <c r="F122" s="1"/>
      <c r="G122" s="1"/>
      <c r="H122" s="1"/>
      <c r="I122" s="1"/>
      <c r="J122" s="1"/>
      <c r="K122" s="1"/>
      <c r="L122" s="1"/>
      <c r="M122" s="1"/>
      <c r="N122" s="1"/>
      <c r="O122" s="1"/>
      <c r="P122" s="1"/>
      <c r="Q122" s="1"/>
      <c r="R122" s="1"/>
      <c r="S122" s="1"/>
      <c r="T122" s="1"/>
    </row>
    <row r="123" spans="1:22">
      <c r="A123" s="1"/>
      <c r="B123" s="1"/>
      <c r="C123" s="428"/>
      <c r="D123" s="1"/>
      <c r="E123" s="1"/>
      <c r="F123" s="1"/>
      <c r="G123" s="1"/>
      <c r="H123" s="1"/>
      <c r="I123" s="1"/>
      <c r="J123" s="1"/>
      <c r="K123" s="1"/>
      <c r="L123" s="1"/>
      <c r="M123" s="1"/>
      <c r="N123" s="1"/>
      <c r="O123" s="1"/>
      <c r="P123" s="1"/>
      <c r="Q123" s="1"/>
      <c r="R123" s="1"/>
      <c r="S123" s="1"/>
      <c r="T123" s="1"/>
    </row>
    <row r="124" spans="1:22">
      <c r="A124" s="1"/>
      <c r="B124" s="1"/>
      <c r="C124" s="429"/>
      <c r="D124" s="1"/>
      <c r="E124" s="1"/>
      <c r="F124" s="1"/>
      <c r="G124" s="1"/>
      <c r="H124" s="1"/>
      <c r="I124" s="1"/>
      <c r="J124" s="1"/>
      <c r="K124" s="1"/>
      <c r="L124" s="1"/>
      <c r="M124" s="1"/>
      <c r="N124" s="1"/>
      <c r="O124" s="1"/>
      <c r="P124" s="1"/>
      <c r="Q124" s="1"/>
      <c r="R124" s="1"/>
      <c r="S124" s="1"/>
      <c r="T124" s="1"/>
    </row>
    <row r="125" spans="1:22">
      <c r="A125" s="1"/>
      <c r="B125" s="1"/>
      <c r="C125" s="429"/>
      <c r="D125" s="1"/>
      <c r="E125" s="1"/>
      <c r="F125" s="1"/>
      <c r="G125" s="1"/>
      <c r="H125" s="1"/>
      <c r="I125" s="1"/>
      <c r="J125" s="1"/>
      <c r="K125" s="1"/>
      <c r="L125" s="1"/>
      <c r="M125" s="1"/>
      <c r="N125" s="1"/>
      <c r="O125" s="1"/>
      <c r="P125" s="1"/>
      <c r="Q125" s="1"/>
      <c r="R125" s="1"/>
      <c r="S125" s="1"/>
      <c r="T125" s="1"/>
    </row>
    <row r="126" spans="1:22">
      <c r="A126" s="1"/>
      <c r="B126" s="1"/>
      <c r="C126" s="1"/>
      <c r="D126" s="1"/>
      <c r="E126" s="1"/>
      <c r="F126" s="1"/>
      <c r="G126" s="1"/>
      <c r="H126" s="1"/>
      <c r="I126" s="1"/>
      <c r="J126" s="1"/>
      <c r="K126" s="1"/>
      <c r="L126" s="1"/>
      <c r="M126" s="1"/>
      <c r="N126" s="1"/>
      <c r="O126" s="1"/>
      <c r="P126" s="1"/>
      <c r="Q126" s="1"/>
      <c r="R126" s="1"/>
      <c r="S126" s="1"/>
      <c r="T126" s="1"/>
    </row>
    <row r="127" spans="1:22">
      <c r="A127" s="1"/>
      <c r="B127" s="52"/>
      <c r="C127" s="52"/>
      <c r="D127" s="52"/>
      <c r="E127" s="52"/>
      <c r="F127" s="52"/>
      <c r="G127" s="52"/>
      <c r="H127" s="52"/>
      <c r="I127" s="52"/>
      <c r="J127" s="52"/>
      <c r="K127" s="52"/>
      <c r="L127" s="52"/>
      <c r="M127" s="52"/>
      <c r="N127" s="52"/>
      <c r="O127" s="52"/>
      <c r="P127" s="52"/>
      <c r="Q127" s="52"/>
      <c r="R127" s="52"/>
      <c r="S127" s="52"/>
      <c r="T127" s="52"/>
      <c r="U127" s="276"/>
      <c r="V127" s="276"/>
    </row>
    <row r="128" spans="1:22" ht="15.6">
      <c r="A128" s="1"/>
      <c r="B128" s="430"/>
      <c r="C128" s="52"/>
      <c r="D128" s="52"/>
      <c r="E128" s="52"/>
      <c r="F128" s="52"/>
      <c r="G128" s="52"/>
      <c r="H128" s="52"/>
      <c r="I128" s="52"/>
      <c r="J128" s="52"/>
      <c r="K128" s="52"/>
      <c r="L128" s="52"/>
      <c r="M128" s="52"/>
      <c r="N128" s="52"/>
      <c r="O128" s="52"/>
      <c r="P128" s="52"/>
      <c r="Q128" s="52"/>
      <c r="R128" s="52"/>
      <c r="S128" s="52"/>
      <c r="T128" s="52"/>
      <c r="U128" s="276"/>
      <c r="V128" s="276"/>
    </row>
    <row r="129" spans="1:22">
      <c r="A129" s="1"/>
      <c r="B129" s="52"/>
      <c r="C129" s="52"/>
      <c r="D129" s="52"/>
      <c r="E129" s="52"/>
      <c r="F129" s="52"/>
      <c r="G129" s="52"/>
      <c r="H129" s="52"/>
      <c r="I129" s="52"/>
      <c r="J129" s="52"/>
      <c r="K129" s="52"/>
      <c r="L129" s="52"/>
      <c r="M129" s="52"/>
      <c r="N129" s="52"/>
      <c r="O129" s="52"/>
      <c r="P129" s="52"/>
      <c r="Q129" s="52"/>
      <c r="R129" s="52"/>
      <c r="S129" s="52"/>
      <c r="T129" s="52"/>
      <c r="U129" s="276"/>
      <c r="V129" s="276"/>
    </row>
    <row r="130" spans="1:22">
      <c r="A130" s="1"/>
      <c r="B130" s="52"/>
      <c r="C130" s="52"/>
      <c r="D130" s="431"/>
      <c r="E130" s="431"/>
      <c r="F130" s="427"/>
      <c r="G130" s="427"/>
      <c r="H130" s="284"/>
      <c r="I130" s="52"/>
      <c r="J130" s="284"/>
      <c r="K130" s="284"/>
      <c r="L130" s="52"/>
      <c r="M130" s="284"/>
      <c r="N130" s="284"/>
      <c r="O130" s="52"/>
      <c r="P130" s="284"/>
      <c r="Q130" s="284"/>
      <c r="R130" s="52"/>
      <c r="S130" s="284"/>
      <c r="T130" s="284"/>
      <c r="U130" s="276"/>
      <c r="V130" s="276"/>
    </row>
    <row r="131" spans="1:22">
      <c r="A131" s="1"/>
      <c r="B131" s="52"/>
      <c r="C131" s="52"/>
      <c r="D131" s="52"/>
      <c r="E131" s="370"/>
      <c r="F131" s="52"/>
      <c r="G131" s="52"/>
      <c r="H131" s="52"/>
      <c r="I131" s="52"/>
      <c r="J131" s="52"/>
      <c r="K131" s="52"/>
      <c r="L131" s="52"/>
      <c r="M131" s="52"/>
      <c r="N131" s="52"/>
      <c r="O131" s="52"/>
      <c r="P131" s="52"/>
      <c r="Q131" s="52"/>
      <c r="R131" s="52"/>
      <c r="S131" s="52"/>
      <c r="T131" s="52"/>
      <c r="U131" s="276"/>
      <c r="V131" s="276"/>
    </row>
    <row r="132" spans="1:22">
      <c r="A132" s="1"/>
      <c r="B132" s="52"/>
      <c r="C132" s="52"/>
      <c r="D132" s="52"/>
      <c r="E132" s="370"/>
      <c r="F132" s="52"/>
      <c r="G132" s="52"/>
      <c r="H132" s="52"/>
      <c r="I132" s="52"/>
      <c r="J132" s="52"/>
      <c r="K132" s="52"/>
      <c r="L132" s="52"/>
      <c r="M132" s="52"/>
      <c r="N132" s="52"/>
      <c r="O132" s="52"/>
      <c r="P132" s="52"/>
      <c r="Q132" s="52"/>
      <c r="R132" s="52"/>
      <c r="S132" s="52"/>
      <c r="T132" s="52"/>
      <c r="U132" s="276"/>
      <c r="V132" s="276"/>
    </row>
    <row r="133" spans="1:22">
      <c r="A133" s="1"/>
      <c r="B133" s="52"/>
      <c r="C133" s="52"/>
      <c r="D133" s="52"/>
      <c r="E133" s="370"/>
      <c r="F133" s="52"/>
      <c r="G133" s="52"/>
      <c r="H133" s="52"/>
      <c r="I133" s="52"/>
      <c r="J133" s="52"/>
      <c r="K133" s="52"/>
      <c r="L133" s="52"/>
      <c r="M133" s="52"/>
      <c r="N133" s="52"/>
      <c r="O133" s="52"/>
      <c r="P133" s="52"/>
      <c r="Q133" s="52"/>
      <c r="R133" s="52"/>
      <c r="S133" s="52"/>
      <c r="T133" s="52"/>
      <c r="U133" s="276"/>
      <c r="V133" s="276"/>
    </row>
    <row r="134" spans="1:22">
      <c r="A134" s="1"/>
      <c r="B134" s="52"/>
      <c r="C134" s="52"/>
      <c r="D134" s="52"/>
      <c r="E134" s="370"/>
      <c r="F134" s="52"/>
      <c r="G134" s="52"/>
      <c r="H134" s="52"/>
      <c r="I134" s="52"/>
      <c r="J134" s="52"/>
      <c r="K134" s="52"/>
      <c r="L134" s="52"/>
      <c r="M134" s="52"/>
      <c r="N134" s="52"/>
      <c r="O134" s="52"/>
      <c r="P134" s="52"/>
      <c r="Q134" s="52"/>
      <c r="R134" s="52"/>
      <c r="S134" s="52"/>
      <c r="T134" s="52"/>
      <c r="U134" s="276"/>
      <c r="V134" s="276"/>
    </row>
    <row r="135" spans="1:22">
      <c r="A135" s="1"/>
      <c r="B135" s="52"/>
      <c r="C135" s="52"/>
      <c r="D135" s="52"/>
      <c r="E135" s="370"/>
      <c r="F135" s="52"/>
      <c r="G135" s="52"/>
      <c r="H135" s="52"/>
      <c r="I135" s="52"/>
      <c r="J135" s="52"/>
      <c r="K135" s="52"/>
      <c r="L135" s="52"/>
      <c r="M135" s="52"/>
      <c r="N135" s="52"/>
      <c r="O135" s="52"/>
      <c r="P135" s="52"/>
      <c r="Q135" s="52"/>
      <c r="R135" s="52"/>
      <c r="S135" s="52"/>
      <c r="T135" s="52"/>
      <c r="U135" s="276"/>
      <c r="V135" s="276"/>
    </row>
    <row r="136" spans="1:22">
      <c r="A136" s="1"/>
      <c r="B136" s="52"/>
      <c r="C136" s="52"/>
      <c r="D136" s="52"/>
      <c r="E136" s="370"/>
      <c r="F136" s="52"/>
      <c r="G136" s="52"/>
      <c r="H136" s="52"/>
      <c r="I136" s="52"/>
      <c r="J136" s="52"/>
      <c r="K136" s="52"/>
      <c r="L136" s="52"/>
      <c r="M136" s="52"/>
      <c r="N136" s="52"/>
      <c r="O136" s="52"/>
      <c r="P136" s="52"/>
      <c r="Q136" s="52"/>
      <c r="R136" s="52"/>
      <c r="S136" s="52"/>
      <c r="T136" s="52"/>
      <c r="U136" s="276"/>
      <c r="V136" s="276"/>
    </row>
    <row r="137" spans="1:22">
      <c r="A137" s="1"/>
      <c r="B137" s="52"/>
      <c r="C137" s="52"/>
      <c r="D137" s="52"/>
      <c r="E137" s="370"/>
      <c r="F137" s="52"/>
      <c r="G137" s="52"/>
      <c r="H137" s="52"/>
      <c r="I137" s="52"/>
      <c r="J137" s="52"/>
      <c r="K137" s="52"/>
      <c r="L137" s="52"/>
      <c r="M137" s="52"/>
      <c r="N137" s="52"/>
      <c r="O137" s="52"/>
      <c r="P137" s="52"/>
      <c r="Q137" s="52"/>
      <c r="R137" s="52"/>
      <c r="S137" s="52"/>
      <c r="T137" s="52"/>
      <c r="U137" s="276"/>
      <c r="V137" s="276"/>
    </row>
    <row r="138" spans="1:22">
      <c r="A138" s="1"/>
      <c r="B138" s="52"/>
      <c r="C138" s="52"/>
      <c r="D138" s="52"/>
      <c r="E138" s="370"/>
      <c r="F138" s="52"/>
      <c r="G138" s="52"/>
      <c r="H138" s="52"/>
      <c r="I138" s="52"/>
      <c r="J138" s="52"/>
      <c r="K138" s="52"/>
      <c r="L138" s="52"/>
      <c r="M138" s="52"/>
      <c r="N138" s="52"/>
      <c r="O138" s="52"/>
      <c r="P138" s="52"/>
      <c r="Q138" s="52"/>
      <c r="R138" s="52"/>
      <c r="S138" s="52"/>
      <c r="T138" s="52"/>
      <c r="U138" s="276"/>
      <c r="V138" s="276"/>
    </row>
    <row r="139" spans="1:22">
      <c r="A139" s="1"/>
      <c r="B139" s="52"/>
      <c r="C139" s="52"/>
      <c r="D139" s="52"/>
      <c r="E139" s="370"/>
      <c r="F139" s="52"/>
      <c r="G139" s="52"/>
      <c r="H139" s="52"/>
      <c r="I139" s="52"/>
      <c r="J139" s="52"/>
      <c r="K139" s="52"/>
      <c r="L139" s="52"/>
      <c r="M139" s="52"/>
      <c r="N139" s="52"/>
      <c r="O139" s="52"/>
      <c r="P139" s="52"/>
      <c r="Q139" s="52"/>
      <c r="R139" s="52"/>
      <c r="S139" s="52"/>
      <c r="T139" s="52"/>
      <c r="U139" s="276"/>
      <c r="V139" s="276"/>
    </row>
    <row r="140" spans="1:22">
      <c r="A140" s="1"/>
      <c r="B140" s="52"/>
      <c r="C140" s="52"/>
      <c r="D140" s="52"/>
      <c r="E140" s="370"/>
      <c r="F140" s="52"/>
      <c r="G140" s="52"/>
      <c r="H140" s="52"/>
      <c r="I140" s="52"/>
      <c r="J140" s="52"/>
      <c r="K140" s="52"/>
      <c r="L140" s="52"/>
      <c r="M140" s="52"/>
      <c r="N140" s="52"/>
      <c r="O140" s="52"/>
      <c r="P140" s="52"/>
      <c r="Q140" s="52"/>
      <c r="R140" s="52"/>
      <c r="S140" s="52"/>
      <c r="T140" s="52"/>
      <c r="U140" s="276"/>
      <c r="V140" s="276"/>
    </row>
    <row r="141" spans="1:22">
      <c r="A141" s="1"/>
      <c r="B141" s="52"/>
      <c r="C141" s="52"/>
      <c r="D141" s="52"/>
      <c r="E141" s="370"/>
      <c r="F141" s="52"/>
      <c r="G141" s="52"/>
      <c r="H141" s="52"/>
      <c r="I141" s="52"/>
      <c r="J141" s="52"/>
      <c r="K141" s="52"/>
      <c r="L141" s="52"/>
      <c r="M141" s="52"/>
      <c r="N141" s="52"/>
      <c r="O141" s="52"/>
      <c r="P141" s="52"/>
      <c r="Q141" s="52"/>
      <c r="R141" s="52"/>
      <c r="S141" s="52"/>
      <c r="T141" s="52"/>
      <c r="U141" s="276"/>
      <c r="V141" s="276"/>
    </row>
    <row r="142" spans="1:22">
      <c r="A142" s="1"/>
      <c r="B142" s="52"/>
      <c r="C142" s="52"/>
      <c r="D142" s="52"/>
      <c r="E142" s="370"/>
      <c r="F142" s="52"/>
      <c r="G142" s="52"/>
      <c r="H142" s="52"/>
      <c r="I142" s="52"/>
      <c r="J142" s="52"/>
      <c r="K142" s="52"/>
      <c r="L142" s="52"/>
      <c r="M142" s="52"/>
      <c r="N142" s="52"/>
      <c r="O142" s="52"/>
      <c r="P142" s="52"/>
      <c r="Q142" s="52"/>
      <c r="R142" s="52"/>
      <c r="S142" s="52"/>
      <c r="T142" s="52"/>
      <c r="U142" s="276"/>
      <c r="V142" s="276"/>
    </row>
    <row r="143" spans="1:22">
      <c r="B143" s="276"/>
      <c r="C143" s="276"/>
      <c r="D143" s="276"/>
      <c r="E143" s="337"/>
      <c r="F143" s="276"/>
      <c r="G143" s="276"/>
      <c r="H143" s="52"/>
      <c r="I143" s="52"/>
      <c r="J143" s="52"/>
      <c r="K143" s="52"/>
      <c r="L143" s="52"/>
      <c r="M143" s="52"/>
      <c r="N143" s="52"/>
      <c r="O143" s="52"/>
      <c r="P143" s="52"/>
      <c r="Q143" s="52"/>
      <c r="R143" s="52"/>
      <c r="S143" s="52"/>
      <c r="T143" s="52"/>
      <c r="U143" s="276"/>
      <c r="V143" s="276"/>
    </row>
    <row r="144" spans="1:22">
      <c r="B144" s="276"/>
      <c r="C144" s="276"/>
      <c r="D144" s="276"/>
      <c r="E144" s="337"/>
      <c r="F144" s="276"/>
      <c r="G144" s="276"/>
      <c r="H144" s="276"/>
      <c r="I144" s="276"/>
      <c r="J144" s="276"/>
      <c r="K144" s="276"/>
      <c r="L144" s="276"/>
      <c r="M144" s="276"/>
      <c r="N144" s="276"/>
      <c r="O144" s="276"/>
      <c r="P144" s="276"/>
      <c r="Q144" s="276"/>
      <c r="R144" s="276"/>
      <c r="S144" s="276"/>
      <c r="T144" s="276"/>
      <c r="U144" s="276"/>
      <c r="V144" s="276"/>
    </row>
    <row r="145" spans="2:22">
      <c r="B145" s="276"/>
      <c r="C145" s="276"/>
      <c r="D145" s="276"/>
      <c r="E145" s="337"/>
      <c r="F145" s="276"/>
      <c r="G145" s="276"/>
      <c r="H145" s="276"/>
      <c r="I145" s="276"/>
      <c r="J145" s="276"/>
      <c r="K145" s="276"/>
      <c r="L145" s="276"/>
      <c r="M145" s="276"/>
      <c r="N145" s="276"/>
      <c r="O145" s="276"/>
      <c r="P145" s="276"/>
      <c r="Q145" s="276"/>
      <c r="R145" s="276"/>
      <c r="S145" s="276"/>
      <c r="T145" s="276"/>
      <c r="U145" s="276"/>
      <c r="V145" s="276"/>
    </row>
    <row r="146" spans="2:22">
      <c r="B146" s="276"/>
      <c r="C146" s="276"/>
      <c r="D146" s="276"/>
      <c r="E146" s="276"/>
      <c r="F146" s="276"/>
      <c r="G146" s="276"/>
      <c r="H146" s="276"/>
      <c r="I146" s="276"/>
      <c r="J146" s="276"/>
      <c r="K146" s="276"/>
      <c r="L146" s="276"/>
      <c r="M146" s="276"/>
      <c r="N146" s="276"/>
      <c r="O146" s="276"/>
      <c r="P146" s="276"/>
      <c r="Q146" s="276"/>
      <c r="R146" s="276"/>
      <c r="S146" s="276"/>
      <c r="T146" s="276"/>
      <c r="U146" s="276"/>
      <c r="V146" s="276"/>
    </row>
  </sheetData>
  <mergeCells count="3">
    <mergeCell ref="B2:G2"/>
    <mergeCell ref="C49:G49"/>
    <mergeCell ref="C77:F77"/>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3258-A207-4BE2-92E2-CE9AE4CEFA8E}">
  <dimension ref="A1:CM294"/>
  <sheetViews>
    <sheetView topLeftCell="A37" zoomScale="66" zoomScaleNormal="66" workbookViewId="0">
      <selection activeCell="L48" sqref="L48"/>
    </sheetView>
  </sheetViews>
  <sheetFormatPr defaultRowHeight="14.4"/>
  <cols>
    <col min="1" max="1" width="3.33203125" customWidth="1"/>
    <col min="2" max="2" width="50.6640625" customWidth="1"/>
    <col min="3" max="3" width="22" customWidth="1"/>
    <col min="4" max="8" width="17.88671875" bestFit="1" customWidth="1"/>
    <col min="9" max="10" width="14.33203125" bestFit="1" customWidth="1"/>
    <col min="11" max="11" width="9.33203125" bestFit="1" customWidth="1"/>
    <col min="12" max="12" width="9.88671875" bestFit="1" customWidth="1"/>
    <col min="13" max="14" width="9.33203125" bestFit="1" customWidth="1"/>
  </cols>
  <sheetData>
    <row r="1" spans="1:91" ht="25.8">
      <c r="A1" s="249"/>
      <c r="B1" s="250" t="s">
        <v>504</v>
      </c>
      <c r="C1" s="250"/>
      <c r="D1" s="58"/>
      <c r="E1" s="58"/>
      <c r="F1" s="58"/>
      <c r="G1" s="58"/>
      <c r="H1" s="630"/>
      <c r="I1" s="160"/>
      <c r="J1" s="160"/>
      <c r="K1" s="126"/>
      <c r="L1" s="126"/>
      <c r="M1" s="126"/>
      <c r="N1" s="126"/>
      <c r="O1" s="126"/>
      <c r="P1" s="126"/>
      <c r="Q1" s="126"/>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row>
    <row r="2" spans="1:91" ht="24.6">
      <c r="A2" s="254"/>
      <c r="B2" s="60"/>
      <c r="C2" s="631"/>
      <c r="D2" s="913" t="s">
        <v>158</v>
      </c>
      <c r="E2" s="913"/>
      <c r="F2" s="913"/>
      <c r="G2" s="913"/>
      <c r="H2" s="922"/>
      <c r="I2" s="382"/>
      <c r="J2" s="382"/>
      <c r="K2" s="126"/>
      <c r="L2" s="126"/>
      <c r="M2" s="126"/>
      <c r="N2" s="126"/>
      <c r="O2" s="126"/>
      <c r="P2" s="126"/>
      <c r="Q2" s="126"/>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row>
    <row r="3" spans="1:91">
      <c r="A3" s="255"/>
      <c r="B3" s="61"/>
      <c r="C3" s="632" t="s">
        <v>708</v>
      </c>
      <c r="D3" s="124">
        <v>42369</v>
      </c>
      <c r="E3" s="124">
        <v>42735</v>
      </c>
      <c r="F3" s="124">
        <v>43100</v>
      </c>
      <c r="G3" s="124">
        <v>43465</v>
      </c>
      <c r="H3" s="290">
        <v>43830</v>
      </c>
      <c r="I3" s="382"/>
      <c r="J3" s="382"/>
      <c r="K3" s="126"/>
      <c r="L3" s="126"/>
      <c r="M3" s="126"/>
      <c r="N3" s="126"/>
      <c r="O3" s="126"/>
      <c r="P3" s="126"/>
      <c r="Q3" s="126"/>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row>
    <row r="4" spans="1:91" ht="21">
      <c r="A4" s="257"/>
      <c r="B4" s="591" t="s">
        <v>505</v>
      </c>
      <c r="C4" s="595"/>
      <c r="D4" s="52"/>
      <c r="E4" s="52"/>
      <c r="F4" s="52"/>
      <c r="G4" s="52"/>
      <c r="H4" s="278"/>
      <c r="I4" s="1"/>
      <c r="J4" s="1"/>
      <c r="K4" s="126"/>
      <c r="L4" s="126"/>
      <c r="M4" s="126"/>
      <c r="N4" s="126"/>
      <c r="O4" s="126"/>
      <c r="P4" s="126"/>
      <c r="Q4" s="126"/>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row>
    <row r="5" spans="1:91">
      <c r="A5" s="257"/>
      <c r="B5" s="592" t="s">
        <v>673</v>
      </c>
      <c r="C5" s="596" t="s">
        <v>307</v>
      </c>
      <c r="D5" s="639">
        <f>('Reorganised Statements'!D80*(1-0.279))/'Financial statements'!F94</f>
        <v>1.5816243240485663E-2</v>
      </c>
      <c r="E5" s="386">
        <f>('Reorganised Statements'!E80*(1-0.279))/'Financial statements'!G94</f>
        <v>3.0750264754019443E-2</v>
      </c>
      <c r="F5" s="386">
        <f>('Reorganised Statements'!F80*(1-0.279))/'Financial statements'!H94</f>
        <v>5.1453412403256606E-2</v>
      </c>
      <c r="G5" s="386">
        <f>('Reorganised Statements'!G80*(1-0.279))/'Financial statements'!I94</f>
        <v>4.1028549308042193E-2</v>
      </c>
      <c r="H5" s="368">
        <f>('Reorganised Statements'!H80*(1-0.279))/'Financial statements'!J94</f>
        <v>4.6184335664335663E-2</v>
      </c>
      <c r="I5" s="126"/>
      <c r="J5" s="126"/>
      <c r="K5" s="126"/>
      <c r="L5" s="126"/>
      <c r="M5" s="126"/>
      <c r="N5" s="126"/>
      <c r="O5" s="126"/>
      <c r="P5" s="126"/>
      <c r="Q5" s="126"/>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row>
    <row r="6" spans="1:91" ht="40.5" customHeight="1">
      <c r="A6" s="257"/>
      <c r="B6" s="592"/>
      <c r="C6" s="597"/>
      <c r="D6" s="2"/>
      <c r="E6" s="26"/>
      <c r="F6" s="26"/>
      <c r="G6" s="26"/>
      <c r="H6" s="554"/>
      <c r="I6" s="126"/>
      <c r="J6" s="126"/>
      <c r="K6" s="126"/>
      <c r="L6" s="126"/>
      <c r="M6" s="126"/>
      <c r="N6" s="126"/>
      <c r="O6" s="126"/>
      <c r="P6" s="126"/>
      <c r="Q6" s="126"/>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c r="A7" s="257"/>
      <c r="B7" s="592" t="s">
        <v>506</v>
      </c>
      <c r="C7" s="597" t="s">
        <v>507</v>
      </c>
      <c r="D7" s="120">
        <f>('Financial statements'!F265+(('Financial statements'!F237+'Financial statements'!F238)*(1-0.279)))/'Financial statements'!F94</f>
        <v>1.7747168656259565E-2</v>
      </c>
      <c r="E7" s="29">
        <f>('Financial statements'!G265+(('Financial statements'!G237+'Financial statements'!G238)*(1-0.279)))/'Financial statements'!G94</f>
        <v>3.1637046307884852E-2</v>
      </c>
      <c r="F7" s="29">
        <f>('Financial statements'!H265+(('Financial statements'!H237+'Financial statements'!H238)*(1-0.279)))/'Financial statements'!H94</f>
        <v>3.7639260227158508E-2</v>
      </c>
      <c r="G7" s="29">
        <f>('Financial statements'!I265+(('Financial statements'!I237+'Financial statements'!I238)*(1-0.279)))/'Financial statements'!I94</f>
        <v>4.0827252492015874E-2</v>
      </c>
      <c r="H7" s="633">
        <f>('Financial statements'!J265+(('Financial statements'!J237+'Financial statements'!J238)*(1-0.279)))/'Financial statements'!J94</f>
        <v>4.2858554778554783E-2</v>
      </c>
      <c r="I7" s="126"/>
      <c r="J7" s="126"/>
      <c r="K7" s="126"/>
      <c r="L7" s="126"/>
      <c r="M7" s="126"/>
      <c r="N7" s="126"/>
      <c r="O7" s="126"/>
      <c r="P7" s="126"/>
      <c r="Q7" s="126"/>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ht="41.25" customHeight="1">
      <c r="A8" s="257"/>
      <c r="B8" s="592"/>
      <c r="C8" s="597"/>
      <c r="D8" s="2"/>
      <c r="E8" s="26"/>
      <c r="F8" s="26"/>
      <c r="G8" s="26"/>
      <c r="H8" s="554"/>
      <c r="I8" s="126"/>
      <c r="J8" s="126"/>
      <c r="K8" s="126"/>
      <c r="L8" s="126"/>
      <c r="M8" s="126"/>
      <c r="N8" s="126"/>
      <c r="O8" s="126"/>
      <c r="P8" s="126"/>
      <c r="Q8" s="126"/>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c r="A9" s="257"/>
      <c r="B9" s="592" t="s">
        <v>508</v>
      </c>
      <c r="C9" s="598" t="s">
        <v>509</v>
      </c>
      <c r="D9" s="120">
        <f>('Reorganised Statements'!D80*(1-0.279))/('Financial statements'!F112-'Reorganised Statements'!D39)</f>
        <v>2.2019176136363634E-2</v>
      </c>
      <c r="E9" s="120">
        <f>('Reorganised Statements'!E80*(1-0.279))/('Financial statements'!G112-'Reorganised Statements'!E39)</f>
        <v>4.5151682216567707E-2</v>
      </c>
      <c r="F9" s="120">
        <f>('Reorganised Statements'!F80*(1-0.279))/('Financial statements'!H112-'Reorganised Statements'!F39)</f>
        <v>7.3645518630412882E-2</v>
      </c>
      <c r="G9" s="120">
        <f>('Reorganised Statements'!G80*(1-0.279))/('Financial statements'!I112-'Reorganised Statements'!G39)</f>
        <v>5.8873489793084294E-2</v>
      </c>
      <c r="H9" s="633">
        <f>('Reorganised Statements'!H80*(1-0.279))/('Financial statements'!J112-'Reorganised Statements'!H39)</f>
        <v>6.8208069402368496E-2</v>
      </c>
      <c r="I9" s="126"/>
      <c r="J9" s="126"/>
      <c r="K9" s="126"/>
      <c r="L9" s="126"/>
      <c r="M9" s="126"/>
      <c r="N9" s="126"/>
      <c r="O9" s="126"/>
      <c r="P9" s="126"/>
      <c r="Q9" s="126"/>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ht="41.25" customHeight="1">
      <c r="A10" s="257"/>
      <c r="B10" s="592"/>
      <c r="C10" s="597"/>
      <c r="D10" s="2"/>
      <c r="E10" s="26"/>
      <c r="F10" s="26"/>
      <c r="G10" s="26"/>
      <c r="H10" s="554"/>
      <c r="I10" s="126"/>
      <c r="J10" s="126"/>
      <c r="K10" s="126"/>
      <c r="L10" s="126"/>
      <c r="M10" s="126"/>
      <c r="N10" s="126"/>
      <c r="O10" s="126"/>
      <c r="P10" s="126"/>
      <c r="Q10" s="126"/>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c r="A11" s="257"/>
      <c r="B11" s="592" t="s">
        <v>711</v>
      </c>
      <c r="C11" s="597" t="s">
        <v>674</v>
      </c>
      <c r="D11" s="639">
        <f>('Reorganised Statements'!D80*(1-0.279))/(('Financial statements'!F112+'Financial statements'!G112 )/2-('Reorganised Statements'!D39+'Reorganised Statements'!E39)/2)</f>
        <v>2.1966132917670397E-2</v>
      </c>
      <c r="E11" s="639">
        <f>('Reorganised Statements'!E80*(1-0.279))/(('Financial statements'!G112+'Financial statements'!H112 )/2-('Reorganised Statements'!E39+'Reorganised Statements'!F39)/2)</f>
        <v>4.5547664884135468E-2</v>
      </c>
      <c r="F11" s="639">
        <f>('Reorganised Statements'!F80*(1-0.279))/(('Financial statements'!H112+'Financial statements'!I112 )/2-('Reorganised Statements'!F39+'Reorganised Statements'!G39)/2)</f>
        <v>7.2344544940644434E-2</v>
      </c>
      <c r="G11" s="639">
        <f>('Reorganised Statements'!G80*(1-0.279))/(('Financial statements'!I112+'Financial statements'!J112 )/2-('Reorganised Statements'!G39+'Reorganised Statements'!H39)/2)</f>
        <v>5.8625181497614601E-2</v>
      </c>
      <c r="H11" s="368"/>
      <c r="I11" s="387"/>
      <c r="J11" s="126"/>
      <c r="K11" s="126"/>
      <c r="L11" s="126"/>
      <c r="M11" s="126"/>
      <c r="N11" s="126"/>
      <c r="O11" s="126"/>
      <c r="P11" s="126"/>
      <c r="Q11" s="126"/>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ht="40.5" customHeight="1">
      <c r="A12" s="257"/>
      <c r="B12" s="369"/>
      <c r="C12" s="595"/>
      <c r="D12" s="639"/>
      <c r="E12" s="386"/>
      <c r="F12" s="386"/>
      <c r="G12" s="386"/>
      <c r="H12" s="368"/>
      <c r="I12" s="388"/>
      <c r="J12" s="388"/>
      <c r="K12" s="388"/>
      <c r="L12" s="388"/>
      <c r="M12" s="388"/>
      <c r="N12" s="388"/>
      <c r="O12" s="126"/>
      <c r="P12" s="126"/>
      <c r="Q12" s="126"/>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c r="A13" s="257"/>
      <c r="B13" s="592" t="s">
        <v>510</v>
      </c>
      <c r="C13" s="598" t="s">
        <v>675</v>
      </c>
      <c r="D13" s="120">
        <f>(('Reorganised Statements'!D80*(1-0.279))/'Financial statements'!F198)*('Financial statements'!F198/-('Reorganised Statements'!D35+'Reorganised Statements'!D39))</f>
        <v>2.2019176136363634E-2</v>
      </c>
      <c r="E13" s="120">
        <f>(('Reorganised Statements'!E80*(1-0.279))/'Financial statements'!G198)*('Financial statements'!G198/-('Reorganised Statements'!E35+'Reorganised Statements'!E39))</f>
        <v>4.5151682216567707E-2</v>
      </c>
      <c r="F13" s="120">
        <f>(('Reorganised Statements'!F80*(1-0.279))/'Financial statements'!H198)*('Financial statements'!H198/-('Reorganised Statements'!F35+'Reorganised Statements'!F39))</f>
        <v>7.3645518630412896E-2</v>
      </c>
      <c r="G13" s="120">
        <f>(('Reorganised Statements'!G80*(1-0.279))/'Financial statements'!I198)*('Financial statements'!I198/-('Reorganised Statements'!G35+'Reorganised Statements'!G39))</f>
        <v>5.8873489793084294E-2</v>
      </c>
      <c r="H13" s="633">
        <f>(('Reorganised Statements'!H80*(1-0.279))/'Financial statements'!J198)*('Financial statements'!J198/-('Reorganised Statements'!H35+'Reorganised Statements'!H39))</f>
        <v>6.820806940236851E-2</v>
      </c>
      <c r="I13" s="126"/>
      <c r="J13" s="126"/>
      <c r="K13" s="126"/>
      <c r="L13" s="126"/>
      <c r="M13" s="126"/>
      <c r="N13" s="126"/>
      <c r="O13" s="126"/>
      <c r="P13" s="126"/>
      <c r="Q13" s="126"/>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ht="41.25" customHeight="1">
      <c r="A14" s="257"/>
      <c r="B14" s="369"/>
      <c r="C14" s="595"/>
      <c r="D14" s="52"/>
      <c r="E14" s="386"/>
      <c r="F14" s="386"/>
      <c r="G14" s="386"/>
      <c r="H14" s="368"/>
      <c r="I14" s="126"/>
      <c r="J14" s="126"/>
      <c r="K14" s="126"/>
      <c r="L14" s="126"/>
      <c r="M14" s="126"/>
      <c r="N14" s="126"/>
      <c r="O14" s="126"/>
      <c r="P14" s="126"/>
      <c r="Q14" s="126"/>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c r="A15" s="257"/>
      <c r="B15" s="593" t="s">
        <v>709</v>
      </c>
      <c r="C15" s="597" t="s">
        <v>810</v>
      </c>
      <c r="D15" s="640">
        <f>D9+(D51)*(D9-((('Financial statements'!F237+'Financial statements'!F238)/'Financial statements'!F121))*(1-0.279))</f>
        <v>9.6539885414308434E-3</v>
      </c>
      <c r="E15" s="640">
        <f>E9+(E51)*(E9-((('Financial statements'!G237+'Financial statements'!G238)/'Financial statements'!G121))*(1-0.279))</f>
        <v>6.4865684759365771E-2</v>
      </c>
      <c r="F15" s="640">
        <f>F9+(F51)*(F9-((('Financial statements'!H237+'Financial statements'!H238)/'Financial statements'!H121))*(1-0.279))</f>
        <v>0.13948470613820163</v>
      </c>
      <c r="G15" s="640">
        <f>G9+(G51)*(G9-((('Financial statements'!I237+'Financial statements'!I238)/'Financial statements'!I121))*(1-0.279))</f>
        <v>9.3093939557667385E-2</v>
      </c>
      <c r="H15" s="634">
        <f>H9+(H51)*(H9-((('Financial statements'!J237+'Financial statements'!J238)/'Financial statements'!J121))*(1-0.279))</f>
        <v>0.11453675084937648</v>
      </c>
      <c r="I15" s="126"/>
      <c r="J15" s="126"/>
      <c r="K15" s="126"/>
      <c r="L15" s="126"/>
      <c r="M15" s="126"/>
      <c r="N15" s="126"/>
      <c r="O15" s="126"/>
      <c r="P15" s="126"/>
      <c r="Q15" s="126"/>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ht="40.5" customHeight="1">
      <c r="A16" s="257"/>
      <c r="B16" s="369"/>
      <c r="C16" s="598"/>
      <c r="D16" s="2"/>
      <c r="E16" s="26"/>
      <c r="F16" s="26"/>
      <c r="G16" s="26"/>
      <c r="H16" s="554"/>
      <c r="I16" s="126"/>
      <c r="J16" s="126"/>
      <c r="K16" s="126"/>
      <c r="L16" s="126"/>
      <c r="M16" s="126"/>
      <c r="N16" s="126"/>
      <c r="O16" s="126"/>
      <c r="P16" s="126"/>
      <c r="Q16" s="126"/>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c r="A17" s="257"/>
      <c r="B17" s="593" t="s">
        <v>511</v>
      </c>
      <c r="C17" s="597" t="s">
        <v>676</v>
      </c>
      <c r="D17" s="120">
        <f>'Financial statements'!F265/'Financial statements'!F112</f>
        <v>2.2399509051856399E-2</v>
      </c>
      <c r="E17" s="29">
        <f>'Financial statements'!G265/'Financial statements'!G112</f>
        <v>7.0753278438548339E-2</v>
      </c>
      <c r="F17" s="29">
        <f>'Financial statements'!H265/'Financial statements'!H112</f>
        <v>9.7245270494523736E-2</v>
      </c>
      <c r="G17" s="29">
        <f>'Financial statements'!I265/'Financial statements'!I112</f>
        <v>9.7644053363610553E-2</v>
      </c>
      <c r="H17" s="633">
        <f>'Financial statements'!J265/'Financial statements'!J112</f>
        <v>0.10654615173924951</v>
      </c>
      <c r="I17" s="126"/>
      <c r="J17" s="126"/>
      <c r="K17" s="126"/>
      <c r="L17" s="126"/>
      <c r="M17" s="126"/>
      <c r="N17" s="126"/>
      <c r="O17" s="126"/>
      <c r="P17" s="126"/>
      <c r="Q17" s="126"/>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ht="40.5" customHeight="1">
      <c r="A18" s="257"/>
      <c r="B18" s="501"/>
      <c r="C18" s="595"/>
      <c r="D18" s="510"/>
      <c r="E18" s="389"/>
      <c r="F18" s="389"/>
      <c r="G18" s="389"/>
      <c r="H18" s="646"/>
      <c r="I18" s="390"/>
      <c r="J18" s="390"/>
      <c r="K18" s="126"/>
      <c r="L18" s="126"/>
      <c r="M18" s="126"/>
      <c r="N18" s="126"/>
      <c r="O18" s="126"/>
      <c r="P18" s="126"/>
      <c r="Q18" s="126"/>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row>
    <row r="19" spans="1:91">
      <c r="A19" s="257"/>
      <c r="B19" s="592" t="s">
        <v>710</v>
      </c>
      <c r="C19" s="597" t="s">
        <v>677</v>
      </c>
      <c r="D19" s="120">
        <f>'[1]Income Statement'!E77/(('Financial statements'!F112+'Financial statements'!G112 )/2)</f>
        <v>2.2330988069746101E-2</v>
      </c>
      <c r="E19" s="29">
        <f>'[1]Income Statement'!F77/(('Financial statements'!G112+'Financial statements'!H112 )/2)</f>
        <v>7.3744437380801012E-2</v>
      </c>
      <c r="F19" s="29">
        <f>'[1]Income Statement'!G77/(('Financial statements'!H112+'Financial statements'!I112 )/2)</f>
        <v>8.9657282741738065E-2</v>
      </c>
      <c r="G19" s="29">
        <f>'[1]Income Statement'!H77/(('Financial statements'!I112+'Financial statements'!J112 )/2)</f>
        <v>9.5901867856147197E-2</v>
      </c>
      <c r="H19" s="633"/>
      <c r="I19" s="126"/>
      <c r="J19" s="126"/>
      <c r="K19" s="126"/>
      <c r="L19" s="126"/>
      <c r="M19" s="126"/>
      <c r="N19" s="126"/>
      <c r="O19" s="126"/>
      <c r="P19" s="126"/>
      <c r="Q19" s="126"/>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row>
    <row r="20" spans="1:91">
      <c r="A20" s="277"/>
      <c r="B20" s="599"/>
      <c r="C20" s="547"/>
      <c r="D20" s="641"/>
      <c r="E20" s="600"/>
      <c r="F20" s="600"/>
      <c r="G20" s="600"/>
      <c r="H20" s="647"/>
      <c r="I20" s="126"/>
      <c r="J20" s="126"/>
      <c r="K20" s="126"/>
      <c r="L20" s="126"/>
      <c r="M20" s="126"/>
      <c r="N20" s="126"/>
      <c r="O20" s="126"/>
      <c r="P20" s="126"/>
      <c r="Q20" s="126"/>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row>
    <row r="21" spans="1:91" ht="21">
      <c r="A21" s="257"/>
      <c r="B21" s="591" t="s">
        <v>512</v>
      </c>
      <c r="C21" s="595"/>
      <c r="D21" s="510"/>
      <c r="E21" s="391"/>
      <c r="F21" s="391"/>
      <c r="G21" s="391"/>
      <c r="H21" s="634"/>
      <c r="I21" s="126"/>
      <c r="J21" s="126"/>
      <c r="K21" s="126"/>
      <c r="L21" s="126"/>
      <c r="M21" s="126"/>
      <c r="N21" s="126"/>
      <c r="O21" s="126"/>
      <c r="P21" s="126"/>
      <c r="Q21" s="126"/>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row>
    <row r="22" spans="1:91">
      <c r="A22" s="257"/>
      <c r="B22" s="592" t="s">
        <v>513</v>
      </c>
      <c r="C22" s="597" t="s">
        <v>678</v>
      </c>
      <c r="D22" s="642">
        <f>'Financial statements'!F91/'Financial statements'!F177</f>
        <v>1.1253091508656223</v>
      </c>
      <c r="E22" s="392">
        <f>'Financial statements'!G91/'Financial statements'!G177</f>
        <v>1.2138888888888888</v>
      </c>
      <c r="F22" s="392">
        <f>'Financial statements'!H91/'Financial statements'!H177</f>
        <v>1.2121212121212122</v>
      </c>
      <c r="G22" s="392">
        <f>'Financial statements'!I91/'Financial statements'!I177</f>
        <v>1.0911094783247612</v>
      </c>
      <c r="H22" s="635">
        <f>'Financial statements'!J91/'Financial statements'!J177</f>
        <v>1.1802656546489563</v>
      </c>
      <c r="I22" s="126"/>
      <c r="J22" s="126"/>
      <c r="K22" s="126"/>
      <c r="L22" s="126"/>
      <c r="M22" s="126"/>
      <c r="N22" s="126"/>
      <c r="O22" s="126"/>
      <c r="P22" s="126"/>
      <c r="Q22" s="126"/>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row>
    <row r="23" spans="1:91">
      <c r="A23" s="257"/>
      <c r="B23" s="592"/>
      <c r="C23" s="597"/>
      <c r="D23" s="642">
        <f>('Financial statements'!F91-'Financial statements'!F87-'Financial statements'!F89)/'Financial statements'!F177</f>
        <v>1.0255564715581205</v>
      </c>
      <c r="E23" s="392">
        <f>('Financial statements'!G91-'Financial statements'!G87-'Financial statements'!G89)/'Financial statements'!G177</f>
        <v>1.0996031746031747</v>
      </c>
      <c r="F23" s="392">
        <f>('Financial statements'!H91-'Financial statements'!H87-'Financial statements'!H89)/'Financial statements'!H177</f>
        <v>1.1630388390951771</v>
      </c>
      <c r="G23" s="392">
        <f>('Financial statements'!I91-'Financial statements'!I87-'Financial statements'!I89)/'Financial statements'!I177</f>
        <v>1.0672299779573842</v>
      </c>
      <c r="H23" s="635">
        <f>('Financial statements'!J91-'Financial statements'!J87-'Financial statements'!J89)/'Financial statements'!J177</f>
        <v>1.152561669829222</v>
      </c>
      <c r="I23" s="126"/>
      <c r="J23" s="126"/>
      <c r="K23" s="126"/>
      <c r="L23" s="126"/>
      <c r="M23" s="126"/>
      <c r="N23" s="126"/>
      <c r="O23" s="126"/>
      <c r="P23" s="126"/>
      <c r="Q23" s="126"/>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c r="A24" s="257"/>
      <c r="B24" s="501"/>
      <c r="C24" s="595"/>
      <c r="D24" s="509"/>
      <c r="E24" s="393"/>
      <c r="F24" s="393"/>
      <c r="G24" s="393"/>
      <c r="H24" s="648"/>
      <c r="I24" s="126"/>
      <c r="J24" s="126"/>
      <c r="K24" s="126"/>
      <c r="L24" s="126"/>
      <c r="M24" s="126"/>
      <c r="N24" s="126"/>
      <c r="O24" s="126"/>
      <c r="P24" s="126"/>
      <c r="Q24" s="126"/>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c r="A25" s="257"/>
      <c r="B25" s="592" t="s">
        <v>514</v>
      </c>
      <c r="C25" s="597" t="s">
        <v>679</v>
      </c>
      <c r="D25" s="642">
        <f>('Financial statements'!F90+'Financial statements'!F87)/'Financial statements'!F177</f>
        <v>0.33264633140972794</v>
      </c>
      <c r="E25" s="392">
        <f>('Financial statements'!G90+'Financial statements'!G87)/'Financial statements'!G177</f>
        <v>0.24603174603174602</v>
      </c>
      <c r="F25" s="392">
        <f>('Financial statements'!H90+'Financial statements'!H87)/'Financial statements'!H177</f>
        <v>0.29833546734955185</v>
      </c>
      <c r="G25" s="392">
        <f>('Financial statements'!I90+'Financial statements'!I87)/'Financial statements'!I177</f>
        <v>0.23512123438648053</v>
      </c>
      <c r="H25" s="635">
        <f>('Financial statements'!J90+'Financial statements'!J87)/'Financial statements'!J177</f>
        <v>0.1685009487666034</v>
      </c>
      <c r="I25" s="126"/>
      <c r="J25" s="126"/>
      <c r="K25" s="126"/>
      <c r="L25" s="126"/>
      <c r="M25" s="126"/>
      <c r="N25" s="126"/>
      <c r="O25" s="126"/>
      <c r="P25" s="126"/>
      <c r="Q25" s="126"/>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c r="A26" s="257"/>
      <c r="B26" s="592" t="s">
        <v>712</v>
      </c>
      <c r="C26" s="597" t="s">
        <v>683</v>
      </c>
      <c r="D26" s="642">
        <f>('Financial statements'!F91-'Financial statements'!F57)/'Financial statements'!F177</f>
        <v>1.0494641384995878</v>
      </c>
      <c r="E26" s="392">
        <f>('Financial statements'!G91-'Financial statements'!G57)/'Financial statements'!G177</f>
        <v>1.1507936507936507</v>
      </c>
      <c r="F26" s="392">
        <f>('Financial statements'!H91-'Financial statements'!H57)/'Financial statements'!H177</f>
        <v>1.1493811352966283</v>
      </c>
      <c r="G26" s="392">
        <f>('Financial statements'!I91-'Financial statements'!I57)/'Financial statements'!I177</f>
        <v>1.0224099926524615</v>
      </c>
      <c r="H26" s="635">
        <f>('Financial statements'!J91-'Financial statements'!J57)/'Financial statements'!J177</f>
        <v>1.1104364326375711</v>
      </c>
      <c r="I26" s="126"/>
      <c r="J26" s="126"/>
      <c r="K26" s="126"/>
      <c r="L26" s="126"/>
      <c r="M26" s="126"/>
      <c r="N26" s="126"/>
      <c r="O26" s="126"/>
      <c r="P26" s="126"/>
      <c r="Q26" s="126"/>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c r="A27" s="257"/>
      <c r="B27" s="593"/>
      <c r="C27" s="597"/>
      <c r="D27" s="642"/>
      <c r="E27" s="392"/>
      <c r="F27" s="392"/>
      <c r="G27" s="392"/>
      <c r="H27" s="635"/>
      <c r="I27" s="126"/>
      <c r="J27" s="126"/>
      <c r="K27" s="126"/>
      <c r="L27" s="126"/>
      <c r="M27" s="126"/>
      <c r="N27" s="126"/>
      <c r="O27" s="126"/>
      <c r="P27" s="126"/>
      <c r="Q27" s="126"/>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c r="A28" s="257"/>
      <c r="B28" s="593"/>
      <c r="C28" s="597"/>
      <c r="D28" s="642"/>
      <c r="E28" s="392"/>
      <c r="F28" s="392"/>
      <c r="G28" s="392"/>
      <c r="H28" s="635"/>
      <c r="I28" s="126"/>
      <c r="J28" s="126"/>
      <c r="K28" s="126"/>
      <c r="L28" s="126"/>
      <c r="M28" s="126"/>
      <c r="N28" s="126"/>
      <c r="O28" s="126"/>
      <c r="P28" s="126"/>
      <c r="Q28" s="126"/>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c r="A29" s="277"/>
      <c r="B29" s="601"/>
      <c r="C29" s="547"/>
      <c r="D29" s="643"/>
      <c r="E29" s="602"/>
      <c r="F29" s="602"/>
      <c r="G29" s="602"/>
      <c r="H29" s="649"/>
      <c r="I29" s="126"/>
      <c r="J29" s="126"/>
      <c r="K29" s="126"/>
      <c r="L29" s="126"/>
      <c r="M29" s="126"/>
      <c r="N29" s="126"/>
      <c r="O29" s="126"/>
      <c r="P29" s="126"/>
      <c r="Q29" s="126"/>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ht="21">
      <c r="A30" s="257"/>
      <c r="B30" s="591" t="s">
        <v>688</v>
      </c>
      <c r="C30" s="597"/>
      <c r="D30" s="642"/>
      <c r="E30" s="392"/>
      <c r="F30" s="392"/>
      <c r="G30" s="392"/>
      <c r="H30" s="635"/>
      <c r="I30" s="126"/>
      <c r="J30" s="126"/>
      <c r="K30" s="126"/>
      <c r="L30" s="126"/>
      <c r="M30" s="126"/>
      <c r="N30" s="126"/>
      <c r="O30" s="126"/>
      <c r="P30" s="126"/>
      <c r="Q30" s="126"/>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c r="A31" s="257"/>
      <c r="B31" s="593" t="s">
        <v>689</v>
      </c>
      <c r="C31" s="597"/>
      <c r="D31" s="642"/>
      <c r="E31" s="392"/>
      <c r="F31" s="392"/>
      <c r="G31" s="392"/>
      <c r="H31" s="635"/>
      <c r="I31" s="126"/>
      <c r="J31" s="126"/>
      <c r="K31" s="126"/>
      <c r="L31" s="126"/>
      <c r="M31" s="126"/>
      <c r="N31" s="126"/>
      <c r="O31" s="126"/>
      <c r="P31" s="126"/>
      <c r="Q31" s="126"/>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c r="A32" s="257"/>
      <c r="B32" s="593"/>
      <c r="C32" s="597"/>
      <c r="D32" s="642"/>
      <c r="E32" s="392"/>
      <c r="F32" s="392"/>
      <c r="G32" s="392"/>
      <c r="H32" s="635"/>
      <c r="I32" s="126"/>
      <c r="J32" s="126"/>
      <c r="K32" s="126"/>
      <c r="L32" s="126"/>
      <c r="M32" s="126"/>
      <c r="N32" s="126"/>
      <c r="O32" s="126"/>
      <c r="P32" s="126"/>
      <c r="Q32" s="126"/>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c r="A33" s="257"/>
      <c r="B33" s="593" t="s">
        <v>696</v>
      </c>
      <c r="C33" s="597" t="s">
        <v>700</v>
      </c>
      <c r="D33" s="644">
        <f>'Reorganised Statements'!D11*365 / 'Forecasts Simone'!B10</f>
        <v>114.54459002535926</v>
      </c>
      <c r="E33" s="650">
        <f>'Reorganised Statements'!E11*365 / 'Forecasts Simone'!C10</f>
        <v>145.09168303863785</v>
      </c>
      <c r="F33" s="650">
        <f>'Reorganised Statements'!F11*365 / 'Forecasts Simone'!D10</f>
        <v>109.10822898032201</v>
      </c>
      <c r="G33" s="650">
        <f>'Reorganised Statements'!G11*365 / 'Forecasts Simone'!E10</f>
        <v>103.66209535959177</v>
      </c>
      <c r="H33" s="636">
        <f>'Reorganised Statements'!H11*365 / 'Forecasts Simone'!F10</f>
        <v>94.914349901712995</v>
      </c>
      <c r="I33" s="126"/>
      <c r="J33" s="126"/>
      <c r="K33" s="126"/>
      <c r="L33" s="126"/>
      <c r="M33" s="126"/>
      <c r="N33" s="126"/>
      <c r="O33" s="126"/>
      <c r="P33" s="126"/>
      <c r="Q33" s="126"/>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c r="A34" s="257"/>
      <c r="B34" s="593"/>
      <c r="C34" s="597"/>
      <c r="D34" s="642"/>
      <c r="E34" s="392"/>
      <c r="F34" s="392"/>
      <c r="G34" s="392"/>
      <c r="H34" s="635"/>
      <c r="I34" s="126"/>
      <c r="J34" s="126"/>
      <c r="K34" s="126"/>
      <c r="L34" s="126"/>
      <c r="M34" s="126"/>
      <c r="N34" s="126"/>
      <c r="O34" s="126"/>
      <c r="P34" s="126"/>
      <c r="Q34" s="126"/>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c r="A35" s="257"/>
      <c r="B35" s="593" t="s">
        <v>697</v>
      </c>
      <c r="C35" s="597" t="s">
        <v>699</v>
      </c>
      <c r="D35" s="644">
        <f>-'Forecasts Simone'!B63*365/'Forecasts Simone'!B15</f>
        <v>29.378827646544181</v>
      </c>
      <c r="E35" s="650">
        <f>-'Forecasts Simone'!C63*365/'Forecasts Simone'!C15</f>
        <v>27.62256068538791</v>
      </c>
      <c r="F35" s="650">
        <f>-'Forecasts Simone'!D63*365/'Forecasts Simone'!D15</f>
        <v>18.952666902154714</v>
      </c>
      <c r="G35" s="650">
        <f>-'Forecasts Simone'!E63*365/'Forecasts Simone'!E15</f>
        <v>20.398983861326958</v>
      </c>
      <c r="H35" s="636">
        <f>-'Forecasts Simone'!F63*365/'Forecasts Simone'!F15</f>
        <v>16.773226773226774</v>
      </c>
      <c r="I35" s="126"/>
      <c r="J35" s="126"/>
      <c r="K35" s="126"/>
      <c r="L35" s="126"/>
      <c r="M35" s="126"/>
      <c r="N35" s="126"/>
      <c r="O35" s="126"/>
      <c r="P35" s="126"/>
      <c r="Q35" s="126"/>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c r="A36" s="257"/>
      <c r="B36" s="593"/>
      <c r="C36" s="597"/>
      <c r="D36" s="642"/>
      <c r="E36" s="392"/>
      <c r="F36" s="392"/>
      <c r="G36" s="392"/>
      <c r="H36" s="635"/>
      <c r="I36" s="126"/>
      <c r="J36" s="126"/>
      <c r="K36" s="126"/>
      <c r="L36" s="126"/>
      <c r="M36" s="126"/>
      <c r="N36" s="126"/>
      <c r="O36" s="126"/>
      <c r="P36" s="126"/>
      <c r="Q36" s="126"/>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c r="A37" s="257"/>
      <c r="B37" s="593" t="s">
        <v>698</v>
      </c>
      <c r="C37" s="597" t="s">
        <v>701</v>
      </c>
      <c r="D37" s="644">
        <f>'Forecasts Simone'!B65*365/('Forecasts Simone'!B15+'Forecasts Simone'!B16)</f>
        <v>142.73061497326202</v>
      </c>
      <c r="E37" s="650">
        <f>'Forecasts Simone'!C65*365/('Forecasts Simone'!C15+'Forecasts Simone'!C16)</f>
        <v>176.6911507520112</v>
      </c>
      <c r="F37" s="650">
        <f>'Forecasts Simone'!D65*365/('Forecasts Simone'!D15+'Forecasts Simone'!D16)</f>
        <v>136.93697364846508</v>
      </c>
      <c r="G37" s="650">
        <f>'Forecasts Simone'!E65*365/('Forecasts Simone'!E15+'Forecasts Simone'!E16)</f>
        <v>119.05470914127424</v>
      </c>
      <c r="H37" s="636">
        <f>'Forecasts Simone'!F65*365/('Forecasts Simone'!F15+'Forecasts Simone'!F16)</f>
        <v>104.84193173002328</v>
      </c>
      <c r="I37" s="126"/>
      <c r="J37" s="126"/>
      <c r="K37" s="126"/>
      <c r="L37" s="126"/>
      <c r="M37" s="126"/>
      <c r="N37" s="126"/>
      <c r="O37" s="126"/>
      <c r="P37" s="126"/>
      <c r="Q37" s="126"/>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c r="A38" s="257"/>
      <c r="B38" s="593"/>
      <c r="C38" s="597"/>
      <c r="D38" s="644"/>
      <c r="E38" s="650"/>
      <c r="F38" s="650"/>
      <c r="G38" s="650"/>
      <c r="H38" s="636"/>
      <c r="I38" s="126"/>
      <c r="J38" s="126"/>
      <c r="K38" s="126"/>
      <c r="L38" s="126"/>
      <c r="M38" s="126"/>
      <c r="N38" s="126"/>
      <c r="O38" s="126"/>
      <c r="P38" s="126"/>
      <c r="Q38" s="126"/>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c r="A39" s="257"/>
      <c r="B39" s="593" t="s">
        <v>705</v>
      </c>
      <c r="C39" s="597" t="s">
        <v>704</v>
      </c>
      <c r="D39" s="644">
        <f>'Forecasts Simone'!B65*365/'Forecasts Simone'!B15</f>
        <v>186.81102362204723</v>
      </c>
      <c r="E39" s="650">
        <f>'Forecasts Simone'!C65*365/'Forecasts Simone'!C15</f>
        <v>240.43788672060924</v>
      </c>
      <c r="F39" s="650">
        <f>'Forecasts Simone'!D65*365/'Forecasts Simone'!D15</f>
        <v>178.05192511480041</v>
      </c>
      <c r="G39" s="650">
        <f>'Forecasts Simone'!E65*365/'Forecasts Simone'!E15</f>
        <v>154.13777644949192</v>
      </c>
      <c r="H39" s="636">
        <f>'Forecasts Simone'!F65*365/'Forecasts Simone'!F15</f>
        <v>135.00624375624375</v>
      </c>
      <c r="I39" s="126"/>
      <c r="J39" s="126"/>
      <c r="K39" s="126"/>
      <c r="L39" s="126"/>
      <c r="M39" s="126"/>
      <c r="N39" s="126"/>
      <c r="O39" s="126"/>
      <c r="P39" s="126"/>
      <c r="Q39" s="126"/>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c r="A40" s="257"/>
      <c r="B40" s="593"/>
      <c r="C40" s="597"/>
      <c r="D40" s="642"/>
      <c r="E40" s="392"/>
      <c r="F40" s="392"/>
      <c r="G40" s="392"/>
      <c r="H40" s="635"/>
      <c r="I40" s="126"/>
      <c r="J40" s="126"/>
      <c r="K40" s="126"/>
      <c r="L40" s="126"/>
      <c r="M40" s="126"/>
      <c r="N40" s="126"/>
      <c r="O40" s="126"/>
      <c r="P40" s="126"/>
      <c r="Q40" s="126"/>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c r="A41" s="257"/>
      <c r="B41" s="593" t="s">
        <v>702</v>
      </c>
      <c r="C41" s="597" t="s">
        <v>703</v>
      </c>
      <c r="D41" s="644">
        <f>D33+D35-D37</f>
        <v>1.1928026986414295</v>
      </c>
      <c r="E41" s="650">
        <f t="shared" ref="E41:H41" si="0">E33+E35-E37</f>
        <v>-3.9769070279854191</v>
      </c>
      <c r="F41" s="650">
        <f t="shared" si="0"/>
        <v>-8.8760777659883558</v>
      </c>
      <c r="G41" s="650">
        <f t="shared" si="0"/>
        <v>5.0063700796444834</v>
      </c>
      <c r="H41" s="636">
        <f t="shared" si="0"/>
        <v>6.8456449449165007</v>
      </c>
      <c r="I41" s="126"/>
      <c r="J41" s="126"/>
      <c r="K41" s="126"/>
      <c r="L41" s="126"/>
      <c r="M41" s="126"/>
      <c r="N41" s="126"/>
      <c r="O41" s="126"/>
      <c r="P41" s="126"/>
      <c r="Q41" s="126"/>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c r="A42" s="257"/>
      <c r="B42" s="593" t="s">
        <v>706</v>
      </c>
      <c r="C42" s="597" t="s">
        <v>707</v>
      </c>
      <c r="D42" s="644">
        <f>D33+D35-D39</f>
        <v>-42.887605950143779</v>
      </c>
      <c r="E42" s="650">
        <f t="shared" ref="E42:H42" si="1">E33+E35-E39</f>
        <v>-67.723642996583465</v>
      </c>
      <c r="F42" s="650">
        <f t="shared" si="1"/>
        <v>-49.991029232323683</v>
      </c>
      <c r="G42" s="650">
        <f t="shared" si="1"/>
        <v>-30.076697228573195</v>
      </c>
      <c r="H42" s="636">
        <f t="shared" si="1"/>
        <v>-23.318667081303971</v>
      </c>
      <c r="I42" s="126"/>
      <c r="J42" s="126"/>
      <c r="K42" s="126"/>
      <c r="L42" s="126"/>
      <c r="M42" s="126"/>
      <c r="N42" s="126"/>
      <c r="O42" s="126"/>
      <c r="P42" s="126"/>
      <c r="Q42" s="126"/>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c r="A43" s="257"/>
      <c r="B43" s="593"/>
      <c r="C43" s="597"/>
      <c r="D43" s="642"/>
      <c r="E43" s="392"/>
      <c r="F43" s="392"/>
      <c r="G43" s="392"/>
      <c r="H43" s="635"/>
      <c r="I43" s="126"/>
      <c r="J43" s="126"/>
      <c r="K43" s="126"/>
      <c r="L43" s="126"/>
      <c r="M43" s="126"/>
      <c r="N43" s="126"/>
      <c r="O43" s="126"/>
      <c r="P43" s="126"/>
      <c r="Q43" s="126"/>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c r="A44" s="277"/>
      <c r="B44" s="601"/>
      <c r="C44" s="547"/>
      <c r="D44" s="643"/>
      <c r="E44" s="602"/>
      <c r="F44" s="602"/>
      <c r="G44" s="602"/>
      <c r="H44" s="649"/>
      <c r="I44" s="126"/>
      <c r="J44" s="126"/>
      <c r="K44" s="126"/>
      <c r="L44" s="126"/>
      <c r="M44" s="126"/>
      <c r="N44" s="126"/>
      <c r="O44" s="126"/>
      <c r="P44" s="126"/>
      <c r="Q44" s="126"/>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ht="21">
      <c r="A45" s="257"/>
      <c r="B45" s="594" t="s">
        <v>515</v>
      </c>
      <c r="C45" s="597"/>
      <c r="D45" s="2"/>
      <c r="E45" s="26"/>
      <c r="F45" s="26"/>
      <c r="G45" s="26"/>
      <c r="H45" s="554"/>
      <c r="I45" s="126"/>
      <c r="J45" s="126"/>
      <c r="K45" s="126"/>
      <c r="L45" s="126"/>
      <c r="M45" s="126"/>
      <c r="N45" s="126"/>
      <c r="O45" s="126"/>
      <c r="P45" s="126"/>
      <c r="Q45" s="126"/>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c r="A46" s="257"/>
      <c r="B46" s="592" t="s">
        <v>516</v>
      </c>
      <c r="C46" s="597" t="s">
        <v>680</v>
      </c>
      <c r="D46" s="642">
        <f>'Reorganised Statements'!D80/('Financial statements'!F237+'Financial statements'!F238)</f>
        <v>1.5357142857142858</v>
      </c>
      <c r="E46" s="392">
        <f>'Reorganised Statements'!E80/('Financial statements'!G237+'Financial statements'!G238)</f>
        <v>3.3059701492537314</v>
      </c>
      <c r="F46" s="392">
        <f>'Reorganised Statements'!F80/('Financial statements'!H237+'Financial statements'!H238)</f>
        <v>6.283185840707965</v>
      </c>
      <c r="G46" s="392">
        <f>'Reorganised Statements'!G80/('Financial statements'!I237+'Financial statements'!I238)</f>
        <v>5.4444444444444446</v>
      </c>
      <c r="H46" s="635">
        <f>'Reorganised Statements'!H80/('Financial statements'!J237+'Financial statements'!J238)</f>
        <v>7.0102040816326534</v>
      </c>
      <c r="I46" s="126"/>
      <c r="J46" s="126"/>
      <c r="K46" s="126"/>
      <c r="L46" s="126"/>
      <c r="M46" s="126"/>
      <c r="N46" s="126"/>
      <c r="O46" s="126"/>
      <c r="P46" s="126"/>
      <c r="Q46" s="126"/>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ht="41.25" customHeight="1">
      <c r="A47" s="257"/>
      <c r="B47" s="501"/>
      <c r="C47" s="597"/>
      <c r="D47" s="639"/>
      <c r="E47" s="386"/>
      <c r="F47" s="386"/>
      <c r="G47" s="386"/>
      <c r="H47" s="368"/>
      <c r="I47" s="390"/>
      <c r="J47" s="126"/>
      <c r="K47" s="126"/>
      <c r="L47" s="126"/>
      <c r="M47" s="126"/>
      <c r="N47" s="126"/>
      <c r="O47" s="126"/>
      <c r="P47" s="126"/>
      <c r="Q47" s="126"/>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c r="A48" s="257"/>
      <c r="B48" s="593" t="s">
        <v>517</v>
      </c>
      <c r="C48" s="597" t="s">
        <v>681</v>
      </c>
      <c r="D48" s="120">
        <f>'Reorganised Statements'!D39/('Reorganised Statements'!D35+'Reorganised Statements'!D39)</f>
        <v>0.53707386363636367</v>
      </c>
      <c r="E48" s="29">
        <f>'Reorganised Statements'!E39/('Reorganised Statements'!E35+'Reorganised Statements'!E39)</f>
        <v>0.53647158608990675</v>
      </c>
      <c r="F48" s="29">
        <f>'Reorganised Statements'!F39/('Reorganised Statements'!F35+'Reorganised Statements'!F39)</f>
        <v>0.56653718889368432</v>
      </c>
      <c r="G48" s="29">
        <f>'Reorganised Statements'!G39/('Reorganised Statements'!G35+'Reorganised Statements'!G39)</f>
        <v>0.51076239411192892</v>
      </c>
      <c r="H48" s="633">
        <f>'Reorganised Statements'!H39/('Reorganised Statements'!H35+'Reorganised Statements'!H39)</f>
        <v>0.49724593775819331</v>
      </c>
      <c r="I48" s="395"/>
      <c r="J48" s="395"/>
      <c r="K48" s="395"/>
      <c r="L48" s="126"/>
      <c r="M48" s="126"/>
      <c r="N48" s="126"/>
      <c r="O48" s="126"/>
      <c r="P48" s="126"/>
      <c r="Q48" s="126"/>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c r="A49" s="257"/>
      <c r="B49" s="592" t="s">
        <v>811</v>
      </c>
      <c r="C49" s="597" t="s">
        <v>685</v>
      </c>
      <c r="D49" s="120">
        <f>'Reorganised Statements'!D42/'Reorganised Statements'!D44</f>
        <v>0.49109931292941911</v>
      </c>
      <c r="E49" s="29">
        <f>'Reorganised Statements'!E42/'Reorganised Statements'!E44</f>
        <v>0.5085431654676259</v>
      </c>
      <c r="F49" s="29">
        <f>'Reorganised Statements'!F42/'Reorganised Statements'!F44</f>
        <v>0.51869009584664538</v>
      </c>
      <c r="G49" s="29">
        <f>'Reorganised Statements'!G42/'Reorganised Statements'!G44</f>
        <v>0.46434544625209062</v>
      </c>
      <c r="H49" s="633">
        <f>'Reorganised Statements'!H42/'Reorganised Statements'!H44</f>
        <v>0.46528998242530756</v>
      </c>
      <c r="I49" s="126"/>
      <c r="J49" s="126"/>
      <c r="K49" s="126"/>
      <c r="L49" s="126"/>
      <c r="M49" s="126"/>
      <c r="N49" s="126"/>
      <c r="O49" s="126"/>
      <c r="P49" s="126"/>
      <c r="Q49" s="126"/>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ht="41.25" customHeight="1">
      <c r="A50" s="257"/>
      <c r="B50" s="592"/>
      <c r="C50" s="597"/>
      <c r="D50" s="120"/>
      <c r="E50" s="29"/>
      <c r="F50" s="29"/>
      <c r="G50" s="29"/>
      <c r="H50" s="633"/>
      <c r="I50" s="126"/>
      <c r="J50" s="126"/>
      <c r="K50" s="126"/>
      <c r="L50" s="126"/>
      <c r="M50" s="126"/>
      <c r="N50" s="126"/>
      <c r="O50" s="126"/>
      <c r="P50" s="126"/>
      <c r="Q50" s="126"/>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c r="A51" s="257"/>
      <c r="B51" s="593" t="s">
        <v>518</v>
      </c>
      <c r="C51" s="597" t="s">
        <v>682</v>
      </c>
      <c r="D51" s="642">
        <f>'Reorganised Statements'!D39/'Reorganised Statements'!D35</f>
        <v>1.1601718318502607</v>
      </c>
      <c r="E51" s="392">
        <f>'Reorganised Statements'!E39/'Reorganised Statements'!E35</f>
        <v>1.1573650503202195</v>
      </c>
      <c r="F51" s="392">
        <f>'Reorganised Statements'!F39/'Reorganised Statements'!F35</f>
        <v>1.3070029870560902</v>
      </c>
      <c r="G51" s="392">
        <f>'Reorganised Statements'!G39/'Reorganised Statements'!G35</f>
        <v>1.0439965938120919</v>
      </c>
      <c r="H51" s="635">
        <f>'Reorganised Statements'!H39/'Reorganised Statements'!H35</f>
        <v>0.98904409750753219</v>
      </c>
      <c r="I51" s="126"/>
      <c r="J51" s="126"/>
      <c r="K51" s="126"/>
      <c r="L51" s="126"/>
      <c r="M51" s="126"/>
      <c r="N51" s="126"/>
      <c r="O51" s="126"/>
      <c r="P51" s="126"/>
      <c r="Q51" s="126"/>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ht="16.2" customHeight="1">
      <c r="A52" s="257"/>
      <c r="B52" s="592"/>
      <c r="C52" s="597"/>
      <c r="D52" s="52"/>
      <c r="E52" s="26"/>
      <c r="F52" s="26"/>
      <c r="G52" s="26"/>
      <c r="H52" s="554"/>
      <c r="I52" s="126"/>
      <c r="J52" s="126"/>
      <c r="K52" s="126"/>
      <c r="L52" s="126"/>
      <c r="M52" s="126"/>
      <c r="N52" s="126"/>
      <c r="O52" s="126"/>
      <c r="P52" s="126"/>
      <c r="Q52" s="126"/>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ht="16.2" customHeight="1">
      <c r="A53" s="257"/>
      <c r="B53" s="592" t="s">
        <v>686</v>
      </c>
      <c r="C53" s="597" t="s">
        <v>687</v>
      </c>
      <c r="D53" s="645">
        <f>'Reorganised Statements'!D35/('Reorganised Statements'!D35+'Reorganised Statements'!D39)</f>
        <v>0.46292613636363639</v>
      </c>
      <c r="E53" s="651">
        <f>'Reorganised Statements'!E35/('Reorganised Statements'!E35+'Reorganised Statements'!E39)</f>
        <v>0.46352841391009331</v>
      </c>
      <c r="F53" s="651">
        <f>'Reorganised Statements'!F35/('Reorganised Statements'!F35+'Reorganised Statements'!F39)</f>
        <v>0.43346281110631563</v>
      </c>
      <c r="G53" s="651">
        <f>'Reorganised Statements'!G35/('Reorganised Statements'!G35+'Reorganised Statements'!G39)</f>
        <v>0.48923760588807108</v>
      </c>
      <c r="H53" s="637">
        <f>'Reorganised Statements'!H35/('Reorganised Statements'!H35+'Reorganised Statements'!H39)</f>
        <v>0.50275406224180663</v>
      </c>
      <c r="I53" s="126"/>
      <c r="J53" s="126"/>
      <c r="K53" s="126"/>
      <c r="L53" s="126"/>
      <c r="M53" s="126"/>
      <c r="N53" s="126"/>
      <c r="O53" s="126"/>
      <c r="P53" s="126"/>
      <c r="Q53" s="126"/>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ht="15" customHeight="1">
      <c r="A54" s="257"/>
      <c r="B54" s="592"/>
      <c r="C54" s="597"/>
      <c r="D54" s="52"/>
      <c r="E54" s="26"/>
      <c r="F54" s="26"/>
      <c r="G54" s="26"/>
      <c r="H54" s="554"/>
      <c r="I54" s="126"/>
      <c r="J54" s="126"/>
      <c r="K54" s="126"/>
      <c r="L54" s="126"/>
      <c r="M54" s="126"/>
      <c r="N54" s="126"/>
      <c r="O54" s="126"/>
      <c r="P54" s="126"/>
      <c r="Q54" s="126"/>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c r="A55" s="257"/>
      <c r="B55" s="592" t="s">
        <v>520</v>
      </c>
      <c r="C55" s="597" t="s">
        <v>684</v>
      </c>
      <c r="D55" s="6"/>
      <c r="E55" s="386">
        <f>-('Cash flows'!D19+'Cash flows'!D20+'Cash flows'!D13)/('Cash flows'!D5*(1-0.279))</f>
        <v>1.612383102225089</v>
      </c>
      <c r="F55" s="386">
        <f>('Cash flows'!E19+'Cash flows'!E20+'Cash flows'!E13)/('Cash flows'!E5*(1-0.279))</f>
        <v>1.0216639643687369</v>
      </c>
      <c r="G55" s="386">
        <f>-('Cash flows'!F19+'Cash flows'!F20+'Cash flows'!F13)/('Cash flows'!F5*(1-0.279))</f>
        <v>1.3468632945549928</v>
      </c>
      <c r="H55" s="368">
        <f>-('Cash flows'!G19+'Cash flows'!G20+'Cash flows'!G13)/('Cash flows'!G5*(1-0.279))</f>
        <v>0.65815107999362032</v>
      </c>
      <c r="I55" s="1"/>
      <c r="J55" s="1"/>
      <c r="K55" s="126"/>
      <c r="M55" s="405"/>
      <c r="N55" s="126"/>
      <c r="O55" s="126"/>
      <c r="P55" s="126"/>
      <c r="Q55" s="126"/>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c r="A56" s="257"/>
      <c r="B56" s="369"/>
      <c r="C56" s="595"/>
      <c r="D56" s="52"/>
      <c r="E56" s="590" t="s">
        <v>672</v>
      </c>
      <c r="F56" s="46"/>
      <c r="G56" s="46"/>
      <c r="H56" s="278"/>
      <c r="I56" s="126"/>
      <c r="J56" s="126"/>
      <c r="K56" s="126"/>
      <c r="L56" s="126"/>
      <c r="M56" s="126"/>
      <c r="N56" s="126"/>
      <c r="O56" s="126"/>
      <c r="P56" s="126"/>
      <c r="Q56" s="126"/>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ht="12.75" customHeight="1">
      <c r="A57" s="257"/>
      <c r="B57" s="592"/>
      <c r="C57" s="597"/>
      <c r="D57" s="52"/>
      <c r="E57" s="46"/>
      <c r="F57" s="652" t="s">
        <v>521</v>
      </c>
      <c r="G57" s="653">
        <f>AVERAGE(E55:H55)</f>
        <v>1.1597653602856097</v>
      </c>
      <c r="H57" s="554"/>
      <c r="I57" s="126"/>
      <c r="J57" s="126"/>
      <c r="K57" s="126"/>
      <c r="L57" s="126"/>
      <c r="M57" s="126"/>
      <c r="N57" s="126"/>
      <c r="O57" s="126"/>
      <c r="P57" s="126"/>
      <c r="Q57" s="126"/>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ht="15" thickBot="1">
      <c r="A58" s="269"/>
      <c r="B58" s="380"/>
      <c r="C58" s="638"/>
      <c r="D58" s="379"/>
      <c r="E58" s="654"/>
      <c r="F58" s="654"/>
      <c r="G58" s="654"/>
      <c r="H58" s="281"/>
      <c r="I58" s="126"/>
      <c r="J58" s="126"/>
      <c r="K58" s="126"/>
      <c r="L58" s="126"/>
      <c r="M58" s="126"/>
      <c r="N58" s="126"/>
      <c r="O58" s="126"/>
      <c r="P58" s="126"/>
      <c r="Q58" s="126"/>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c r="A59" s="1"/>
      <c r="B59" s="1"/>
      <c r="C59" s="1"/>
      <c r="D59" s="1"/>
      <c r="E59" s="1"/>
      <c r="F59" s="1"/>
      <c r="G59" s="1"/>
      <c r="H59" s="1"/>
      <c r="I59" s="1"/>
      <c r="J59" s="126"/>
      <c r="K59" s="126"/>
      <c r="L59" s="126"/>
      <c r="M59" s="126"/>
      <c r="N59" s="126"/>
      <c r="O59" s="126"/>
      <c r="P59" s="126"/>
      <c r="Q59" s="126"/>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c r="A60" s="1"/>
      <c r="B60" s="1"/>
      <c r="C60" s="1"/>
      <c r="D60" s="1"/>
      <c r="E60" s="1"/>
      <c r="F60" s="1"/>
      <c r="G60" s="1"/>
      <c r="H60" s="1"/>
      <c r="I60" s="126"/>
      <c r="J60" s="126"/>
      <c r="K60" s="126"/>
      <c r="L60" s="126"/>
      <c r="M60" s="126"/>
      <c r="N60" s="126"/>
      <c r="O60" s="126"/>
      <c r="P60" s="126"/>
      <c r="Q60" s="126"/>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c r="A61" s="1"/>
      <c r="B61" s="1"/>
      <c r="C61" s="1"/>
      <c r="D61" s="1"/>
      <c r="E61" s="1"/>
      <c r="F61" s="1"/>
      <c r="G61" s="1"/>
      <c r="H61" s="1"/>
      <c r="I61" s="126"/>
      <c r="J61" s="126"/>
      <c r="K61" s="126"/>
      <c r="L61" s="126"/>
      <c r="M61" s="126"/>
      <c r="N61" s="126"/>
      <c r="O61" s="126"/>
      <c r="P61" s="126"/>
      <c r="Q61" s="126"/>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c r="A62" s="1"/>
      <c r="B62" s="1"/>
      <c r="C62" s="1"/>
      <c r="D62" s="1"/>
      <c r="E62" s="1"/>
      <c r="F62" s="1"/>
      <c r="G62" s="1"/>
      <c r="H62" s="1"/>
      <c r="I62" s="126"/>
      <c r="J62" s="126"/>
      <c r="K62" s="126"/>
      <c r="L62" s="126"/>
      <c r="M62" s="126"/>
      <c r="N62" s="126"/>
      <c r="O62" s="126"/>
      <c r="P62" s="126"/>
      <c r="Q62" s="126"/>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ht="21">
      <c r="A63" s="1"/>
      <c r="B63" s="384"/>
      <c r="C63" s="126"/>
      <c r="D63" s="126"/>
      <c r="E63" s="126"/>
      <c r="F63" s="126"/>
      <c r="G63" s="126"/>
      <c r="H63" s="126"/>
      <c r="I63" s="126"/>
      <c r="J63" s="126"/>
      <c r="K63" s="126"/>
      <c r="L63" s="126"/>
      <c r="M63" s="126"/>
      <c r="N63" s="126"/>
      <c r="O63" s="126"/>
      <c r="P63" s="126"/>
      <c r="Q63" s="126"/>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c r="A64" s="1"/>
      <c r="B64" s="126"/>
      <c r="C64" s="395"/>
      <c r="D64" s="395"/>
      <c r="E64" s="395"/>
      <c r="F64" s="395"/>
      <c r="G64" s="395"/>
      <c r="H64" s="126"/>
      <c r="I64" s="126"/>
      <c r="J64" s="126"/>
      <c r="K64" s="126"/>
      <c r="L64" s="126"/>
      <c r="M64" s="126"/>
      <c r="N64" s="126"/>
      <c r="O64" s="126"/>
      <c r="P64" s="126"/>
      <c r="Q64" s="126"/>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c r="A65" s="1"/>
      <c r="B65" s="126"/>
      <c r="C65" s="395"/>
      <c r="D65" s="395"/>
      <c r="E65" s="395"/>
      <c r="F65" s="395"/>
      <c r="G65" s="395"/>
      <c r="H65" s="126"/>
      <c r="I65" s="126"/>
      <c r="J65" s="126"/>
      <c r="K65" s="126"/>
      <c r="L65" s="126"/>
      <c r="M65" s="126"/>
      <c r="N65" s="126"/>
      <c r="O65" s="126"/>
      <c r="P65" s="126"/>
      <c r="Q65" s="126"/>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c r="A66" s="1"/>
      <c r="B66" s="126"/>
      <c r="C66" s="395"/>
      <c r="D66" s="395"/>
      <c r="E66" s="395"/>
      <c r="F66" s="395"/>
      <c r="G66" s="395"/>
      <c r="H66" s="126"/>
      <c r="I66" s="126"/>
      <c r="J66" s="126"/>
      <c r="K66" s="126"/>
      <c r="L66" s="126"/>
      <c r="M66" s="126"/>
      <c r="N66" s="126"/>
      <c r="O66" s="126"/>
      <c r="P66" s="126"/>
      <c r="Q66" s="126"/>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c r="A67" s="1"/>
      <c r="B67" s="126"/>
      <c r="C67" s="395"/>
      <c r="D67" s="395"/>
      <c r="E67" s="395"/>
      <c r="F67" s="395"/>
      <c r="G67" s="395"/>
      <c r="H67" s="126"/>
      <c r="I67" s="126"/>
      <c r="J67" s="126"/>
      <c r="K67" s="126"/>
      <c r="L67" s="126"/>
      <c r="M67" s="126"/>
      <c r="N67" s="126"/>
      <c r="O67" s="126"/>
      <c r="P67" s="126"/>
      <c r="Q67" s="126"/>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c r="A68" s="1"/>
      <c r="B68" s="126"/>
      <c r="C68" s="395"/>
      <c r="D68" s="395"/>
      <c r="E68" s="395"/>
      <c r="F68" s="395"/>
      <c r="G68" s="395"/>
      <c r="H68" s="126"/>
      <c r="I68" s="126"/>
      <c r="J68" s="126"/>
      <c r="K68" s="126"/>
      <c r="L68" s="126"/>
      <c r="M68" s="126"/>
      <c r="N68" s="126"/>
      <c r="O68" s="126"/>
      <c r="P68" s="126"/>
      <c r="Q68" s="126"/>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c r="A69" s="1"/>
      <c r="B69" s="1"/>
      <c r="C69" s="126"/>
      <c r="D69" s="677"/>
      <c r="E69" s="677"/>
      <c r="F69" s="677"/>
      <c r="G69" s="677"/>
      <c r="H69" s="677"/>
      <c r="I69" s="2"/>
      <c r="J69" s="126"/>
      <c r="K69" s="126"/>
      <c r="L69" s="126"/>
      <c r="M69" s="126"/>
      <c r="N69" s="126"/>
      <c r="O69" s="126"/>
      <c r="P69" s="126"/>
      <c r="Q69" s="126"/>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c r="A70" s="1"/>
      <c r="B70" s="1"/>
      <c r="C70" s="394"/>
      <c r="D70" s="395"/>
      <c r="E70" s="395"/>
      <c r="F70" s="395"/>
      <c r="G70" s="395"/>
      <c r="H70" s="126"/>
      <c r="I70" s="126"/>
      <c r="J70" s="126"/>
      <c r="K70" s="126"/>
      <c r="L70" s="126"/>
      <c r="M70" s="126"/>
      <c r="N70" s="126"/>
      <c r="O70" s="126"/>
      <c r="P70" s="126"/>
      <c r="Q70" s="126"/>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c r="A71" s="1"/>
      <c r="B71" s="1"/>
      <c r="C71" s="126"/>
      <c r="D71" s="390"/>
      <c r="E71" s="390"/>
      <c r="F71" s="390"/>
      <c r="G71" s="390"/>
      <c r="H71" s="390"/>
      <c r="I71" s="126"/>
      <c r="J71" s="126"/>
      <c r="K71" s="126"/>
      <c r="L71" s="126"/>
      <c r="M71" s="126"/>
      <c r="N71" s="126"/>
      <c r="O71" s="126"/>
      <c r="P71" s="126"/>
      <c r="Q71" s="126"/>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c r="A72" s="1"/>
      <c r="B72" s="1"/>
      <c r="C72" s="126"/>
      <c r="D72" s="390"/>
      <c r="E72" s="390"/>
      <c r="F72" s="390"/>
      <c r="G72" s="390"/>
      <c r="H72" s="390"/>
      <c r="I72" s="126"/>
      <c r="J72" s="126"/>
      <c r="K72" s="126"/>
      <c r="L72" s="126"/>
      <c r="M72" s="126"/>
      <c r="N72" s="126"/>
      <c r="O72" s="126"/>
      <c r="P72" s="126"/>
      <c r="Q72" s="126"/>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c r="A73" s="1"/>
      <c r="B73" s="1"/>
      <c r="C73" s="126"/>
      <c r="D73" s="390"/>
      <c r="E73" s="390"/>
      <c r="F73" s="390"/>
      <c r="G73" s="390"/>
      <c r="H73" s="390"/>
      <c r="I73" s="126"/>
      <c r="J73" s="126"/>
      <c r="K73" s="126"/>
      <c r="L73" s="126"/>
      <c r="M73" s="126"/>
      <c r="N73" s="126"/>
      <c r="O73" s="126"/>
      <c r="P73" s="126"/>
      <c r="Q73" s="126"/>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c r="A74" s="1"/>
      <c r="B74" s="1"/>
      <c r="C74" s="385"/>
      <c r="D74" s="390"/>
      <c r="E74" s="390"/>
      <c r="F74" s="390"/>
      <c r="G74" s="390"/>
      <c r="H74" s="390"/>
      <c r="I74" s="126"/>
      <c r="J74" s="126"/>
      <c r="K74" s="126"/>
      <c r="L74" s="126"/>
      <c r="M74" s="126"/>
      <c r="N74" s="126"/>
      <c r="O74" s="126"/>
      <c r="P74" s="126"/>
      <c r="Q74" s="126"/>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c r="A75" s="1"/>
      <c r="B75" s="1"/>
      <c r="C75" s="126"/>
      <c r="D75" s="390"/>
      <c r="E75" s="390"/>
      <c r="F75" s="390"/>
      <c r="G75" s="390"/>
      <c r="H75" s="390"/>
      <c r="I75" s="126"/>
      <c r="J75" s="126"/>
      <c r="K75" s="126"/>
      <c r="L75" s="126"/>
      <c r="M75" s="126"/>
      <c r="N75" s="126"/>
      <c r="O75" s="126"/>
      <c r="P75" s="126"/>
      <c r="Q75" s="126"/>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c r="A76" s="1"/>
      <c r="B76" s="1"/>
      <c r="C76" s="385"/>
      <c r="D76" s="390"/>
      <c r="E76" s="390"/>
      <c r="F76" s="390"/>
      <c r="G76" s="390"/>
      <c r="H76" s="390"/>
      <c r="I76" s="126"/>
      <c r="J76" s="126"/>
      <c r="K76" s="126"/>
      <c r="L76" s="126"/>
      <c r="M76" s="126"/>
      <c r="N76" s="126"/>
      <c r="O76" s="126"/>
      <c r="P76" s="126"/>
      <c r="Q76" s="126"/>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c r="A77" s="1"/>
      <c r="B77" s="52"/>
      <c r="C77" s="677"/>
      <c r="D77" s="677"/>
      <c r="E77" s="677"/>
      <c r="F77" s="677"/>
      <c r="G77" s="677"/>
      <c r="H77" s="390"/>
      <c r="I77" s="126"/>
      <c r="J77" s="126"/>
      <c r="K77" s="126"/>
      <c r="L77" s="126"/>
      <c r="M77" s="126"/>
      <c r="N77" s="126"/>
      <c r="O77" s="126"/>
      <c r="P77" s="126"/>
      <c r="Q77" s="126"/>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c r="A78" s="1"/>
      <c r="B78" s="100"/>
      <c r="C78" s="2"/>
      <c r="D78" s="639"/>
      <c r="E78" s="639"/>
      <c r="F78" s="639"/>
      <c r="G78" s="639"/>
      <c r="H78" s="390"/>
      <c r="I78" s="126"/>
      <c r="J78" s="126"/>
      <c r="K78" s="126"/>
      <c r="L78" s="126"/>
      <c r="M78" s="126"/>
      <c r="N78" s="126"/>
      <c r="O78" s="126"/>
      <c r="P78" s="126"/>
      <c r="Q78" s="126"/>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c r="A79" s="1"/>
      <c r="B79" s="52"/>
      <c r="C79" s="2"/>
      <c r="D79" s="639"/>
      <c r="E79" s="639"/>
      <c r="F79" s="639"/>
      <c r="G79" s="639"/>
      <c r="H79" s="390"/>
      <c r="I79" s="126"/>
      <c r="J79" s="126"/>
      <c r="K79" s="126"/>
      <c r="L79" s="126"/>
      <c r="M79" s="126"/>
      <c r="N79" s="126"/>
      <c r="O79" s="126"/>
      <c r="P79" s="126"/>
      <c r="Q79" s="126"/>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c r="A80" s="1"/>
      <c r="B80" s="52"/>
      <c r="C80" s="720"/>
      <c r="D80" s="720"/>
      <c r="E80" s="720"/>
      <c r="F80" s="720"/>
      <c r="G80" s="720"/>
      <c r="H80" s="390"/>
      <c r="I80" s="126"/>
      <c r="J80" s="126"/>
      <c r="K80" s="126"/>
      <c r="L80" s="126"/>
      <c r="M80" s="126"/>
      <c r="N80" s="126"/>
      <c r="O80" s="126"/>
      <c r="P80" s="126"/>
      <c r="Q80" s="126"/>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c r="A81" s="1"/>
      <c r="B81" s="52"/>
      <c r="C81" s="2"/>
      <c r="D81" s="639"/>
      <c r="E81" s="639"/>
      <c r="F81" s="639"/>
      <c r="G81" s="639"/>
      <c r="H81" s="390"/>
      <c r="I81" s="126"/>
      <c r="J81" s="126"/>
      <c r="K81" s="126"/>
      <c r="L81" s="126"/>
      <c r="M81" s="126"/>
      <c r="N81" s="126"/>
      <c r="O81" s="126"/>
      <c r="P81" s="126"/>
      <c r="Q81" s="126"/>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c r="A82" s="1"/>
      <c r="B82" s="52"/>
      <c r="C82" s="640"/>
      <c r="D82" s="640"/>
      <c r="E82" s="640"/>
      <c r="F82" s="640"/>
      <c r="G82" s="640"/>
      <c r="H82" s="390"/>
      <c r="I82" s="126"/>
      <c r="J82" s="126"/>
      <c r="K82" s="126"/>
      <c r="L82" s="126"/>
      <c r="M82" s="126"/>
      <c r="N82" s="126"/>
      <c r="O82" s="126"/>
      <c r="P82" s="126"/>
      <c r="Q82" s="126"/>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c r="A83" s="1"/>
      <c r="B83" s="52"/>
      <c r="C83" s="2"/>
      <c r="D83" s="639"/>
      <c r="E83" s="639"/>
      <c r="F83" s="639"/>
      <c r="G83" s="639"/>
      <c r="H83" s="390"/>
      <c r="I83" s="126"/>
      <c r="J83" s="126"/>
      <c r="K83" s="126"/>
      <c r="L83" s="126"/>
      <c r="M83" s="126"/>
      <c r="N83" s="126"/>
      <c r="O83" s="126"/>
      <c r="P83" s="126"/>
      <c r="Q83" s="126"/>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c r="A84" s="1"/>
      <c r="B84" s="52"/>
      <c r="C84" s="640"/>
      <c r="D84" s="640"/>
      <c r="E84" s="640"/>
      <c r="F84" s="640"/>
      <c r="G84" s="640"/>
      <c r="H84" s="390"/>
      <c r="I84" s="126"/>
      <c r="J84" s="126"/>
      <c r="K84" s="126"/>
      <c r="L84" s="126"/>
      <c r="M84" s="126"/>
      <c r="N84" s="126"/>
      <c r="O84" s="126"/>
      <c r="P84" s="126"/>
      <c r="Q84" s="126"/>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c r="A85" s="1"/>
      <c r="B85" s="52"/>
      <c r="C85" s="2"/>
      <c r="D85" s="639"/>
      <c r="E85" s="639"/>
      <c r="F85" s="639"/>
      <c r="G85" s="639"/>
      <c r="H85" s="390"/>
      <c r="I85" s="126"/>
      <c r="J85" s="126"/>
      <c r="K85" s="126"/>
      <c r="L85" s="126"/>
      <c r="M85" s="126"/>
      <c r="N85" s="126"/>
      <c r="O85" s="126"/>
      <c r="P85" s="126"/>
      <c r="Q85" s="126"/>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c r="A86" s="1"/>
      <c r="B86" s="52"/>
      <c r="C86" s="932"/>
      <c r="D86" s="932"/>
      <c r="E86" s="932"/>
      <c r="F86" s="932"/>
      <c r="G86" s="932"/>
      <c r="H86" s="390"/>
      <c r="I86" s="126"/>
      <c r="J86" s="126"/>
      <c r="K86" s="126"/>
      <c r="L86" s="126"/>
      <c r="M86" s="126"/>
      <c r="N86" s="126"/>
      <c r="O86" s="126"/>
      <c r="P86" s="126"/>
      <c r="Q86" s="126"/>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c r="A87" s="1"/>
      <c r="B87" s="52"/>
      <c r="C87" s="933"/>
      <c r="D87" s="639"/>
      <c r="E87" s="639"/>
      <c r="F87" s="639"/>
      <c r="G87" s="639"/>
      <c r="H87" s="390"/>
      <c r="I87" s="126"/>
      <c r="J87" s="126"/>
      <c r="K87" s="126"/>
      <c r="L87" s="126"/>
      <c r="M87" s="126"/>
      <c r="N87" s="126"/>
      <c r="O87" s="126"/>
      <c r="P87" s="126"/>
      <c r="Q87" s="126"/>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c r="A88" s="1"/>
      <c r="B88" s="52"/>
      <c r="C88" s="640"/>
      <c r="D88" s="640"/>
      <c r="E88" s="640"/>
      <c r="F88" s="640"/>
      <c r="G88" s="640"/>
      <c r="H88" s="390"/>
      <c r="I88" s="126"/>
      <c r="J88" s="126"/>
      <c r="K88" s="126"/>
      <c r="L88" s="126"/>
      <c r="M88" s="126"/>
      <c r="N88" s="126"/>
      <c r="O88" s="126"/>
      <c r="P88" s="126"/>
      <c r="Q88" s="126"/>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c r="A89" s="1"/>
      <c r="B89" s="52"/>
      <c r="C89" s="2"/>
      <c r="D89" s="639"/>
      <c r="E89" s="639"/>
      <c r="F89" s="639"/>
      <c r="G89" s="639"/>
      <c r="H89" s="390"/>
      <c r="I89" s="126"/>
      <c r="J89" s="126"/>
      <c r="K89" s="126"/>
      <c r="L89" s="126"/>
      <c r="M89" s="126"/>
      <c r="N89" s="126"/>
      <c r="O89" s="126"/>
      <c r="P89" s="126"/>
      <c r="Q89" s="126"/>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c r="A90" s="1"/>
      <c r="B90" s="52"/>
      <c r="C90" s="640"/>
      <c r="D90" s="640"/>
      <c r="E90" s="640"/>
      <c r="F90" s="640"/>
      <c r="G90" s="640"/>
      <c r="H90" s="390"/>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c r="A91" s="1"/>
      <c r="B91" s="52"/>
      <c r="C91" s="2"/>
      <c r="D91" s="639"/>
      <c r="E91" s="639"/>
      <c r="F91" s="639"/>
      <c r="G91" s="639"/>
      <c r="H91" s="390"/>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c r="A92" s="1"/>
      <c r="B92" s="52"/>
      <c r="C92" s="934"/>
      <c r="D92" s="934"/>
      <c r="E92" s="934"/>
      <c r="F92" s="934"/>
      <c r="G92" s="934"/>
      <c r="H92" s="390"/>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c r="A93" s="1"/>
      <c r="B93" s="52"/>
      <c r="C93" s="2"/>
      <c r="D93" s="639"/>
      <c r="E93" s="639"/>
      <c r="F93" s="639"/>
      <c r="G93" s="639"/>
      <c r="H93" s="390"/>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c r="A94" s="1"/>
      <c r="B94" s="52"/>
      <c r="C94" s="640"/>
      <c r="D94" s="640"/>
      <c r="E94" s="640"/>
      <c r="F94" s="640"/>
      <c r="G94" s="640"/>
      <c r="H94" s="390"/>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c r="A95" s="1"/>
      <c r="B95" s="52"/>
      <c r="C95" s="936"/>
      <c r="D95" s="639"/>
      <c r="E95" s="639"/>
      <c r="F95" s="639"/>
      <c r="G95" s="639"/>
      <c r="H95" s="37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c r="A96" s="1"/>
      <c r="B96" s="100"/>
      <c r="C96" s="5"/>
      <c r="D96" s="639"/>
      <c r="E96" s="639"/>
      <c r="F96" s="639"/>
      <c r="G96" s="639"/>
      <c r="H96" s="37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c r="A97" s="1"/>
      <c r="B97" s="52"/>
      <c r="C97" s="935"/>
      <c r="D97" s="935"/>
      <c r="E97" s="935"/>
      <c r="F97" s="935"/>
      <c r="G97" s="935"/>
      <c r="H97" s="37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c r="A98" s="1"/>
      <c r="B98" s="52"/>
      <c r="C98" s="52"/>
      <c r="D98" s="611"/>
      <c r="E98" s="611"/>
      <c r="F98" s="611"/>
      <c r="G98" s="611"/>
      <c r="H98" s="676"/>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c r="A99" s="1"/>
      <c r="B99" s="52"/>
      <c r="C99" s="52"/>
      <c r="D99" s="611"/>
      <c r="E99" s="611"/>
      <c r="F99" s="611"/>
      <c r="G99" s="611"/>
      <c r="H99" s="676"/>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c r="A100" s="1"/>
      <c r="B100" s="52"/>
      <c r="C100" s="509"/>
      <c r="D100" s="509"/>
      <c r="E100" s="509"/>
      <c r="F100" s="509"/>
      <c r="G100" s="509"/>
      <c r="H100" s="676"/>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c r="A101" s="1"/>
      <c r="B101" s="52"/>
      <c r="C101" s="509"/>
      <c r="D101" s="509"/>
      <c r="E101" s="509"/>
      <c r="F101" s="509"/>
      <c r="G101" s="509"/>
      <c r="H101" s="676"/>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c r="A102" s="1"/>
      <c r="B102" s="52"/>
      <c r="C102" s="52"/>
      <c r="D102" s="611"/>
      <c r="E102" s="611"/>
      <c r="F102" s="611"/>
      <c r="G102" s="611"/>
      <c r="H102" s="676"/>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c r="A103" s="1"/>
      <c r="B103" s="100"/>
      <c r="C103" s="52"/>
      <c r="D103" s="611"/>
      <c r="E103" s="611"/>
      <c r="F103" s="611"/>
      <c r="G103" s="611"/>
      <c r="H103" s="676"/>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c r="A104" s="1"/>
      <c r="B104" s="52"/>
      <c r="C104" s="52"/>
      <c r="D104" s="611"/>
      <c r="E104" s="611"/>
      <c r="F104" s="611"/>
      <c r="G104" s="611"/>
      <c r="H104" s="676"/>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c r="A105" s="1"/>
      <c r="B105" s="52"/>
      <c r="C105" s="657"/>
      <c r="D105" s="657"/>
      <c r="E105" s="657"/>
      <c r="F105" s="657"/>
      <c r="G105" s="657"/>
      <c r="H105" s="676"/>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c r="A106" s="1"/>
      <c r="B106" s="52"/>
      <c r="C106" s="52"/>
      <c r="D106" s="611"/>
      <c r="E106" s="611"/>
      <c r="F106" s="611"/>
      <c r="G106" s="611"/>
      <c r="H106" s="676"/>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c r="A107" s="1"/>
      <c r="B107" s="52"/>
      <c r="C107" s="657"/>
      <c r="D107" s="657"/>
      <c r="E107" s="657"/>
      <c r="F107" s="657"/>
      <c r="G107" s="657"/>
      <c r="H107" s="676"/>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c r="A108" s="1"/>
      <c r="B108" s="52"/>
      <c r="C108" s="52"/>
      <c r="D108" s="611"/>
      <c r="E108" s="611"/>
      <c r="F108" s="611"/>
      <c r="G108" s="611"/>
      <c r="H108" s="676"/>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c r="A109" s="1"/>
      <c r="B109" s="52"/>
      <c r="C109" s="657"/>
      <c r="D109" s="657"/>
      <c r="E109" s="657"/>
      <c r="F109" s="657"/>
      <c r="G109" s="657"/>
      <c r="H109" s="676"/>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c r="A110" s="1"/>
      <c r="B110" s="52"/>
      <c r="C110" s="52"/>
      <c r="D110" s="370"/>
      <c r="E110" s="370"/>
      <c r="F110" s="370"/>
      <c r="G110" s="370"/>
      <c r="H110" s="37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c r="A111" s="1"/>
      <c r="B111" s="52"/>
      <c r="C111" s="840"/>
      <c r="D111" s="840"/>
      <c r="E111" s="840"/>
      <c r="F111" s="840"/>
      <c r="G111" s="840"/>
      <c r="H111" s="37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c r="A112" s="1"/>
      <c r="B112" s="52"/>
      <c r="C112" s="52"/>
      <c r="D112" s="370"/>
      <c r="E112" s="370"/>
      <c r="F112" s="370"/>
      <c r="G112" s="370"/>
      <c r="H112" s="37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c r="A113" s="1"/>
      <c r="B113" s="52"/>
      <c r="C113" s="657"/>
      <c r="D113" s="657"/>
      <c r="E113" s="657"/>
      <c r="F113" s="657"/>
      <c r="G113" s="657"/>
      <c r="H113" s="37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c r="A114" s="1"/>
      <c r="B114" s="52"/>
      <c r="C114" s="657"/>
      <c r="D114" s="657"/>
      <c r="E114" s="657"/>
      <c r="F114" s="657"/>
      <c r="G114" s="657"/>
      <c r="H114" s="37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row>
    <row r="115" spans="1:91">
      <c r="A115" s="1"/>
      <c r="B115" s="52"/>
      <c r="C115" s="52"/>
      <c r="D115" s="370"/>
      <c r="E115" s="370"/>
      <c r="F115" s="370"/>
      <c r="G115" s="370"/>
      <c r="H115" s="37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row>
    <row r="116" spans="1:91">
      <c r="A116" s="1"/>
      <c r="B116" s="100"/>
      <c r="C116" s="52"/>
      <c r="D116" s="370"/>
      <c r="E116" s="370"/>
      <c r="F116" s="370"/>
      <c r="G116" s="370"/>
      <c r="H116" s="37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row>
    <row r="117" spans="1:91">
      <c r="A117" s="1"/>
      <c r="B117" s="52"/>
      <c r="C117" s="52"/>
      <c r="D117" s="370"/>
      <c r="E117" s="370"/>
      <c r="F117" s="370"/>
      <c r="G117" s="370"/>
      <c r="H117" s="37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row>
    <row r="118" spans="1:91">
      <c r="A118" s="1"/>
      <c r="B118" s="52"/>
      <c r="C118" s="509"/>
      <c r="D118" s="509"/>
      <c r="E118" s="509"/>
      <c r="F118" s="509"/>
      <c r="G118" s="509"/>
      <c r="H118" s="37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row>
    <row r="119" spans="1:91">
      <c r="A119" s="1"/>
      <c r="B119" s="52"/>
      <c r="C119" s="52"/>
      <c r="D119" s="370"/>
      <c r="E119" s="370"/>
      <c r="F119" s="370"/>
      <c r="G119" s="370"/>
      <c r="H119" s="37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c r="A120" s="1"/>
      <c r="B120" s="52"/>
      <c r="C120" s="510"/>
      <c r="D120" s="510"/>
      <c r="E120" s="510"/>
      <c r="F120" s="510"/>
      <c r="G120" s="510"/>
      <c r="H120" s="37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c r="A121" s="1"/>
      <c r="B121" s="52"/>
      <c r="C121" s="52"/>
      <c r="D121" s="370"/>
      <c r="E121" s="370"/>
      <c r="F121" s="370"/>
      <c r="G121" s="370"/>
      <c r="H121" s="37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c r="A122" s="1"/>
      <c r="B122" s="52"/>
      <c r="C122" s="611"/>
      <c r="D122" s="611"/>
      <c r="E122" s="611"/>
      <c r="F122" s="611"/>
      <c r="G122" s="61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c r="A123" s="1"/>
      <c r="B123" s="52"/>
      <c r="C123" s="52"/>
      <c r="D123" s="52"/>
      <c r="E123" s="52"/>
      <c r="F123" s="52"/>
      <c r="G123" s="52"/>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c r="A124" s="1"/>
      <c r="B124" s="52"/>
      <c r="C124" s="845"/>
      <c r="D124" s="845"/>
      <c r="E124" s="845"/>
      <c r="F124" s="845"/>
      <c r="G124" s="845"/>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row>
    <row r="125" spans="1:91">
      <c r="A125" s="1"/>
      <c r="B125" s="52"/>
      <c r="C125" s="52"/>
      <c r="D125" s="52"/>
      <c r="E125" s="52"/>
      <c r="F125" s="52"/>
      <c r="G125" s="52"/>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row>
    <row r="126" spans="1:91">
      <c r="A126" s="1"/>
      <c r="B126" s="52"/>
      <c r="C126" s="52"/>
      <c r="D126" s="845"/>
      <c r="E126" s="845"/>
      <c r="F126" s="845"/>
      <c r="G126" s="845"/>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row>
    <row r="127" spans="1:9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row>
    <row r="128" spans="1:9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row>
    <row r="129" spans="1:9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row>
    <row r="130" spans="1:9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row>
    <row r="131" spans="1:9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row>
    <row r="132" spans="1:9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row>
    <row r="133" spans="1:9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row>
    <row r="134" spans="1:9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row>
    <row r="135" spans="1:9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row>
    <row r="136" spans="1:9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row>
    <row r="137" spans="1:9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row>
    <row r="138" spans="1:9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row>
    <row r="139" spans="1:9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row>
    <row r="140" spans="1:9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row>
    <row r="141" spans="1:9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row>
    <row r="142" spans="1:9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row>
    <row r="159" spans="1:9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row>
    <row r="160" spans="1:9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row>
    <row r="161" spans="1:9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row>
    <row r="162" spans="1:9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row>
    <row r="163" spans="1:9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row>
    <row r="164" spans="1:9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row>
    <row r="165" spans="1:9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row>
    <row r="166" spans="1:9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row>
    <row r="167" spans="1:9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row>
    <row r="168" spans="1:9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row>
    <row r="169" spans="1:9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row>
    <row r="170" spans="1:9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row>
    <row r="171" spans="1:9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row>
    <row r="172" spans="1:9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row>
    <row r="173" spans="1:9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row>
    <row r="174" spans="1:9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row>
    <row r="175" spans="1:9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row>
    <row r="176" spans="1:9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row>
    <row r="177" spans="1:9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row>
    <row r="246" spans="1:9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row>
    <row r="247" spans="1:9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row>
    <row r="248" spans="1:9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row>
    <row r="249" spans="1:9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row>
    <row r="250" spans="1:9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row>
    <row r="251" spans="1:9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row>
    <row r="252" spans="1:9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row>
    <row r="253" spans="1:9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row>
    <row r="254" spans="1:9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row>
    <row r="255" spans="1:9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row>
    <row r="256" spans="1:9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row>
    <row r="257" spans="27:9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row>
    <row r="258" spans="27:9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row>
    <row r="259" spans="27:9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row>
    <row r="260" spans="27:9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row>
    <row r="261" spans="27:9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27:9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27:9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27:9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27:9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27:9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27:9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27:9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27:9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27:9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27:9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27:9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27:9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27:9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27:9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27:9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27:9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row>
    <row r="278" spans="27:9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row>
    <row r="279" spans="27:9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row>
    <row r="280" spans="27:9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row>
    <row r="281" spans="27:9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row>
    <row r="282" spans="27:9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row>
    <row r="283" spans="27:9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row>
    <row r="284" spans="27:9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row>
    <row r="285" spans="27:9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row>
    <row r="286" spans="27:9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row>
    <row r="287" spans="27:9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row>
    <row r="288" spans="27:9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row>
    <row r="289" spans="27:9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row>
    <row r="290" spans="27:9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row>
    <row r="291" spans="27:9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row>
    <row r="292" spans="27:9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row>
    <row r="293" spans="27:9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row>
    <row r="294" spans="27:9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row>
  </sheetData>
  <mergeCells count="1">
    <mergeCell ref="D2:H2"/>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4B2C-8398-479F-9B39-083013074D33}">
  <dimension ref="A1:L168"/>
  <sheetViews>
    <sheetView topLeftCell="A40" workbookViewId="0">
      <selection activeCell="B173" sqref="B173"/>
    </sheetView>
  </sheetViews>
  <sheetFormatPr defaultRowHeight="14.4"/>
  <cols>
    <col min="1" max="1" width="53.5546875" customWidth="1"/>
    <col min="3" max="3" width="15.6640625" customWidth="1"/>
    <col min="4" max="4" width="18.44140625" customWidth="1"/>
    <col min="5" max="5" width="12.88671875" customWidth="1"/>
    <col min="6" max="6" width="15.109375" customWidth="1"/>
    <col min="7" max="7" width="13.109375" customWidth="1"/>
  </cols>
  <sheetData>
    <row r="1" spans="1:12" ht="25.8">
      <c r="A1" s="916" t="s">
        <v>315</v>
      </c>
      <c r="B1" s="917"/>
      <c r="C1" s="125"/>
      <c r="D1" s="125"/>
      <c r="E1" s="125"/>
      <c r="F1" s="125"/>
      <c r="G1" s="288"/>
      <c r="H1" s="1"/>
      <c r="I1" s="1"/>
      <c r="J1" s="1"/>
      <c r="K1" s="1"/>
      <c r="L1" s="1"/>
    </row>
    <row r="2" spans="1:12">
      <c r="A2" s="289"/>
      <c r="B2" s="914" t="s">
        <v>158</v>
      </c>
      <c r="C2" s="914"/>
      <c r="D2" s="914"/>
      <c r="E2" s="914"/>
      <c r="F2" s="914"/>
      <c r="G2" s="915"/>
      <c r="H2" s="1"/>
      <c r="I2" s="1"/>
      <c r="J2" s="1"/>
      <c r="K2" s="1"/>
      <c r="L2" s="1"/>
    </row>
    <row r="3" spans="1:12">
      <c r="A3" s="255"/>
      <c r="B3" s="122" t="s">
        <v>1</v>
      </c>
      <c r="C3" s="124">
        <v>42369</v>
      </c>
      <c r="D3" s="124">
        <v>42735</v>
      </c>
      <c r="E3" s="124">
        <v>43100</v>
      </c>
      <c r="F3" s="124">
        <v>43465</v>
      </c>
      <c r="G3" s="290">
        <v>43830</v>
      </c>
      <c r="H3" s="1"/>
      <c r="I3" s="1"/>
      <c r="J3" s="1"/>
      <c r="K3" s="1"/>
      <c r="L3" s="1"/>
    </row>
    <row r="4" spans="1:12">
      <c r="A4" s="291"/>
      <c r="B4" s="2"/>
      <c r="C4" s="28"/>
      <c r="D4" s="26"/>
      <c r="E4" s="26"/>
      <c r="F4" s="26"/>
      <c r="G4" s="258"/>
      <c r="H4" s="1"/>
      <c r="I4" s="1"/>
      <c r="J4" s="1"/>
      <c r="K4" s="1"/>
      <c r="L4" s="1"/>
    </row>
    <row r="5" spans="1:12">
      <c r="A5" s="292" t="s">
        <v>326</v>
      </c>
      <c r="B5" s="137"/>
      <c r="C5" s="147">
        <v>5067</v>
      </c>
      <c r="D5" s="139">
        <v>5129</v>
      </c>
      <c r="E5" s="139">
        <v>4606</v>
      </c>
      <c r="F5" s="139">
        <v>4620</v>
      </c>
      <c r="G5" s="293">
        <v>4869</v>
      </c>
      <c r="H5" s="1"/>
      <c r="I5" s="1"/>
      <c r="J5" s="1"/>
      <c r="K5" s="1"/>
      <c r="L5" s="1"/>
    </row>
    <row r="6" spans="1:12">
      <c r="A6" s="292" t="s">
        <v>327</v>
      </c>
      <c r="B6" s="137"/>
      <c r="C6" s="147">
        <v>1348</v>
      </c>
      <c r="D6" s="139">
        <v>1704</v>
      </c>
      <c r="E6" s="139">
        <v>1863</v>
      </c>
      <c r="F6" s="139">
        <v>2302</v>
      </c>
      <c r="G6" s="293">
        <v>2379</v>
      </c>
      <c r="H6" s="1"/>
      <c r="I6" s="1"/>
      <c r="J6" s="1"/>
      <c r="K6" s="1"/>
      <c r="L6" s="1"/>
    </row>
    <row r="7" spans="1:12">
      <c r="A7" s="292" t="s">
        <v>322</v>
      </c>
      <c r="B7" s="137"/>
      <c r="C7" s="147">
        <v>137</v>
      </c>
      <c r="D7" s="139">
        <v>136</v>
      </c>
      <c r="E7" s="139">
        <v>107</v>
      </c>
      <c r="F7" s="139">
        <v>45</v>
      </c>
      <c r="G7" s="293">
        <v>65</v>
      </c>
      <c r="H7" s="1"/>
      <c r="I7" s="1"/>
      <c r="J7" s="1"/>
      <c r="K7" s="1"/>
      <c r="L7" s="1"/>
    </row>
    <row r="8" spans="1:12">
      <c r="A8" s="302" t="s">
        <v>472</v>
      </c>
      <c r="B8" s="138"/>
      <c r="C8" s="148">
        <v>-57</v>
      </c>
      <c r="D8" s="140">
        <v>-56</v>
      </c>
      <c r="E8" s="140">
        <v>-36</v>
      </c>
      <c r="F8" s="140">
        <v>-22</v>
      </c>
      <c r="G8" s="314">
        <v>-20</v>
      </c>
      <c r="H8" s="1"/>
      <c r="I8" s="1"/>
      <c r="J8" s="1"/>
      <c r="K8" s="1"/>
      <c r="L8" s="1"/>
    </row>
    <row r="9" spans="1:12">
      <c r="A9" s="294" t="s">
        <v>328</v>
      </c>
      <c r="B9" s="295"/>
      <c r="C9" s="142">
        <f>SUM(C5:C8)</f>
        <v>6495</v>
      </c>
      <c r="D9" s="142">
        <f t="shared" ref="D9:G9" si="0">SUM(D5:D8)</f>
        <v>6913</v>
      </c>
      <c r="E9" s="142">
        <f t="shared" si="0"/>
        <v>6540</v>
      </c>
      <c r="F9" s="142">
        <f t="shared" si="0"/>
        <v>6945</v>
      </c>
      <c r="G9" s="296">
        <f t="shared" si="0"/>
        <v>7293</v>
      </c>
      <c r="H9" s="1"/>
      <c r="I9" s="1"/>
      <c r="J9" s="1"/>
      <c r="K9" s="1"/>
      <c r="L9" s="1"/>
    </row>
    <row r="10" spans="1:12">
      <c r="A10" s="292"/>
      <c r="B10" s="137"/>
      <c r="C10" s="147"/>
      <c r="D10" s="139"/>
      <c r="E10" s="139"/>
      <c r="F10" s="139"/>
      <c r="G10" s="293"/>
      <c r="H10" s="1"/>
      <c r="I10" s="1"/>
      <c r="J10" s="1"/>
      <c r="K10" s="1"/>
      <c r="L10" s="1"/>
    </row>
    <row r="11" spans="1:12">
      <c r="A11" s="292" t="s">
        <v>317</v>
      </c>
      <c r="B11" s="137"/>
      <c r="C11" s="147">
        <v>184</v>
      </c>
      <c r="D11" s="139">
        <v>159</v>
      </c>
      <c r="E11" s="139">
        <v>147</v>
      </c>
      <c r="F11" s="139">
        <v>187</v>
      </c>
      <c r="G11" s="293">
        <v>184</v>
      </c>
      <c r="H11" s="1"/>
      <c r="I11" s="1"/>
      <c r="J11" s="1"/>
      <c r="K11" s="1"/>
      <c r="L11" s="1"/>
    </row>
    <row r="12" spans="1:12">
      <c r="A12" s="292" t="s">
        <v>318</v>
      </c>
      <c r="B12" s="137"/>
      <c r="C12" s="147">
        <v>1485</v>
      </c>
      <c r="D12" s="139">
        <v>1821</v>
      </c>
      <c r="E12" s="139">
        <v>1671</v>
      </c>
      <c r="F12" s="139">
        <v>1781</v>
      </c>
      <c r="G12" s="293">
        <v>1852</v>
      </c>
      <c r="H12" s="1"/>
      <c r="I12" s="1"/>
      <c r="J12" s="1"/>
      <c r="K12" s="1"/>
      <c r="L12" s="1"/>
    </row>
    <row r="13" spans="1:12">
      <c r="A13" s="292" t="s">
        <v>323</v>
      </c>
      <c r="B13" s="137"/>
      <c r="C13" s="147">
        <v>-1170</v>
      </c>
      <c r="D13" s="139">
        <v>-1384</v>
      </c>
      <c r="E13" s="139">
        <v>-1381</v>
      </c>
      <c r="F13" s="139">
        <v>-1413</v>
      </c>
      <c r="G13" s="293">
        <v>-1481</v>
      </c>
      <c r="H13" s="1"/>
      <c r="I13" s="1"/>
      <c r="J13" s="1"/>
      <c r="K13" s="1"/>
      <c r="L13" s="1"/>
    </row>
    <row r="14" spans="1:12">
      <c r="A14" s="297" t="s">
        <v>329</v>
      </c>
      <c r="B14" s="298"/>
      <c r="C14" s="155">
        <f>SUM(C11:C13)</f>
        <v>499</v>
      </c>
      <c r="D14" s="155">
        <f t="shared" ref="D14:G14" si="1">SUM(D11:D13)</f>
        <v>596</v>
      </c>
      <c r="E14" s="155">
        <f t="shared" si="1"/>
        <v>437</v>
      </c>
      <c r="F14" s="155">
        <f t="shared" si="1"/>
        <v>555</v>
      </c>
      <c r="G14" s="345">
        <f t="shared" si="1"/>
        <v>555</v>
      </c>
      <c r="H14" s="1"/>
      <c r="I14" s="1"/>
      <c r="J14" s="1"/>
      <c r="K14" s="1"/>
      <c r="L14" s="1"/>
    </row>
    <row r="15" spans="1:12">
      <c r="A15" s="300"/>
      <c r="B15" s="136"/>
      <c r="C15" s="146"/>
      <c r="D15" s="141"/>
      <c r="E15" s="141"/>
      <c r="F15" s="141"/>
      <c r="G15" s="301"/>
      <c r="H15" s="1"/>
      <c r="I15" s="1"/>
      <c r="J15" s="1"/>
      <c r="K15" s="1"/>
      <c r="L15" s="1"/>
    </row>
    <row r="16" spans="1:12">
      <c r="A16" s="292" t="s">
        <v>11</v>
      </c>
      <c r="B16" s="137"/>
      <c r="C16" s="139">
        <f>SUM(C17:C23)</f>
        <v>465</v>
      </c>
      <c r="D16" s="139">
        <f t="shared" ref="D16:G16" si="2">SUM(D17:D23)</f>
        <v>473</v>
      </c>
      <c r="E16" s="139">
        <f t="shared" si="2"/>
        <v>555</v>
      </c>
      <c r="F16" s="139">
        <f t="shared" si="2"/>
        <v>486</v>
      </c>
      <c r="G16" s="293">
        <f t="shared" si="2"/>
        <v>653</v>
      </c>
      <c r="H16" s="1"/>
      <c r="I16" s="1"/>
      <c r="J16" s="1"/>
      <c r="K16" s="1"/>
      <c r="L16" s="1"/>
    </row>
    <row r="17" spans="1:12">
      <c r="A17" s="292" t="s">
        <v>319</v>
      </c>
      <c r="B17" s="137"/>
      <c r="C17" s="147">
        <v>183</v>
      </c>
      <c r="D17" s="139">
        <v>389</v>
      </c>
      <c r="E17" s="139">
        <v>216</v>
      </c>
      <c r="F17" s="139">
        <v>313</v>
      </c>
      <c r="G17" s="293">
        <v>567</v>
      </c>
      <c r="H17" s="1"/>
      <c r="I17" s="1"/>
      <c r="J17" s="1"/>
      <c r="K17" s="1"/>
      <c r="L17" s="1"/>
    </row>
    <row r="18" spans="1:12">
      <c r="A18" s="292" t="s">
        <v>320</v>
      </c>
      <c r="B18" s="137"/>
      <c r="C18" s="147">
        <v>171</v>
      </c>
      <c r="D18" s="139">
        <v>218</v>
      </c>
      <c r="E18" s="139">
        <v>8</v>
      </c>
      <c r="F18" s="139">
        <v>16</v>
      </c>
      <c r="G18" s="293">
        <v>10</v>
      </c>
      <c r="H18" s="1"/>
      <c r="I18" s="1"/>
      <c r="J18" s="1"/>
      <c r="K18" s="1"/>
      <c r="L18" s="1"/>
    </row>
    <row r="19" spans="1:12">
      <c r="A19" s="302" t="s">
        <v>472</v>
      </c>
      <c r="B19" s="138"/>
      <c r="C19" s="148">
        <v>-171</v>
      </c>
      <c r="D19" s="140">
        <v>-218</v>
      </c>
      <c r="E19" s="140">
        <v>-8</v>
      </c>
      <c r="F19" s="140">
        <v>-16</v>
      </c>
      <c r="G19" s="314">
        <v>-10</v>
      </c>
      <c r="H19" s="1"/>
      <c r="I19" s="1"/>
      <c r="J19" s="1"/>
      <c r="K19" s="1"/>
      <c r="L19" s="1"/>
    </row>
    <row r="20" spans="1:12" ht="15.6" customHeight="1">
      <c r="A20" s="303" t="s">
        <v>31</v>
      </c>
      <c r="B20" s="149"/>
      <c r="C20" s="147">
        <v>6</v>
      </c>
      <c r="D20" s="139">
        <v>12</v>
      </c>
      <c r="E20" s="139">
        <v>8</v>
      </c>
      <c r="F20" s="139">
        <v>20</v>
      </c>
      <c r="G20" s="293">
        <v>25</v>
      </c>
      <c r="H20" s="1"/>
      <c r="I20" s="1"/>
      <c r="J20" s="1"/>
      <c r="K20" s="1"/>
      <c r="L20" s="1"/>
    </row>
    <row r="21" spans="1:12" ht="19.2" customHeight="1">
      <c r="A21" s="346" t="s">
        <v>472</v>
      </c>
      <c r="B21" s="347"/>
      <c r="C21" s="148">
        <v>0</v>
      </c>
      <c r="D21" s="140">
        <v>-4</v>
      </c>
      <c r="E21" s="140">
        <v>0</v>
      </c>
      <c r="F21" s="140">
        <v>-8</v>
      </c>
      <c r="G21" s="314">
        <v>-2</v>
      </c>
      <c r="H21" s="1"/>
      <c r="I21" s="1"/>
      <c r="J21" s="1"/>
      <c r="K21" s="1"/>
      <c r="L21" s="1"/>
    </row>
    <row r="22" spans="1:12">
      <c r="A22" s="292" t="s">
        <v>75</v>
      </c>
      <c r="B22" s="137"/>
      <c r="C22" s="147">
        <v>71</v>
      </c>
      <c r="D22" s="139">
        <v>70</v>
      </c>
      <c r="E22" s="139">
        <v>107</v>
      </c>
      <c r="F22" s="139">
        <v>49</v>
      </c>
      <c r="G22" s="293">
        <v>63</v>
      </c>
      <c r="H22" s="1"/>
      <c r="I22" s="1"/>
      <c r="J22" s="1"/>
      <c r="K22" s="1"/>
      <c r="L22" s="1"/>
    </row>
    <row r="23" spans="1:12" ht="17.399999999999999" customHeight="1">
      <c r="A23" s="303" t="s">
        <v>321</v>
      </c>
      <c r="B23" s="137"/>
      <c r="C23" s="147">
        <v>205</v>
      </c>
      <c r="D23" s="139">
        <v>6</v>
      </c>
      <c r="E23" s="139">
        <v>224</v>
      </c>
      <c r="F23" s="139">
        <v>112</v>
      </c>
      <c r="G23" s="293">
        <v>0</v>
      </c>
      <c r="H23" s="1"/>
      <c r="I23" s="1"/>
      <c r="J23" s="1"/>
      <c r="K23" s="1"/>
      <c r="L23" s="1"/>
    </row>
    <row r="24" spans="1:12">
      <c r="A24" s="292" t="s">
        <v>341</v>
      </c>
      <c r="B24" s="137"/>
      <c r="C24" s="147">
        <f>SUM(C25:C28)</f>
        <v>-656</v>
      </c>
      <c r="D24" s="147">
        <f t="shared" ref="D24:G24" si="3">SUM(D25:D28)</f>
        <v>-874</v>
      </c>
      <c r="E24" s="147">
        <f t="shared" si="3"/>
        <v>-650</v>
      </c>
      <c r="F24" s="147">
        <f t="shared" si="3"/>
        <v>-749</v>
      </c>
      <c r="G24" s="304">
        <f t="shared" si="3"/>
        <v>-990</v>
      </c>
      <c r="H24" s="1"/>
      <c r="I24" s="1"/>
      <c r="J24" s="1"/>
      <c r="K24" s="1"/>
      <c r="L24" s="1"/>
    </row>
    <row r="25" spans="1:12">
      <c r="A25" s="292" t="s">
        <v>120</v>
      </c>
      <c r="B25" s="137"/>
      <c r="C25" s="147">
        <v>-72</v>
      </c>
      <c r="D25" s="139">
        <v>-90</v>
      </c>
      <c r="E25" s="139">
        <v>-125</v>
      </c>
      <c r="F25" s="139">
        <v>-134</v>
      </c>
      <c r="G25" s="293">
        <v>-140</v>
      </c>
      <c r="H25" s="1"/>
      <c r="I25" s="1"/>
      <c r="J25" s="1"/>
      <c r="K25" s="1"/>
      <c r="L25" s="1"/>
    </row>
    <row r="26" spans="1:12">
      <c r="A26" s="292" t="s">
        <v>153</v>
      </c>
      <c r="B26" s="137"/>
      <c r="C26" s="147">
        <v>-43</v>
      </c>
      <c r="D26" s="139">
        <v>-33</v>
      </c>
      <c r="E26" s="139">
        <v>-4</v>
      </c>
      <c r="F26" s="139">
        <v>-34</v>
      </c>
      <c r="G26" s="293">
        <v>-6</v>
      </c>
      <c r="H26" s="1"/>
      <c r="I26" s="1"/>
      <c r="J26" s="1"/>
      <c r="K26" s="1"/>
      <c r="L26" s="1"/>
    </row>
    <row r="27" spans="1:12">
      <c r="A27" s="292" t="s">
        <v>324</v>
      </c>
      <c r="B27" s="137"/>
      <c r="C27" s="147">
        <v>-521</v>
      </c>
      <c r="D27" s="139">
        <v>-744</v>
      </c>
      <c r="E27" s="139">
        <v>-521</v>
      </c>
      <c r="F27" s="139">
        <v>-581</v>
      </c>
      <c r="G27" s="293">
        <v>-844</v>
      </c>
      <c r="H27" s="1"/>
      <c r="I27" s="1"/>
      <c r="J27" s="1"/>
      <c r="K27" s="1"/>
      <c r="L27" s="1"/>
    </row>
    <row r="28" spans="1:12">
      <c r="A28" s="292" t="s">
        <v>375</v>
      </c>
      <c r="B28" s="137"/>
      <c r="C28" s="147">
        <v>-20</v>
      </c>
      <c r="D28" s="139">
        <v>-7</v>
      </c>
      <c r="E28" s="139">
        <v>0</v>
      </c>
      <c r="F28" s="139">
        <v>0</v>
      </c>
      <c r="G28" s="293">
        <v>0</v>
      </c>
      <c r="H28" s="1"/>
      <c r="I28" s="1"/>
      <c r="J28" s="1"/>
      <c r="K28" s="1"/>
      <c r="L28" s="1"/>
    </row>
    <row r="29" spans="1:12">
      <c r="A29" s="294" t="s">
        <v>330</v>
      </c>
      <c r="B29" s="295"/>
      <c r="C29" s="152">
        <f>C14+C16+C24</f>
        <v>308</v>
      </c>
      <c r="D29" s="152">
        <f t="shared" ref="D29:G29" si="4">D14+D16+D24</f>
        <v>195</v>
      </c>
      <c r="E29" s="152">
        <f t="shared" si="4"/>
        <v>342</v>
      </c>
      <c r="F29" s="152">
        <f t="shared" si="4"/>
        <v>292</v>
      </c>
      <c r="G29" s="305">
        <f t="shared" si="4"/>
        <v>218</v>
      </c>
      <c r="H29" s="1"/>
      <c r="I29" s="1"/>
      <c r="J29" s="1"/>
      <c r="K29" s="1"/>
      <c r="L29" s="1"/>
    </row>
    <row r="30" spans="1:12">
      <c r="A30" s="292"/>
      <c r="B30" s="137"/>
      <c r="C30" s="147"/>
      <c r="D30" s="139"/>
      <c r="E30" s="139"/>
      <c r="F30" s="139"/>
      <c r="G30" s="293"/>
      <c r="H30" s="1"/>
      <c r="I30" s="1"/>
      <c r="J30" s="1"/>
      <c r="K30" s="1"/>
      <c r="L30" s="1"/>
    </row>
    <row r="31" spans="1:12">
      <c r="A31" s="292" t="s">
        <v>374</v>
      </c>
      <c r="B31" s="137"/>
      <c r="C31" s="147">
        <v>308</v>
      </c>
      <c r="D31" s="139">
        <v>341</v>
      </c>
      <c r="E31" s="139">
        <v>301</v>
      </c>
      <c r="F31" s="139">
        <v>264</v>
      </c>
      <c r="G31" s="293">
        <v>277</v>
      </c>
      <c r="H31" s="1"/>
      <c r="I31" s="1"/>
      <c r="J31" s="1"/>
      <c r="K31" s="1"/>
      <c r="L31" s="1"/>
    </row>
    <row r="32" spans="1:12">
      <c r="A32" s="292" t="s">
        <v>113</v>
      </c>
      <c r="B32" s="137"/>
      <c r="C32" s="147">
        <v>-332</v>
      </c>
      <c r="D32" s="139">
        <v>-365</v>
      </c>
      <c r="E32" s="139">
        <v>-319</v>
      </c>
      <c r="F32" s="139">
        <v>-314</v>
      </c>
      <c r="G32" s="293">
        <v>-307</v>
      </c>
      <c r="H32" s="1"/>
      <c r="I32" s="1"/>
      <c r="J32" s="1"/>
      <c r="K32" s="1"/>
      <c r="L32" s="1"/>
    </row>
    <row r="33" spans="1:12">
      <c r="A33" s="292" t="s">
        <v>325</v>
      </c>
      <c r="B33" s="137"/>
      <c r="C33" s="147">
        <v>-576</v>
      </c>
      <c r="D33" s="139">
        <v>-671</v>
      </c>
      <c r="E33" s="139">
        <v>-625</v>
      </c>
      <c r="F33" s="139">
        <v>-642</v>
      </c>
      <c r="G33" s="293">
        <v>-676</v>
      </c>
      <c r="H33" s="1"/>
      <c r="I33" s="1"/>
      <c r="J33" s="1"/>
      <c r="K33" s="1"/>
      <c r="L33" s="1"/>
    </row>
    <row r="34" spans="1:12">
      <c r="A34" s="306" t="s">
        <v>331</v>
      </c>
      <c r="B34" s="307"/>
      <c r="C34" s="151">
        <f>C9+C29+C31+C32+C33</f>
        <v>6203</v>
      </c>
      <c r="D34" s="151">
        <f t="shared" ref="D34:G34" si="5">D9+D29+D31+D32+D33</f>
        <v>6413</v>
      </c>
      <c r="E34" s="151">
        <f t="shared" si="5"/>
        <v>6239</v>
      </c>
      <c r="F34" s="151">
        <f t="shared" si="5"/>
        <v>6545</v>
      </c>
      <c r="G34" s="308">
        <f t="shared" si="5"/>
        <v>6805</v>
      </c>
      <c r="H34" s="1"/>
      <c r="I34" s="1"/>
      <c r="J34" s="1"/>
      <c r="K34" s="1"/>
      <c r="L34" s="1"/>
    </row>
    <row r="35" spans="1:12">
      <c r="A35" s="292"/>
      <c r="B35" s="137"/>
      <c r="C35" s="147"/>
      <c r="D35" s="139"/>
      <c r="E35" s="139"/>
      <c r="F35" s="139"/>
      <c r="G35" s="293"/>
      <c r="H35" s="1"/>
      <c r="I35" s="1"/>
      <c r="J35" s="1"/>
      <c r="K35" s="1"/>
      <c r="L35" s="1"/>
    </row>
    <row r="36" spans="1:12">
      <c r="A36" s="292"/>
      <c r="B36" s="137"/>
      <c r="C36" s="147"/>
      <c r="D36" s="139"/>
      <c r="E36" s="139"/>
      <c r="F36" s="139"/>
      <c r="G36" s="293"/>
      <c r="H36" s="1"/>
      <c r="I36" s="1"/>
      <c r="J36" s="1"/>
      <c r="K36" s="1"/>
      <c r="L36" s="1"/>
    </row>
    <row r="37" spans="1:12">
      <c r="A37" s="292"/>
      <c r="B37" s="137"/>
      <c r="C37" s="147"/>
      <c r="D37" s="139"/>
      <c r="E37" s="139"/>
      <c r="F37" s="139"/>
      <c r="G37" s="293"/>
      <c r="H37" s="1"/>
      <c r="I37" s="1"/>
      <c r="J37" s="1"/>
      <c r="K37" s="1"/>
      <c r="L37" s="1"/>
    </row>
    <row r="38" spans="1:12">
      <c r="A38" s="309" t="s">
        <v>338</v>
      </c>
      <c r="B38" s="310"/>
      <c r="C38" s="153">
        <v>-3259</v>
      </c>
      <c r="D38" s="154">
        <v>-3279</v>
      </c>
      <c r="E38" s="154">
        <v>-3013</v>
      </c>
      <c r="F38" s="154">
        <v>-3523</v>
      </c>
      <c r="G38" s="331">
        <v>-3651</v>
      </c>
      <c r="H38" s="1"/>
      <c r="I38" s="1"/>
      <c r="J38" s="1"/>
      <c r="K38" s="1"/>
      <c r="L38" s="1"/>
    </row>
    <row r="39" spans="1:12">
      <c r="A39" s="292"/>
      <c r="B39" s="137"/>
      <c r="C39" s="147"/>
      <c r="D39" s="139"/>
      <c r="E39" s="139"/>
      <c r="F39" s="139"/>
      <c r="G39" s="293"/>
      <c r="H39" s="1"/>
      <c r="I39" s="1"/>
      <c r="J39" s="1"/>
      <c r="K39" s="1"/>
      <c r="L39" s="1"/>
    </row>
    <row r="40" spans="1:12">
      <c r="A40" s="292" t="s">
        <v>105</v>
      </c>
      <c r="B40" s="137"/>
      <c r="C40" s="147">
        <v>-3089</v>
      </c>
      <c r="D40" s="139">
        <v>-3436</v>
      </c>
      <c r="E40" s="139">
        <v>-3501</v>
      </c>
      <c r="F40" s="139">
        <v>-2984</v>
      </c>
      <c r="G40" s="293">
        <v>-3307</v>
      </c>
      <c r="H40" s="1"/>
      <c r="I40" s="1"/>
      <c r="J40" s="1"/>
      <c r="K40" s="1"/>
      <c r="L40" s="1"/>
    </row>
    <row r="41" spans="1:12">
      <c r="A41" s="292" t="s">
        <v>473</v>
      </c>
      <c r="B41" s="137"/>
      <c r="C41" s="147">
        <v>-27</v>
      </c>
      <c r="D41" s="139">
        <v>-19</v>
      </c>
      <c r="E41" s="139">
        <v>-23</v>
      </c>
      <c r="F41" s="139">
        <v>-14</v>
      </c>
      <c r="G41" s="293">
        <v>-9</v>
      </c>
      <c r="H41" s="1"/>
      <c r="I41" s="1"/>
      <c r="J41" s="1"/>
      <c r="K41" s="1"/>
      <c r="L41" s="1"/>
    </row>
    <row r="42" spans="1:12">
      <c r="A42" s="292" t="s">
        <v>474</v>
      </c>
      <c r="B42" s="137"/>
      <c r="C42" s="139">
        <v>57</v>
      </c>
      <c r="D42" s="139">
        <v>60</v>
      </c>
      <c r="E42" s="139">
        <v>36</v>
      </c>
      <c r="F42" s="139">
        <v>30</v>
      </c>
      <c r="G42" s="293">
        <v>22</v>
      </c>
      <c r="H42" s="1"/>
      <c r="I42" s="1"/>
      <c r="J42" s="1"/>
      <c r="K42" s="1"/>
      <c r="L42" s="1"/>
    </row>
    <row r="43" spans="1:12">
      <c r="A43" s="292" t="s">
        <v>150</v>
      </c>
      <c r="B43" s="137"/>
      <c r="C43" s="147">
        <v>-692</v>
      </c>
      <c r="D43" s="139">
        <v>-359</v>
      </c>
      <c r="E43" s="139">
        <v>-437</v>
      </c>
      <c r="F43" s="139">
        <v>-694</v>
      </c>
      <c r="G43" s="293">
        <v>-304</v>
      </c>
      <c r="H43" s="1"/>
      <c r="I43" s="1"/>
      <c r="J43" s="1"/>
      <c r="K43" s="1"/>
      <c r="L43" s="1"/>
    </row>
    <row r="44" spans="1:12">
      <c r="A44" s="311" t="s">
        <v>337</v>
      </c>
      <c r="B44" s="312"/>
      <c r="C44" s="158">
        <f>C40+C41+C42+C43</f>
        <v>-3751</v>
      </c>
      <c r="D44" s="158">
        <v>-3754</v>
      </c>
      <c r="E44" s="158">
        <v>-3925</v>
      </c>
      <c r="F44" s="158">
        <v>-3662</v>
      </c>
      <c r="G44" s="348">
        <v>-3598</v>
      </c>
      <c r="H44" s="1"/>
      <c r="I44" s="1"/>
      <c r="J44" s="1"/>
      <c r="K44" s="1"/>
      <c r="L44" s="1"/>
    </row>
    <row r="45" spans="1:12">
      <c r="A45" s="302"/>
      <c r="B45" s="138"/>
      <c r="C45" s="148"/>
      <c r="D45" s="140"/>
      <c r="E45" s="140"/>
      <c r="F45" s="140"/>
      <c r="G45" s="314"/>
      <c r="H45" s="1"/>
      <c r="I45" s="1"/>
      <c r="J45" s="1"/>
      <c r="K45" s="1"/>
      <c r="L45" s="1"/>
    </row>
    <row r="46" spans="1:12">
      <c r="A46" s="302" t="s">
        <v>475</v>
      </c>
      <c r="B46" s="138"/>
      <c r="C46" s="140">
        <v>171</v>
      </c>
      <c r="D46" s="140">
        <v>218</v>
      </c>
      <c r="E46" s="140">
        <v>8</v>
      </c>
      <c r="F46" s="140">
        <v>16</v>
      </c>
      <c r="G46" s="314">
        <v>10</v>
      </c>
      <c r="H46" s="1"/>
      <c r="I46" s="1"/>
      <c r="J46" s="1"/>
      <c r="K46" s="1"/>
      <c r="L46" s="1"/>
    </row>
    <row r="47" spans="1:12">
      <c r="A47" s="292" t="s">
        <v>77</v>
      </c>
      <c r="B47" s="137"/>
      <c r="C47" s="147">
        <v>636</v>
      </c>
      <c r="D47" s="139">
        <v>402</v>
      </c>
      <c r="E47" s="139">
        <v>691</v>
      </c>
      <c r="F47" s="139">
        <v>624</v>
      </c>
      <c r="G47" s="293">
        <v>434</v>
      </c>
      <c r="H47" s="1"/>
      <c r="I47" s="1"/>
      <c r="J47" s="1"/>
      <c r="K47" s="1"/>
      <c r="L47" s="1"/>
    </row>
    <row r="48" spans="1:12">
      <c r="A48" s="294" t="s">
        <v>332</v>
      </c>
      <c r="B48" s="295"/>
      <c r="C48" s="142">
        <f>C44+C46+C47</f>
        <v>-2944</v>
      </c>
      <c r="D48" s="142">
        <f t="shared" ref="D48:G48" si="6">D44+D46+D47</f>
        <v>-3134</v>
      </c>
      <c r="E48" s="142">
        <f t="shared" si="6"/>
        <v>-3226</v>
      </c>
      <c r="F48" s="142">
        <f t="shared" si="6"/>
        <v>-3022</v>
      </c>
      <c r="G48" s="296">
        <f t="shared" si="6"/>
        <v>-3154</v>
      </c>
      <c r="H48" s="1"/>
      <c r="I48" s="1"/>
      <c r="J48" s="1"/>
      <c r="K48" s="1"/>
      <c r="L48" s="1"/>
    </row>
    <row r="49" spans="1:12">
      <c r="A49" s="292"/>
      <c r="B49" s="137"/>
      <c r="C49" s="147"/>
      <c r="D49" s="139"/>
      <c r="E49" s="139"/>
      <c r="F49" s="139"/>
      <c r="G49" s="293"/>
      <c r="H49" s="1"/>
      <c r="I49" s="1"/>
      <c r="J49" s="1"/>
      <c r="K49" s="1"/>
      <c r="L49" s="1"/>
    </row>
    <row r="50" spans="1:12">
      <c r="A50" s="306" t="s">
        <v>331</v>
      </c>
      <c r="B50" s="307"/>
      <c r="C50" s="151">
        <f>C38+C48</f>
        <v>-6203</v>
      </c>
      <c r="D50" s="151">
        <f t="shared" ref="D50:G50" si="7">D38+D48</f>
        <v>-6413</v>
      </c>
      <c r="E50" s="151">
        <f t="shared" si="7"/>
        <v>-6239</v>
      </c>
      <c r="F50" s="151">
        <f t="shared" si="7"/>
        <v>-6545</v>
      </c>
      <c r="G50" s="308">
        <f t="shared" si="7"/>
        <v>-6805</v>
      </c>
      <c r="H50" s="1"/>
      <c r="I50" s="1"/>
      <c r="J50" s="1"/>
      <c r="K50" s="1"/>
      <c r="L50" s="1"/>
    </row>
    <row r="51" spans="1:12" ht="15" thickBot="1">
      <c r="A51" s="349" t="s">
        <v>344</v>
      </c>
      <c r="B51" s="350"/>
      <c r="C51" s="351">
        <f>C34+C50</f>
        <v>0</v>
      </c>
      <c r="D51" s="351">
        <f t="shared" ref="D51:G51" si="8">D34+D50</f>
        <v>0</v>
      </c>
      <c r="E51" s="351">
        <f t="shared" si="8"/>
        <v>0</v>
      </c>
      <c r="F51" s="351">
        <f t="shared" si="8"/>
        <v>0</v>
      </c>
      <c r="G51" s="352">
        <f t="shared" si="8"/>
        <v>0</v>
      </c>
      <c r="H51" s="1"/>
      <c r="I51" s="1"/>
      <c r="J51" s="1"/>
      <c r="K51" s="1"/>
      <c r="L51" s="1"/>
    </row>
    <row r="52" spans="1:12">
      <c r="B52" s="1"/>
      <c r="C52" s="1"/>
      <c r="D52" s="1"/>
      <c r="E52" s="1"/>
      <c r="F52" s="1"/>
      <c r="G52" s="1"/>
      <c r="H52" s="1"/>
      <c r="I52" s="1"/>
      <c r="J52" s="1"/>
      <c r="K52" s="1"/>
      <c r="L52" s="1"/>
    </row>
    <row r="53" spans="1:12" ht="15" thickBot="1">
      <c r="A53" s="1"/>
      <c r="C53" s="1"/>
      <c r="D53" s="1"/>
      <c r="E53" s="1"/>
      <c r="F53" s="1"/>
      <c r="G53" s="1"/>
      <c r="H53" s="1"/>
      <c r="I53" s="1"/>
      <c r="J53" s="1"/>
      <c r="K53" s="1"/>
      <c r="L53" s="1"/>
    </row>
    <row r="54" spans="1:12" ht="24.6">
      <c r="A54" s="319" t="s">
        <v>302</v>
      </c>
      <c r="B54" s="320"/>
      <c r="C54" s="320"/>
      <c r="D54" s="320"/>
      <c r="E54" s="320"/>
      <c r="F54" s="320"/>
      <c r="G54" s="321"/>
      <c r="H54" s="1"/>
      <c r="I54" s="1"/>
      <c r="J54" s="1"/>
      <c r="K54" s="1"/>
      <c r="L54" s="1"/>
    </row>
    <row r="55" spans="1:12">
      <c r="A55" s="322"/>
      <c r="B55" s="107"/>
      <c r="C55" s="918" t="s">
        <v>163</v>
      </c>
      <c r="D55" s="918"/>
      <c r="E55" s="918"/>
      <c r="F55" s="918"/>
      <c r="G55" s="919"/>
      <c r="H55" s="1"/>
      <c r="I55" s="1"/>
      <c r="J55" s="1"/>
      <c r="K55" s="1"/>
      <c r="L55" s="1"/>
    </row>
    <row r="56" spans="1:12">
      <c r="A56" s="255"/>
      <c r="B56" s="121" t="s">
        <v>1</v>
      </c>
      <c r="C56" s="108">
        <v>42369</v>
      </c>
      <c r="D56" s="108">
        <v>42735</v>
      </c>
      <c r="E56" s="108">
        <v>43100</v>
      </c>
      <c r="F56" s="108">
        <v>43465</v>
      </c>
      <c r="G56" s="256">
        <v>43830</v>
      </c>
      <c r="H56" s="1"/>
      <c r="I56" s="1"/>
      <c r="J56" s="1"/>
      <c r="K56" s="1"/>
      <c r="L56" s="1"/>
    </row>
    <row r="57" spans="1:12">
      <c r="A57" s="257"/>
      <c r="B57" s="52"/>
      <c r="C57" s="45"/>
      <c r="D57" s="46"/>
      <c r="E57" s="46"/>
      <c r="F57" s="46"/>
      <c r="G57" s="353"/>
      <c r="H57" s="1"/>
      <c r="I57" s="1"/>
      <c r="J57" s="1"/>
      <c r="K57" s="1"/>
      <c r="L57" s="1"/>
    </row>
    <row r="58" spans="1:12">
      <c r="A58" s="291" t="s">
        <v>343</v>
      </c>
      <c r="B58" s="52"/>
      <c r="C58" s="146">
        <f>SUM(C61:C62)</f>
        <v>4921</v>
      </c>
      <c r="D58" s="141">
        <f t="shared" ref="D58:G58" si="9">SUM(D61:D62)</f>
        <v>4860</v>
      </c>
      <c r="E58" s="141">
        <f t="shared" si="9"/>
        <v>5796</v>
      </c>
      <c r="F58" s="141">
        <f t="shared" si="9"/>
        <v>6494</v>
      </c>
      <c r="G58" s="301">
        <f t="shared" si="9"/>
        <v>7324</v>
      </c>
      <c r="H58" s="1"/>
      <c r="I58" s="1"/>
      <c r="J58" s="1"/>
      <c r="K58" s="1"/>
      <c r="L58" s="1"/>
    </row>
    <row r="59" spans="1:12">
      <c r="A59" s="175" t="s">
        <v>167</v>
      </c>
      <c r="B59" s="52"/>
      <c r="C59" s="147">
        <v>3947</v>
      </c>
      <c r="D59" s="139">
        <v>3734</v>
      </c>
      <c r="E59" s="139">
        <v>4633</v>
      </c>
      <c r="F59" s="139">
        <v>5268</v>
      </c>
      <c r="G59" s="293">
        <v>6046</v>
      </c>
      <c r="H59" s="1"/>
      <c r="I59" s="1"/>
      <c r="J59" s="1"/>
      <c r="K59" s="1"/>
      <c r="L59" s="1"/>
    </row>
    <row r="60" spans="1:12">
      <c r="A60" s="175" t="s">
        <v>169</v>
      </c>
      <c r="B60" s="52"/>
      <c r="C60" s="147">
        <v>785</v>
      </c>
      <c r="D60" s="139">
        <v>847</v>
      </c>
      <c r="E60" s="139">
        <v>957</v>
      </c>
      <c r="F60" s="139">
        <v>1003</v>
      </c>
      <c r="G60" s="293">
        <v>1076</v>
      </c>
      <c r="H60" s="1"/>
      <c r="I60" s="1"/>
      <c r="J60" s="1"/>
      <c r="K60" s="1"/>
      <c r="L60" s="1"/>
    </row>
    <row r="61" spans="1:12">
      <c r="A61" s="354" t="s">
        <v>171</v>
      </c>
      <c r="B61" s="52"/>
      <c r="C61" s="148">
        <f>SUM(C59:C60)</f>
        <v>4732</v>
      </c>
      <c r="D61" s="140">
        <f>SUM(D59:D60)</f>
        <v>4581</v>
      </c>
      <c r="E61" s="140">
        <f>SUM(E59:E60)</f>
        <v>5590</v>
      </c>
      <c r="F61" s="140">
        <f>SUM(F59:F60)</f>
        <v>6271</v>
      </c>
      <c r="G61" s="314">
        <f>SUM(G59:G60)</f>
        <v>7122</v>
      </c>
      <c r="H61" s="1"/>
      <c r="I61" s="1"/>
      <c r="J61" s="1"/>
      <c r="K61" s="1"/>
      <c r="L61" s="1"/>
    </row>
    <row r="62" spans="1:12">
      <c r="A62" s="175" t="s">
        <v>173</v>
      </c>
      <c r="B62" s="52"/>
      <c r="C62" s="147">
        <v>189</v>
      </c>
      <c r="D62" s="139">
        <v>279</v>
      </c>
      <c r="E62" s="139">
        <v>206</v>
      </c>
      <c r="F62" s="139">
        <v>223</v>
      </c>
      <c r="G62" s="293">
        <v>202</v>
      </c>
      <c r="H62" s="1"/>
      <c r="I62" s="1"/>
      <c r="J62" s="1"/>
      <c r="K62" s="1"/>
      <c r="L62" s="1"/>
    </row>
    <row r="63" spans="1:12">
      <c r="A63" s="175"/>
      <c r="B63" s="52"/>
      <c r="C63" s="147"/>
      <c r="D63" s="147"/>
      <c r="E63" s="139"/>
      <c r="F63" s="139"/>
      <c r="G63" s="293"/>
      <c r="H63" s="1"/>
      <c r="I63" s="1"/>
      <c r="J63" s="1"/>
      <c r="K63" s="1"/>
      <c r="L63" s="1"/>
    </row>
    <row r="64" spans="1:12">
      <c r="A64" s="175" t="s">
        <v>177</v>
      </c>
      <c r="B64" s="52"/>
      <c r="C64" s="147">
        <v>-2286</v>
      </c>
      <c r="D64" s="147">
        <v>-2101</v>
      </c>
      <c r="E64" s="139">
        <v>-2831</v>
      </c>
      <c r="F64" s="139">
        <v>-3346</v>
      </c>
      <c r="G64" s="293">
        <v>-4004</v>
      </c>
      <c r="H64" s="1"/>
      <c r="I64" s="1"/>
      <c r="J64" s="1"/>
      <c r="K64" s="1"/>
      <c r="L64" s="1"/>
    </row>
    <row r="65" spans="1:12">
      <c r="A65" s="175" t="s">
        <v>179</v>
      </c>
      <c r="B65" s="52"/>
      <c r="C65" s="147">
        <v>-706</v>
      </c>
      <c r="D65" s="147">
        <v>-758</v>
      </c>
      <c r="E65" s="139">
        <v>-850</v>
      </c>
      <c r="F65" s="139">
        <v>-986</v>
      </c>
      <c r="G65" s="293">
        <v>-1152</v>
      </c>
      <c r="H65" s="1"/>
      <c r="I65" s="1"/>
      <c r="J65" s="1"/>
      <c r="K65" s="1"/>
      <c r="L65" s="1"/>
    </row>
    <row r="66" spans="1:12">
      <c r="A66" s="175" t="s">
        <v>183</v>
      </c>
      <c r="B66" s="52"/>
      <c r="C66" s="147">
        <v>-252</v>
      </c>
      <c r="D66" s="147">
        <v>-243</v>
      </c>
      <c r="E66" s="139">
        <v>-281</v>
      </c>
      <c r="F66" s="139">
        <v>-266</v>
      </c>
      <c r="G66" s="293">
        <v>-234</v>
      </c>
      <c r="H66" s="1"/>
      <c r="I66" s="1"/>
      <c r="J66" s="1"/>
      <c r="K66" s="1"/>
      <c r="L66" s="1"/>
    </row>
    <row r="67" spans="1:12">
      <c r="A67" s="175" t="s">
        <v>333</v>
      </c>
      <c r="B67" s="52"/>
      <c r="C67" s="147">
        <f>-SUM(C72:C73)</f>
        <v>-629</v>
      </c>
      <c r="D67" s="147">
        <f>-SUM(D72:D73)</f>
        <v>-596</v>
      </c>
      <c r="E67" s="139">
        <f>-SUM(E72:E73)</f>
        <v>-635</v>
      </c>
      <c r="F67" s="139">
        <f>-SUM(F72:F73)</f>
        <v>-665</v>
      </c>
      <c r="G67" s="293">
        <f>-SUM(G72:G73)</f>
        <v>-700</v>
      </c>
      <c r="H67" s="1"/>
      <c r="I67" s="1"/>
      <c r="J67" s="1"/>
      <c r="K67" s="1"/>
      <c r="L67" s="1"/>
    </row>
    <row r="68" spans="1:12">
      <c r="A68" s="175" t="s">
        <v>187</v>
      </c>
      <c r="B68" s="52"/>
      <c r="C68" s="147">
        <v>441</v>
      </c>
      <c r="D68" s="147">
        <v>433</v>
      </c>
      <c r="E68" s="139">
        <v>471</v>
      </c>
      <c r="F68" s="139">
        <v>494</v>
      </c>
      <c r="G68" s="293">
        <v>527</v>
      </c>
      <c r="H68" s="1"/>
      <c r="I68" s="1"/>
      <c r="J68" s="1"/>
      <c r="K68" s="1"/>
      <c r="L68" s="1"/>
    </row>
    <row r="69" spans="1:12">
      <c r="A69" s="175" t="s">
        <v>189</v>
      </c>
      <c r="B69" s="52"/>
      <c r="C69" s="147">
        <v>163</v>
      </c>
      <c r="D69" s="147">
        <v>146</v>
      </c>
      <c r="E69" s="139">
        <v>160</v>
      </c>
      <c r="F69" s="139">
        <v>173</v>
      </c>
      <c r="G69" s="293">
        <v>179</v>
      </c>
      <c r="H69" s="1"/>
      <c r="I69" s="1"/>
      <c r="J69" s="1"/>
      <c r="K69" s="1"/>
      <c r="L69" s="1"/>
    </row>
    <row r="70" spans="1:12">
      <c r="A70" s="175" t="s">
        <v>191</v>
      </c>
      <c r="B70" s="52"/>
      <c r="C70" s="147">
        <v>25</v>
      </c>
      <c r="D70" s="147">
        <v>26</v>
      </c>
      <c r="E70" s="139">
        <v>29</v>
      </c>
      <c r="F70" s="139">
        <v>31</v>
      </c>
      <c r="G70" s="293">
        <v>31</v>
      </c>
      <c r="H70" s="1"/>
      <c r="I70" s="1"/>
      <c r="J70" s="1"/>
      <c r="K70" s="1"/>
      <c r="L70" s="1"/>
    </row>
    <row r="71" spans="1:12">
      <c r="A71" s="175" t="s">
        <v>192</v>
      </c>
      <c r="B71" s="52"/>
      <c r="C71" s="147">
        <v>27</v>
      </c>
      <c r="D71" s="147">
        <v>36</v>
      </c>
      <c r="E71" s="139">
        <v>27</v>
      </c>
      <c r="F71" s="139">
        <v>33</v>
      </c>
      <c r="G71" s="293">
        <v>42</v>
      </c>
      <c r="H71" s="1"/>
      <c r="I71" s="1"/>
      <c r="J71" s="1"/>
      <c r="K71" s="1"/>
      <c r="L71" s="1"/>
    </row>
    <row r="72" spans="1:12">
      <c r="A72" s="354" t="s">
        <v>194</v>
      </c>
      <c r="B72" s="52"/>
      <c r="C72" s="148">
        <f>SUM(C68:C71)</f>
        <v>656</v>
      </c>
      <c r="D72" s="148">
        <f>SUM(D68:D71)</f>
        <v>641</v>
      </c>
      <c r="E72" s="140">
        <f>SUM(E68:E71)</f>
        <v>687</v>
      </c>
      <c r="F72" s="140">
        <f t="shared" ref="F72" si="10">SUM(F68:F71)</f>
        <v>731</v>
      </c>
      <c r="G72" s="314">
        <f>SUM(G68:G71)</f>
        <v>779</v>
      </c>
      <c r="H72" s="1"/>
      <c r="I72" s="1"/>
      <c r="J72" s="1"/>
      <c r="K72" s="1"/>
      <c r="L72" s="1"/>
    </row>
    <row r="73" spans="1:12">
      <c r="A73" s="175" t="s">
        <v>196</v>
      </c>
      <c r="B73" s="52"/>
      <c r="C73" s="147">
        <v>-27</v>
      </c>
      <c r="D73" s="147">
        <v>-45</v>
      </c>
      <c r="E73" s="139">
        <v>-52</v>
      </c>
      <c r="F73" s="139">
        <v>-66</v>
      </c>
      <c r="G73" s="293">
        <v>-79</v>
      </c>
      <c r="H73" s="1"/>
      <c r="I73" s="1"/>
      <c r="J73" s="1"/>
      <c r="K73" s="1"/>
      <c r="L73" s="1"/>
    </row>
    <row r="74" spans="1:12">
      <c r="A74" s="355" t="s">
        <v>342</v>
      </c>
      <c r="B74" s="283"/>
      <c r="C74" s="155">
        <f>SUM(C64:C67)</f>
        <v>-3873</v>
      </c>
      <c r="D74" s="155">
        <f>SUM(D64:D67)</f>
        <v>-3698</v>
      </c>
      <c r="E74" s="156">
        <f>SUM(E64:E67)</f>
        <v>-4597</v>
      </c>
      <c r="F74" s="156">
        <f>SUM(F64:F67)</f>
        <v>-5263</v>
      </c>
      <c r="G74" s="299">
        <f>SUM(G64:G67)</f>
        <v>-6090</v>
      </c>
      <c r="H74" s="1"/>
      <c r="I74" s="1"/>
      <c r="J74" s="1"/>
      <c r="K74" s="1"/>
      <c r="L74" s="1"/>
    </row>
    <row r="75" spans="1:12">
      <c r="A75" s="291"/>
      <c r="B75" s="52"/>
      <c r="C75" s="147"/>
      <c r="D75" s="147"/>
      <c r="E75" s="139"/>
      <c r="F75" s="139"/>
      <c r="G75" s="293"/>
      <c r="H75" s="1"/>
      <c r="I75" s="1"/>
      <c r="J75" s="1"/>
      <c r="K75" s="1"/>
      <c r="L75" s="1"/>
    </row>
    <row r="76" spans="1:12">
      <c r="A76" s="327" t="s">
        <v>306</v>
      </c>
      <c r="B76" s="356"/>
      <c r="C76" s="152">
        <f>SUM(C58,C74)</f>
        <v>1048</v>
      </c>
      <c r="D76" s="152">
        <f>SUM(D58,D74)</f>
        <v>1162</v>
      </c>
      <c r="E76" s="142">
        <f>SUM(E58,E74)</f>
        <v>1199</v>
      </c>
      <c r="F76" s="142">
        <f>SUM(F58,F74)</f>
        <v>1231</v>
      </c>
      <c r="G76" s="296">
        <f>SUM(G58,G74)</f>
        <v>1234</v>
      </c>
      <c r="H76" s="1"/>
      <c r="I76" s="1"/>
      <c r="J76" s="1"/>
      <c r="K76" s="1"/>
      <c r="L76" s="1"/>
    </row>
    <row r="77" spans="1:12">
      <c r="A77" s="175"/>
      <c r="B77" s="52"/>
      <c r="C77" s="238"/>
      <c r="D77" s="238"/>
      <c r="E77" s="143"/>
      <c r="F77" s="143"/>
      <c r="G77" s="357"/>
      <c r="H77" s="1"/>
      <c r="I77" s="1"/>
      <c r="J77" s="1"/>
      <c r="K77" s="1"/>
      <c r="L77" s="1"/>
    </row>
    <row r="78" spans="1:12">
      <c r="A78" s="175" t="s">
        <v>334</v>
      </c>
      <c r="B78" s="52"/>
      <c r="C78" s="147">
        <f>-SUM(C79:C81)</f>
        <v>-754</v>
      </c>
      <c r="D78" s="147">
        <f t="shared" ref="D78:G78" si="11">-SUM(D79:D81)</f>
        <v>-648</v>
      </c>
      <c r="E78" s="139">
        <f t="shared" si="11"/>
        <v>-444</v>
      </c>
      <c r="F78" s="139">
        <f t="shared" si="11"/>
        <v>-623</v>
      </c>
      <c r="G78" s="293">
        <f t="shared" si="11"/>
        <v>-511</v>
      </c>
      <c r="H78" s="1"/>
      <c r="I78" s="1"/>
      <c r="J78" s="1"/>
      <c r="K78" s="1"/>
      <c r="L78" s="1"/>
    </row>
    <row r="79" spans="1:12">
      <c r="A79" s="175" t="s">
        <v>202</v>
      </c>
      <c r="B79" s="52"/>
      <c r="C79" s="147">
        <v>54</v>
      </c>
      <c r="D79" s="147">
        <v>55</v>
      </c>
      <c r="E79" s="139">
        <v>72</v>
      </c>
      <c r="F79" s="139">
        <v>91</v>
      </c>
      <c r="G79" s="293">
        <v>123</v>
      </c>
      <c r="H79" s="1"/>
      <c r="I79" s="1"/>
      <c r="J79" s="1"/>
      <c r="K79" s="1"/>
      <c r="L79" s="1"/>
    </row>
    <row r="80" spans="1:12">
      <c r="A80" s="175" t="s">
        <v>204</v>
      </c>
      <c r="B80" s="52"/>
      <c r="C80" s="147">
        <v>341</v>
      </c>
      <c r="D80" s="147">
        <v>348</v>
      </c>
      <c r="E80" s="139">
        <v>338</v>
      </c>
      <c r="F80" s="139">
        <v>372</v>
      </c>
      <c r="G80" s="293">
        <v>379</v>
      </c>
      <c r="H80" s="1"/>
      <c r="I80" s="1"/>
      <c r="J80" s="1"/>
      <c r="K80" s="1"/>
      <c r="L80" s="1"/>
    </row>
    <row r="81" spans="1:12">
      <c r="A81" s="175" t="s">
        <v>206</v>
      </c>
      <c r="B81" s="52"/>
      <c r="C81" s="147">
        <v>359</v>
      </c>
      <c r="D81" s="147">
        <v>245</v>
      </c>
      <c r="E81" s="139">
        <v>34</v>
      </c>
      <c r="F81" s="139">
        <v>160</v>
      </c>
      <c r="G81" s="293">
        <v>9</v>
      </c>
      <c r="H81" s="1"/>
      <c r="I81" s="1"/>
      <c r="J81" s="1"/>
      <c r="K81" s="1"/>
      <c r="L81" s="1"/>
    </row>
    <row r="82" spans="1:12">
      <c r="A82" s="175" t="s">
        <v>456</v>
      </c>
      <c r="B82" s="52"/>
      <c r="C82" s="148">
        <f>-SUM(C83:C84)</f>
        <v>-79</v>
      </c>
      <c r="D82" s="148">
        <f t="shared" ref="D82:G82" si="12">-SUM(D83:D84)</f>
        <v>-71</v>
      </c>
      <c r="E82" s="140">
        <f t="shared" si="12"/>
        <v>-45</v>
      </c>
      <c r="F82" s="140">
        <f t="shared" si="12"/>
        <v>-20</v>
      </c>
      <c r="G82" s="314">
        <f t="shared" si="12"/>
        <v>-36</v>
      </c>
      <c r="H82" s="1"/>
      <c r="I82" s="1"/>
      <c r="J82" s="1"/>
      <c r="K82" s="1"/>
      <c r="L82" s="1"/>
    </row>
    <row r="83" spans="1:12">
      <c r="A83" s="175" t="s">
        <v>210</v>
      </c>
      <c r="B83" s="52"/>
      <c r="C83" s="147">
        <v>57</v>
      </c>
      <c r="D83" s="147">
        <v>50</v>
      </c>
      <c r="E83" s="139">
        <v>10</v>
      </c>
      <c r="F83" s="139">
        <v>-5</v>
      </c>
      <c r="G83" s="293">
        <v>21</v>
      </c>
      <c r="H83" s="1"/>
      <c r="I83" s="1"/>
      <c r="J83" s="1"/>
      <c r="K83" s="1"/>
      <c r="L83" s="1"/>
    </row>
    <row r="84" spans="1:12" ht="14.4" customHeight="1">
      <c r="A84" s="358" t="s">
        <v>212</v>
      </c>
      <c r="B84" s="52"/>
      <c r="C84" s="147">
        <v>22</v>
      </c>
      <c r="D84" s="147">
        <v>21</v>
      </c>
      <c r="E84" s="139">
        <v>35</v>
      </c>
      <c r="F84" s="139">
        <v>25</v>
      </c>
      <c r="G84" s="293">
        <v>15</v>
      </c>
      <c r="H84" s="1"/>
      <c r="I84" s="1"/>
      <c r="J84" s="1"/>
      <c r="K84" s="1"/>
      <c r="L84" s="1"/>
    </row>
    <row r="85" spans="1:12">
      <c r="A85" s="291"/>
      <c r="B85" s="52"/>
      <c r="C85" s="146"/>
      <c r="D85" s="147"/>
      <c r="E85" s="141"/>
      <c r="F85" s="141"/>
      <c r="G85" s="301"/>
      <c r="H85" s="1"/>
      <c r="I85" s="1"/>
      <c r="J85" s="1"/>
      <c r="K85" s="1"/>
      <c r="L85" s="1"/>
    </row>
    <row r="86" spans="1:12">
      <c r="A86" s="327" t="s">
        <v>303</v>
      </c>
      <c r="B86" s="356"/>
      <c r="C86" s="152">
        <f>SUM(C76,C78,C82)</f>
        <v>215</v>
      </c>
      <c r="D86" s="152">
        <f>SUM(D76,D78,D82)</f>
        <v>443</v>
      </c>
      <c r="E86" s="142">
        <f>SUM(E76,E78,E82)</f>
        <v>710</v>
      </c>
      <c r="F86" s="142">
        <f>SUM(F76,F78,F82)</f>
        <v>588</v>
      </c>
      <c r="G86" s="296">
        <f>SUM(G76,G78,G82)</f>
        <v>687</v>
      </c>
      <c r="H86" s="1"/>
      <c r="I86" s="1"/>
      <c r="J86" s="1"/>
      <c r="K86" s="1"/>
      <c r="L86" s="1"/>
    </row>
    <row r="87" spans="1:12">
      <c r="A87" s="291"/>
      <c r="B87" s="52"/>
      <c r="C87" s="146"/>
      <c r="D87" s="147"/>
      <c r="E87" s="141"/>
      <c r="F87" s="141"/>
      <c r="G87" s="301"/>
      <c r="H87" s="1"/>
      <c r="I87" s="1"/>
      <c r="J87" s="1"/>
      <c r="K87" s="1"/>
      <c r="L87" s="1"/>
    </row>
    <row r="88" spans="1:12">
      <c r="A88" s="175" t="s">
        <v>217</v>
      </c>
      <c r="B88" s="52"/>
      <c r="C88" s="147">
        <v>1</v>
      </c>
      <c r="D88" s="147">
        <v>52</v>
      </c>
      <c r="E88" s="139">
        <v>0</v>
      </c>
      <c r="F88" s="139">
        <v>14</v>
      </c>
      <c r="G88" s="293">
        <v>4</v>
      </c>
      <c r="H88" s="1"/>
      <c r="I88" s="1"/>
      <c r="J88" s="1"/>
      <c r="K88" s="1"/>
      <c r="L88" s="1"/>
    </row>
    <row r="89" spans="1:12">
      <c r="A89" s="175" t="s">
        <v>219</v>
      </c>
      <c r="B89" s="52"/>
      <c r="C89" s="147">
        <f>SUM(C93,-C102,C103)</f>
        <v>-138</v>
      </c>
      <c r="D89" s="147">
        <f t="shared" ref="D89:G89" si="13">SUM(D93,-D102,D103)</f>
        <v>-161</v>
      </c>
      <c r="E89" s="139">
        <f t="shared" si="13"/>
        <v>-134</v>
      </c>
      <c r="F89" s="139">
        <f t="shared" si="13"/>
        <v>-112</v>
      </c>
      <c r="G89" s="293">
        <f t="shared" si="13"/>
        <v>-110</v>
      </c>
      <c r="H89" s="1"/>
      <c r="I89" s="1"/>
      <c r="J89" s="1"/>
      <c r="K89" s="1"/>
      <c r="L89" s="1"/>
    </row>
    <row r="90" spans="1:12">
      <c r="A90" s="175" t="s">
        <v>221</v>
      </c>
      <c r="B90" s="52"/>
      <c r="C90" s="147"/>
      <c r="D90" s="147"/>
      <c r="E90" s="139"/>
      <c r="F90" s="139"/>
      <c r="G90" s="293"/>
      <c r="H90" s="1"/>
      <c r="I90" s="1"/>
      <c r="J90" s="1"/>
      <c r="K90" s="1"/>
      <c r="L90" s="1"/>
    </row>
    <row r="91" spans="1:12">
      <c r="A91" s="175" t="s">
        <v>223</v>
      </c>
      <c r="B91" s="52"/>
      <c r="C91" s="147"/>
      <c r="D91" s="147"/>
      <c r="E91" s="139"/>
      <c r="F91" s="139">
        <v>0</v>
      </c>
      <c r="G91" s="293">
        <v>4</v>
      </c>
      <c r="H91" s="1"/>
      <c r="I91" s="1"/>
      <c r="J91" s="1"/>
      <c r="K91" s="1"/>
      <c r="L91" s="1"/>
    </row>
    <row r="92" spans="1:12">
      <c r="A92" s="175" t="s">
        <v>224</v>
      </c>
      <c r="B92" s="52"/>
      <c r="C92" s="147"/>
      <c r="D92" s="147"/>
      <c r="E92" s="139"/>
      <c r="F92" s="139">
        <v>16</v>
      </c>
      <c r="G92" s="293">
        <v>12</v>
      </c>
      <c r="H92" s="1"/>
      <c r="I92" s="1"/>
      <c r="J92" s="1"/>
      <c r="K92" s="1"/>
      <c r="L92" s="1"/>
    </row>
    <row r="93" spans="1:12">
      <c r="A93" s="175" t="s">
        <v>225</v>
      </c>
      <c r="B93" s="52"/>
      <c r="C93" s="147">
        <v>28</v>
      </c>
      <c r="D93" s="147">
        <v>34</v>
      </c>
      <c r="E93" s="139">
        <v>19</v>
      </c>
      <c r="F93" s="139">
        <f t="shared" ref="F93" si="14">SUM(F91:F92)</f>
        <v>16</v>
      </c>
      <c r="G93" s="293">
        <f>SUM(G91:G92)</f>
        <v>16</v>
      </c>
      <c r="H93" s="1"/>
      <c r="I93" s="1"/>
      <c r="J93" s="1"/>
      <c r="K93" s="1"/>
      <c r="L93" s="1"/>
    </row>
    <row r="94" spans="1:12">
      <c r="A94" s="175" t="s">
        <v>226</v>
      </c>
      <c r="B94" s="52"/>
      <c r="C94" s="147"/>
      <c r="D94" s="147"/>
      <c r="E94" s="139"/>
      <c r="F94" s="139"/>
      <c r="G94" s="293"/>
      <c r="H94" s="1"/>
      <c r="I94" s="1"/>
      <c r="J94" s="1"/>
      <c r="K94" s="1"/>
      <c r="L94" s="1"/>
    </row>
    <row r="95" spans="1:12">
      <c r="A95" s="175" t="s">
        <v>228</v>
      </c>
      <c r="B95" s="52"/>
      <c r="C95" s="147">
        <v>125</v>
      </c>
      <c r="D95" s="147">
        <v>125</v>
      </c>
      <c r="E95" s="139">
        <v>104</v>
      </c>
      <c r="F95" s="139">
        <v>102</v>
      </c>
      <c r="G95" s="293">
        <v>94</v>
      </c>
      <c r="H95" s="1"/>
      <c r="I95" s="1"/>
      <c r="J95" s="1"/>
      <c r="K95" s="1"/>
      <c r="L95" s="1"/>
    </row>
    <row r="96" spans="1:12">
      <c r="A96" s="175" t="s">
        <v>230</v>
      </c>
      <c r="B96" s="52"/>
      <c r="C96" s="147">
        <v>15</v>
      </c>
      <c r="D96" s="147">
        <v>9</v>
      </c>
      <c r="E96" s="139">
        <v>9</v>
      </c>
      <c r="F96" s="139">
        <v>6</v>
      </c>
      <c r="G96" s="293">
        <v>4</v>
      </c>
      <c r="H96" s="1"/>
      <c r="I96" s="1"/>
      <c r="J96" s="1"/>
      <c r="K96" s="1"/>
      <c r="L96" s="1"/>
    </row>
    <row r="97" spans="1:12">
      <c r="A97" s="175" t="s">
        <v>232</v>
      </c>
      <c r="B97" s="52"/>
      <c r="C97" s="147">
        <v>5</v>
      </c>
      <c r="D97" s="147">
        <v>6</v>
      </c>
      <c r="E97" s="139">
        <v>8</v>
      </c>
      <c r="F97" s="139">
        <v>8</v>
      </c>
      <c r="G97" s="293">
        <v>7</v>
      </c>
      <c r="H97" s="1"/>
      <c r="I97" s="1"/>
      <c r="J97" s="1"/>
      <c r="K97" s="1"/>
      <c r="L97" s="1"/>
    </row>
    <row r="98" spans="1:12">
      <c r="A98" s="175" t="s">
        <v>234</v>
      </c>
      <c r="B98" s="52"/>
      <c r="C98" s="147">
        <v>0</v>
      </c>
      <c r="D98" s="147">
        <v>1</v>
      </c>
      <c r="E98" s="139">
        <v>2</v>
      </c>
      <c r="F98" s="139">
        <v>2</v>
      </c>
      <c r="G98" s="293">
        <v>1</v>
      </c>
      <c r="H98" s="1"/>
      <c r="I98" s="1"/>
      <c r="J98" s="1"/>
      <c r="K98" s="1"/>
      <c r="L98" s="1"/>
    </row>
    <row r="99" spans="1:12">
      <c r="A99" s="175" t="s">
        <v>236</v>
      </c>
      <c r="B99" s="52"/>
      <c r="C99" s="147">
        <v>17</v>
      </c>
      <c r="D99" s="147">
        <v>51</v>
      </c>
      <c r="E99" s="139">
        <v>35</v>
      </c>
      <c r="F99" s="139">
        <v>14</v>
      </c>
      <c r="G99" s="293">
        <v>24</v>
      </c>
      <c r="H99" s="1"/>
      <c r="I99" s="1"/>
      <c r="J99" s="1"/>
      <c r="K99" s="1"/>
      <c r="L99" s="1"/>
    </row>
    <row r="100" spans="1:12">
      <c r="A100" s="175" t="s">
        <v>238</v>
      </c>
      <c r="B100" s="52"/>
      <c r="C100" s="147">
        <v>162</v>
      </c>
      <c r="D100" s="147">
        <f>SUM(D95:D99)</f>
        <v>192</v>
      </c>
      <c r="E100" s="139">
        <f>SUM(E95:E99)</f>
        <v>158</v>
      </c>
      <c r="F100" s="139">
        <f>SUM(F95:F99)</f>
        <v>132</v>
      </c>
      <c r="G100" s="293">
        <f>SUM(G95:G99)</f>
        <v>130</v>
      </c>
      <c r="H100" s="1"/>
      <c r="I100" s="1"/>
      <c r="J100" s="1"/>
      <c r="K100" s="1"/>
      <c r="L100" s="1"/>
    </row>
    <row r="101" spans="1:12">
      <c r="A101" s="175" t="s">
        <v>240</v>
      </c>
      <c r="B101" s="52"/>
      <c r="C101" s="147">
        <v>0</v>
      </c>
      <c r="D101" s="147">
        <v>0</v>
      </c>
      <c r="E101" s="139">
        <v>0</v>
      </c>
      <c r="F101" s="139">
        <v>0</v>
      </c>
      <c r="G101" s="293">
        <v>0</v>
      </c>
      <c r="H101" s="1"/>
      <c r="I101" s="1"/>
      <c r="J101" s="1"/>
      <c r="K101" s="1"/>
      <c r="L101" s="1"/>
    </row>
    <row r="102" spans="1:12">
      <c r="A102" s="175" t="s">
        <v>242</v>
      </c>
      <c r="B102" s="52"/>
      <c r="C102" s="147">
        <f>SUM(C100:C101)</f>
        <v>162</v>
      </c>
      <c r="D102" s="147">
        <f>SUM(D100:D101)</f>
        <v>192</v>
      </c>
      <c r="E102" s="139">
        <f>SUM(E100:E101)</f>
        <v>158</v>
      </c>
      <c r="F102" s="139">
        <f>SUM(F100:F101)</f>
        <v>132</v>
      </c>
      <c r="G102" s="293">
        <f>SUM(G100:G101)</f>
        <v>130</v>
      </c>
      <c r="H102" s="1"/>
      <c r="I102" s="1"/>
      <c r="J102" s="1"/>
      <c r="K102" s="1"/>
      <c r="L102" s="1"/>
    </row>
    <row r="103" spans="1:12">
      <c r="A103" s="175" t="s">
        <v>244</v>
      </c>
      <c r="B103" s="52"/>
      <c r="C103" s="147">
        <v>-4</v>
      </c>
      <c r="D103" s="147">
        <v>-3</v>
      </c>
      <c r="E103" s="139">
        <v>5</v>
      </c>
      <c r="F103" s="139">
        <v>4</v>
      </c>
      <c r="G103" s="293">
        <v>4</v>
      </c>
      <c r="H103" s="1"/>
      <c r="I103" s="1"/>
      <c r="J103" s="1"/>
      <c r="K103" s="1"/>
      <c r="L103" s="1"/>
    </row>
    <row r="104" spans="1:12">
      <c r="A104" s="175" t="s">
        <v>246</v>
      </c>
      <c r="B104" s="52"/>
      <c r="C104" s="147"/>
      <c r="D104" s="147">
        <v>0</v>
      </c>
      <c r="E104" s="139">
        <v>0</v>
      </c>
      <c r="F104" s="139">
        <v>0</v>
      </c>
      <c r="G104" s="293">
        <v>0</v>
      </c>
      <c r="H104" s="1"/>
      <c r="I104" s="1"/>
      <c r="J104" s="1"/>
      <c r="K104" s="1"/>
      <c r="L104" s="1"/>
    </row>
    <row r="105" spans="1:12">
      <c r="A105" s="354" t="s">
        <v>373</v>
      </c>
      <c r="B105" s="52"/>
      <c r="C105" s="147">
        <f>SUM(C88:C89)</f>
        <v>-137</v>
      </c>
      <c r="D105" s="147">
        <f t="shared" ref="D105:G105" si="15">SUM(D88:D89)</f>
        <v>-109</v>
      </c>
      <c r="E105" s="139">
        <f t="shared" si="15"/>
        <v>-134</v>
      </c>
      <c r="F105" s="139">
        <f t="shared" si="15"/>
        <v>-98</v>
      </c>
      <c r="G105" s="293">
        <f t="shared" si="15"/>
        <v>-106</v>
      </c>
      <c r="H105" s="1"/>
      <c r="I105" s="1"/>
      <c r="J105" s="1"/>
      <c r="K105" s="1"/>
      <c r="L105" s="1"/>
    </row>
    <row r="106" spans="1:12">
      <c r="A106" s="97"/>
      <c r="B106" s="52"/>
      <c r="C106" s="343"/>
      <c r="D106" s="343"/>
      <c r="E106" s="344"/>
      <c r="F106" s="344"/>
      <c r="G106" s="359"/>
      <c r="H106" s="1"/>
      <c r="I106" s="1"/>
      <c r="J106" s="1"/>
      <c r="K106" s="1"/>
      <c r="L106" s="1"/>
    </row>
    <row r="107" spans="1:12">
      <c r="A107" s="327" t="s">
        <v>304</v>
      </c>
      <c r="B107" s="356"/>
      <c r="C107" s="152">
        <f>SUM(C86,C88,C89)</f>
        <v>78</v>
      </c>
      <c r="D107" s="152">
        <f>SUM(D86,D88,D89)</f>
        <v>334</v>
      </c>
      <c r="E107" s="142">
        <f>SUM(E86,E88,E89)</f>
        <v>576</v>
      </c>
      <c r="F107" s="142">
        <f>SUM(F86,F88,F89)</f>
        <v>490</v>
      </c>
      <c r="G107" s="296">
        <f>SUM(G86,G88,G89)</f>
        <v>581</v>
      </c>
      <c r="H107" s="1"/>
      <c r="I107" s="1"/>
      <c r="J107" s="1"/>
      <c r="K107" s="1"/>
      <c r="L107" s="1"/>
    </row>
    <row r="108" spans="1:12">
      <c r="A108" s="97"/>
      <c r="B108" s="52"/>
      <c r="C108" s="343"/>
      <c r="D108" s="343"/>
      <c r="E108" s="344"/>
      <c r="F108" s="344"/>
      <c r="G108" s="359"/>
      <c r="H108" s="1"/>
      <c r="I108" s="1"/>
      <c r="J108" s="1"/>
      <c r="K108" s="1"/>
      <c r="L108" s="1"/>
    </row>
    <row r="109" spans="1:12">
      <c r="A109" s="175" t="s">
        <v>254</v>
      </c>
      <c r="B109" s="52"/>
      <c r="C109" s="147">
        <v>105</v>
      </c>
      <c r="D109" s="147">
        <v>138</v>
      </c>
      <c r="E109" s="139">
        <v>107</v>
      </c>
      <c r="F109" s="139">
        <v>146</v>
      </c>
      <c r="G109" s="293">
        <v>147</v>
      </c>
      <c r="H109" s="1"/>
      <c r="I109" s="1"/>
      <c r="J109" s="1"/>
      <c r="K109" s="1"/>
      <c r="L109" s="1"/>
    </row>
    <row r="110" spans="1:12">
      <c r="A110" s="175" t="s">
        <v>256</v>
      </c>
      <c r="B110" s="52"/>
      <c r="C110" s="147">
        <v>23</v>
      </c>
      <c r="D110" s="147">
        <v>25</v>
      </c>
      <c r="E110" s="139">
        <v>26</v>
      </c>
      <c r="F110" s="139">
        <v>30</v>
      </c>
      <c r="G110" s="293">
        <v>30</v>
      </c>
      <c r="H110" s="1"/>
      <c r="I110" s="1"/>
      <c r="J110" s="1"/>
      <c r="K110" s="1"/>
      <c r="L110" s="1"/>
    </row>
    <row r="111" spans="1:12">
      <c r="A111" s="175" t="s">
        <v>258</v>
      </c>
      <c r="B111" s="52"/>
      <c r="C111" s="147">
        <v>-17</v>
      </c>
      <c r="D111" s="147">
        <v>4</v>
      </c>
      <c r="E111" s="139">
        <v>-1</v>
      </c>
      <c r="F111" s="139">
        <v>2</v>
      </c>
      <c r="G111" s="293">
        <v>5</v>
      </c>
      <c r="H111" s="1"/>
      <c r="I111" s="1"/>
      <c r="J111" s="1"/>
      <c r="K111" s="1"/>
      <c r="L111" s="1"/>
    </row>
    <row r="112" spans="1:12">
      <c r="A112" s="354" t="s">
        <v>260</v>
      </c>
      <c r="B112" s="52"/>
      <c r="C112" s="148">
        <f>SUM(C109:C111)</f>
        <v>111</v>
      </c>
      <c r="D112" s="148">
        <f>SUM(D109:D111)</f>
        <v>167</v>
      </c>
      <c r="E112" s="140">
        <f>SUM(E109:E111)</f>
        <v>132</v>
      </c>
      <c r="F112" s="140">
        <f>SUM(F109:F111)</f>
        <v>178</v>
      </c>
      <c r="G112" s="314">
        <f>SUM(G109:G111)</f>
        <v>182</v>
      </c>
      <c r="H112" s="1"/>
      <c r="I112" s="1"/>
      <c r="J112" s="1"/>
      <c r="K112" s="1"/>
      <c r="L112" s="1"/>
    </row>
    <row r="113" spans="1:12">
      <c r="A113" s="175" t="s">
        <v>339</v>
      </c>
      <c r="B113" s="52"/>
      <c r="C113" s="147">
        <v>142</v>
      </c>
      <c r="D113" s="147">
        <v>44</v>
      </c>
      <c r="E113" s="139">
        <v>88</v>
      </c>
      <c r="F113" s="139">
        <v>33</v>
      </c>
      <c r="G113" s="293">
        <v>71</v>
      </c>
      <c r="H113" s="1"/>
      <c r="I113" s="1"/>
      <c r="J113" s="1"/>
      <c r="K113" s="1"/>
      <c r="L113" s="1"/>
    </row>
    <row r="114" spans="1:12">
      <c r="A114" s="175" t="s">
        <v>340</v>
      </c>
      <c r="B114" s="52"/>
      <c r="C114" s="147">
        <v>-120</v>
      </c>
      <c r="D114" s="147">
        <v>-89</v>
      </c>
      <c r="E114" s="139">
        <v>-28</v>
      </c>
      <c r="F114" s="139">
        <v>-54</v>
      </c>
      <c r="G114" s="293">
        <v>-64</v>
      </c>
      <c r="H114" s="1"/>
      <c r="I114" s="1"/>
      <c r="J114" s="1"/>
      <c r="K114" s="1"/>
      <c r="L114" s="1"/>
    </row>
    <row r="115" spans="1:12">
      <c r="A115" s="175" t="s">
        <v>305</v>
      </c>
      <c r="B115" s="52"/>
      <c r="C115" s="147">
        <f>-SUM(C112:C114)</f>
        <v>-133</v>
      </c>
      <c r="D115" s="147">
        <f t="shared" ref="D115:G115" si="16">-SUM(D112:D114)</f>
        <v>-122</v>
      </c>
      <c r="E115" s="139">
        <f t="shared" si="16"/>
        <v>-192</v>
      </c>
      <c r="F115" s="139">
        <f t="shared" si="16"/>
        <v>-157</v>
      </c>
      <c r="G115" s="293">
        <f t="shared" si="16"/>
        <v>-189</v>
      </c>
      <c r="H115" s="1"/>
      <c r="I115" s="1"/>
      <c r="J115" s="1"/>
      <c r="K115" s="1"/>
      <c r="L115" s="1"/>
    </row>
    <row r="116" spans="1:12">
      <c r="A116" s="175" t="s">
        <v>335</v>
      </c>
      <c r="B116" s="52"/>
      <c r="C116" s="147">
        <f>SUM(C117:C118)</f>
        <v>130</v>
      </c>
      <c r="D116" s="147">
        <f t="shared" ref="D116:G116" si="17">SUM(D117:D118)</f>
        <v>20</v>
      </c>
      <c r="E116" s="139">
        <f t="shared" si="17"/>
        <v>-91</v>
      </c>
      <c r="F116" s="139">
        <f t="shared" si="17"/>
        <v>11</v>
      </c>
      <c r="G116" s="293">
        <f t="shared" si="17"/>
        <v>-3</v>
      </c>
      <c r="H116" s="1"/>
      <c r="I116" s="1"/>
      <c r="J116" s="1"/>
      <c r="K116" s="1"/>
      <c r="L116" s="1"/>
    </row>
    <row r="117" spans="1:12">
      <c r="A117" s="175" t="s">
        <v>269</v>
      </c>
      <c r="B117" s="52"/>
      <c r="C117" s="147">
        <v>0</v>
      </c>
      <c r="D117" s="147">
        <v>19</v>
      </c>
      <c r="E117" s="139">
        <v>-85</v>
      </c>
      <c r="F117" s="139">
        <v>21</v>
      </c>
      <c r="G117" s="293">
        <v>1</v>
      </c>
      <c r="H117" s="1"/>
      <c r="I117" s="1"/>
      <c r="J117" s="1"/>
      <c r="K117" s="1"/>
      <c r="L117" s="1"/>
    </row>
    <row r="118" spans="1:12">
      <c r="A118" s="175" t="s">
        <v>273</v>
      </c>
      <c r="B118" s="52"/>
      <c r="C118" s="147">
        <v>130</v>
      </c>
      <c r="D118" s="147">
        <v>1</v>
      </c>
      <c r="E118" s="139">
        <v>-6</v>
      </c>
      <c r="F118" s="139">
        <v>-10</v>
      </c>
      <c r="G118" s="293">
        <v>-4</v>
      </c>
      <c r="H118" s="1"/>
      <c r="I118" s="1"/>
      <c r="J118" s="1"/>
      <c r="K118" s="1"/>
      <c r="L118" s="1"/>
    </row>
    <row r="119" spans="1:12">
      <c r="A119" s="175"/>
      <c r="B119" s="52"/>
      <c r="C119" s="147"/>
      <c r="D119" s="147"/>
      <c r="E119" s="139"/>
      <c r="F119" s="139"/>
      <c r="G119" s="293"/>
      <c r="H119" s="1"/>
      <c r="I119" s="1"/>
      <c r="J119" s="1"/>
      <c r="K119" s="1"/>
      <c r="L119" s="1"/>
    </row>
    <row r="120" spans="1:12" ht="15" thickBot="1">
      <c r="A120" s="332" t="s">
        <v>336</v>
      </c>
      <c r="B120" s="360"/>
      <c r="C120" s="317">
        <f>SUM(C107,C115:C116)</f>
        <v>75</v>
      </c>
      <c r="D120" s="317">
        <f>SUM(D107,D115:D116)</f>
        <v>232</v>
      </c>
      <c r="E120" s="361">
        <f>SUM(E107,E115:E116)</f>
        <v>293</v>
      </c>
      <c r="F120" s="361">
        <f>SUM(F107,F115:F116)</f>
        <v>344</v>
      </c>
      <c r="G120" s="318">
        <f>SUM(G107,G115:G116)</f>
        <v>389</v>
      </c>
      <c r="H120" s="1"/>
      <c r="I120" s="1"/>
      <c r="J120" s="1"/>
      <c r="K120" s="1"/>
      <c r="L120" s="1"/>
    </row>
    <row r="121" spans="1:12">
      <c r="A121" s="1"/>
      <c r="B121" s="1"/>
      <c r="C121" s="1"/>
      <c r="D121" s="1"/>
      <c r="E121" s="1"/>
      <c r="F121" s="1"/>
      <c r="G121" s="1"/>
      <c r="H121" s="1"/>
      <c r="I121" s="1"/>
      <c r="J121" s="1"/>
      <c r="K121" s="1"/>
      <c r="L121" s="1"/>
    </row>
    <row r="122" spans="1:12" ht="15" thickBot="1">
      <c r="A122" s="1"/>
      <c r="B122" s="1"/>
      <c r="C122" s="1"/>
      <c r="D122" s="1"/>
      <c r="E122" s="1"/>
      <c r="F122" s="1"/>
      <c r="G122" s="1"/>
      <c r="H122" s="1"/>
      <c r="I122" s="1"/>
      <c r="J122" s="1"/>
      <c r="K122" s="1"/>
      <c r="L122" s="1"/>
    </row>
    <row r="123" spans="1:12" ht="24.6">
      <c r="A123" s="334" t="s">
        <v>346</v>
      </c>
      <c r="B123" s="251"/>
      <c r="C123" s="252"/>
      <c r="D123" s="252"/>
      <c r="E123" s="252"/>
      <c r="F123" s="253"/>
      <c r="G123" s="1"/>
      <c r="H123" s="1"/>
      <c r="I123" s="1"/>
      <c r="J123" s="1"/>
      <c r="K123" s="1"/>
      <c r="L123" s="1"/>
    </row>
    <row r="124" spans="1:12">
      <c r="A124" s="254"/>
      <c r="B124" s="60"/>
      <c r="C124" s="920" t="s">
        <v>163</v>
      </c>
      <c r="D124" s="920"/>
      <c r="E124" s="920"/>
      <c r="F124" s="921"/>
      <c r="G124" s="1"/>
      <c r="H124" s="1"/>
      <c r="I124" s="1"/>
      <c r="J124" s="1"/>
      <c r="K124" s="1"/>
      <c r="L124" s="1"/>
    </row>
    <row r="125" spans="1:12">
      <c r="A125" s="255"/>
      <c r="B125" s="121" t="s">
        <v>1</v>
      </c>
      <c r="C125" s="108">
        <v>42735</v>
      </c>
      <c r="D125" s="108">
        <v>43100</v>
      </c>
      <c r="E125" s="108">
        <v>43465</v>
      </c>
      <c r="F125" s="256">
        <v>43830</v>
      </c>
      <c r="G125" s="1"/>
      <c r="H125" s="1"/>
      <c r="I125" s="1"/>
      <c r="J125" s="1"/>
      <c r="K125" s="1"/>
      <c r="L125" s="1"/>
    </row>
    <row r="126" spans="1:12">
      <c r="A126" s="175"/>
      <c r="B126" s="2"/>
      <c r="C126" s="28"/>
      <c r="D126" s="26"/>
      <c r="E126" s="26"/>
      <c r="F126" s="258"/>
      <c r="G126" s="1"/>
      <c r="H126" s="1"/>
      <c r="I126" s="1"/>
      <c r="J126" s="1"/>
      <c r="K126" s="1"/>
      <c r="L126" s="1"/>
    </row>
    <row r="127" spans="1:12">
      <c r="A127" s="291" t="s">
        <v>303</v>
      </c>
      <c r="B127" s="2"/>
      <c r="C127" s="178">
        <v>443</v>
      </c>
      <c r="D127" s="179">
        <v>710</v>
      </c>
      <c r="E127" s="179">
        <v>588</v>
      </c>
      <c r="F127" s="259">
        <v>687</v>
      </c>
      <c r="G127" s="1"/>
      <c r="H127" s="1"/>
      <c r="I127" s="1"/>
      <c r="J127" s="1"/>
      <c r="K127" s="1"/>
      <c r="L127" s="1"/>
    </row>
    <row r="128" spans="1:12">
      <c r="A128" s="175" t="s">
        <v>347</v>
      </c>
      <c r="B128" s="2"/>
      <c r="C128" s="180">
        <v>-122</v>
      </c>
      <c r="D128" s="181">
        <v>-192</v>
      </c>
      <c r="E128" s="181">
        <v>-157</v>
      </c>
      <c r="F128" s="260">
        <v>-189</v>
      </c>
      <c r="G128" s="1"/>
      <c r="H128" s="1"/>
      <c r="I128" s="1"/>
      <c r="J128" s="1"/>
      <c r="K128" s="1"/>
      <c r="L128" s="1"/>
    </row>
    <row r="129" spans="1:12">
      <c r="A129" s="175" t="s">
        <v>376</v>
      </c>
      <c r="B129" s="2"/>
      <c r="C129" s="176">
        <v>-39.814371257485028</v>
      </c>
      <c r="D129" s="177">
        <v>-44.666666666666664</v>
      </c>
      <c r="E129" s="177">
        <v>-31.400000000000002</v>
      </c>
      <c r="F129" s="362">
        <v>-34.481927710843372</v>
      </c>
      <c r="G129" s="1"/>
      <c r="H129" s="1"/>
      <c r="I129" s="1"/>
      <c r="J129" s="1"/>
      <c r="K129" s="1"/>
      <c r="L129" s="1"/>
    </row>
    <row r="130" spans="1:12">
      <c r="A130" s="327" t="s">
        <v>348</v>
      </c>
      <c r="B130" s="22"/>
      <c r="C130" s="182">
        <f>C127+C128+C129</f>
        <v>281.18562874251495</v>
      </c>
      <c r="D130" s="182">
        <f t="shared" ref="D130:F130" si="18">D127+D128+D129</f>
        <v>473.33333333333331</v>
      </c>
      <c r="E130" s="182">
        <f t="shared" si="18"/>
        <v>399.6</v>
      </c>
      <c r="F130" s="365">
        <f t="shared" si="18"/>
        <v>463.51807228915663</v>
      </c>
      <c r="G130" s="1"/>
      <c r="H130" s="1"/>
      <c r="I130" s="1"/>
      <c r="J130" s="1"/>
      <c r="K130" s="1"/>
      <c r="L130" s="1"/>
    </row>
    <row r="131" spans="1:12">
      <c r="A131" s="175"/>
      <c r="B131" s="2"/>
      <c r="C131" s="180"/>
      <c r="D131" s="181"/>
      <c r="E131" s="181"/>
      <c r="F131" s="260"/>
      <c r="G131" s="1"/>
      <c r="H131" s="1"/>
      <c r="I131" s="1"/>
      <c r="J131" s="1"/>
      <c r="K131" s="1"/>
      <c r="L131" s="1"/>
    </row>
    <row r="132" spans="1:12">
      <c r="A132" s="175" t="s">
        <v>370</v>
      </c>
      <c r="B132" s="2"/>
      <c r="C132" s="180">
        <v>25</v>
      </c>
      <c r="D132" s="181">
        <v>12</v>
      </c>
      <c r="E132" s="181">
        <v>-40</v>
      </c>
      <c r="F132" s="260">
        <v>3</v>
      </c>
      <c r="G132" s="1"/>
      <c r="H132" s="1"/>
      <c r="I132" s="1"/>
      <c r="J132" s="1"/>
      <c r="K132" s="1"/>
      <c r="L132" s="1"/>
    </row>
    <row r="133" spans="1:12">
      <c r="A133" s="175" t="s">
        <v>349</v>
      </c>
      <c r="B133" s="2"/>
      <c r="C133" s="180">
        <v>-336</v>
      </c>
      <c r="D133" s="181">
        <v>150</v>
      </c>
      <c r="E133" s="181">
        <v>-110</v>
      </c>
      <c r="F133" s="260">
        <v>-71</v>
      </c>
      <c r="G133" s="1"/>
      <c r="H133" s="1"/>
      <c r="I133" s="1"/>
      <c r="J133" s="1"/>
      <c r="K133" s="1"/>
      <c r="L133" s="1"/>
    </row>
    <row r="134" spans="1:12">
      <c r="A134" s="175" t="s">
        <v>369</v>
      </c>
      <c r="B134" s="2"/>
      <c r="C134" s="180">
        <v>214</v>
      </c>
      <c r="D134" s="181">
        <v>-3</v>
      </c>
      <c r="E134" s="181">
        <v>32</v>
      </c>
      <c r="F134" s="260">
        <v>68</v>
      </c>
      <c r="G134" s="1"/>
      <c r="H134" s="1"/>
      <c r="I134" s="1"/>
      <c r="J134" s="1"/>
      <c r="K134" s="1"/>
      <c r="L134" s="1"/>
    </row>
    <row r="135" spans="1:12">
      <c r="A135" s="327" t="s">
        <v>371</v>
      </c>
      <c r="B135" s="22"/>
      <c r="C135" s="182">
        <f>C132+C133+C134</f>
        <v>-97</v>
      </c>
      <c r="D135" s="182">
        <f t="shared" ref="D135:F135" si="19">D132+D133+D134</f>
        <v>159</v>
      </c>
      <c r="E135" s="182">
        <f t="shared" si="19"/>
        <v>-118</v>
      </c>
      <c r="F135" s="365">
        <f t="shared" si="19"/>
        <v>0</v>
      </c>
      <c r="G135" s="1"/>
      <c r="H135" s="1"/>
      <c r="I135" s="1"/>
      <c r="J135" s="1"/>
      <c r="K135" s="1"/>
      <c r="L135" s="1"/>
    </row>
    <row r="136" spans="1:12">
      <c r="A136" s="175"/>
      <c r="B136" s="2"/>
      <c r="C136" s="180"/>
      <c r="D136" s="181"/>
      <c r="E136" s="181"/>
      <c r="F136" s="260"/>
      <c r="G136" s="1"/>
      <c r="H136" s="1"/>
      <c r="I136" s="1"/>
      <c r="J136" s="1"/>
      <c r="K136" s="1"/>
      <c r="L136" s="1"/>
    </row>
    <row r="137" spans="1:12">
      <c r="A137" s="175" t="s">
        <v>350</v>
      </c>
      <c r="B137" s="2"/>
      <c r="C137" s="180">
        <v>-8</v>
      </c>
      <c r="D137" s="181">
        <v>-82</v>
      </c>
      <c r="E137" s="181">
        <v>69</v>
      </c>
      <c r="F137" s="260">
        <v>-167</v>
      </c>
      <c r="G137" s="1"/>
      <c r="H137" s="1"/>
      <c r="I137" s="1"/>
      <c r="J137" s="1"/>
      <c r="K137" s="1"/>
      <c r="L137" s="1"/>
    </row>
    <row r="138" spans="1:12">
      <c r="A138" s="175" t="s">
        <v>351</v>
      </c>
      <c r="B138" s="2"/>
      <c r="C138" s="180">
        <v>218</v>
      </c>
      <c r="D138" s="181">
        <v>-224</v>
      </c>
      <c r="E138" s="181">
        <v>99</v>
      </c>
      <c r="F138" s="260">
        <v>241</v>
      </c>
      <c r="G138" s="1"/>
      <c r="H138" s="1"/>
      <c r="I138" s="1"/>
      <c r="J138" s="1"/>
      <c r="K138" s="1"/>
      <c r="L138" s="1"/>
    </row>
    <row r="139" spans="1:12">
      <c r="A139" s="327" t="s">
        <v>372</v>
      </c>
      <c r="B139" s="22"/>
      <c r="C139" s="182">
        <f>C135+C137+C138</f>
        <v>113</v>
      </c>
      <c r="D139" s="182">
        <f t="shared" ref="D139:F139" si="20">D135+D137+D138</f>
        <v>-147</v>
      </c>
      <c r="E139" s="182">
        <f t="shared" si="20"/>
        <v>50</v>
      </c>
      <c r="F139" s="365">
        <f t="shared" si="20"/>
        <v>74</v>
      </c>
      <c r="G139" s="1"/>
      <c r="H139" s="1"/>
      <c r="I139" s="1"/>
      <c r="J139" s="1"/>
      <c r="K139" s="1"/>
      <c r="L139" s="1"/>
    </row>
    <row r="140" spans="1:12">
      <c r="A140" s="175"/>
      <c r="B140" s="2"/>
      <c r="C140" s="180"/>
      <c r="D140" s="181"/>
      <c r="E140" s="181"/>
      <c r="F140" s="260"/>
      <c r="G140" s="1"/>
      <c r="H140" s="1"/>
      <c r="I140" s="1"/>
      <c r="J140" s="1"/>
      <c r="K140" s="1"/>
      <c r="L140" s="1"/>
    </row>
    <row r="141" spans="1:12">
      <c r="A141" s="175" t="s">
        <v>352</v>
      </c>
      <c r="B141" s="2"/>
      <c r="C141" s="180">
        <v>-1066</v>
      </c>
      <c r="D141" s="181">
        <v>-80</v>
      </c>
      <c r="E141" s="181">
        <v>-1076</v>
      </c>
      <c r="F141" s="260">
        <v>-837</v>
      </c>
      <c r="G141" s="1"/>
      <c r="H141" s="1"/>
      <c r="I141" s="1"/>
      <c r="J141" s="1"/>
      <c r="K141" s="1"/>
      <c r="L141" s="1"/>
    </row>
    <row r="142" spans="1:12">
      <c r="A142" s="175" t="s">
        <v>353</v>
      </c>
      <c r="B142" s="2"/>
      <c r="C142" s="180">
        <v>648</v>
      </c>
      <c r="D142" s="181">
        <v>444</v>
      </c>
      <c r="E142" s="181">
        <v>623</v>
      </c>
      <c r="F142" s="260">
        <v>511</v>
      </c>
      <c r="G142" s="1"/>
      <c r="H142" s="1"/>
      <c r="I142" s="1"/>
      <c r="J142" s="1"/>
      <c r="K142" s="1"/>
      <c r="L142" s="1"/>
    </row>
    <row r="143" spans="1:12">
      <c r="A143" s="175" t="s">
        <v>354</v>
      </c>
      <c r="B143" s="2"/>
      <c r="C143" s="180">
        <v>95</v>
      </c>
      <c r="D143" s="180">
        <v>-46</v>
      </c>
      <c r="E143" s="180">
        <v>17</v>
      </c>
      <c r="F143" s="263">
        <v>34</v>
      </c>
      <c r="G143" s="1"/>
      <c r="H143" s="1"/>
      <c r="I143" s="1"/>
      <c r="J143" s="1"/>
      <c r="K143" s="1"/>
      <c r="L143" s="1"/>
    </row>
    <row r="144" spans="1:12">
      <c r="A144" s="175" t="s">
        <v>355</v>
      </c>
      <c r="B144" s="2"/>
      <c r="C144" s="180">
        <v>33</v>
      </c>
      <c r="D144" s="180">
        <v>-46</v>
      </c>
      <c r="E144" s="180">
        <v>-5</v>
      </c>
      <c r="F144" s="263">
        <v>-7</v>
      </c>
      <c r="G144" s="1"/>
      <c r="H144" s="1"/>
      <c r="I144" s="1"/>
      <c r="J144" s="1"/>
      <c r="K144" s="1"/>
      <c r="L144" s="1"/>
    </row>
    <row r="145" spans="1:12">
      <c r="A145" s="175" t="s">
        <v>368</v>
      </c>
      <c r="B145" s="2"/>
      <c r="C145" s="180">
        <v>-33</v>
      </c>
      <c r="D145" s="180">
        <v>40</v>
      </c>
      <c r="E145" s="180">
        <v>37</v>
      </c>
      <c r="F145" s="263">
        <v>-13</v>
      </c>
      <c r="G145" s="1"/>
      <c r="H145" s="1"/>
      <c r="I145" s="1"/>
      <c r="J145" s="1"/>
      <c r="K145" s="1"/>
      <c r="L145" s="1"/>
    </row>
    <row r="146" spans="1:12">
      <c r="A146" s="175" t="s">
        <v>356</v>
      </c>
      <c r="B146" s="2"/>
      <c r="C146" s="180">
        <v>20</v>
      </c>
      <c r="D146" s="181">
        <v>-91</v>
      </c>
      <c r="E146" s="181">
        <v>11</v>
      </c>
      <c r="F146" s="260">
        <v>-3</v>
      </c>
      <c r="G146" s="1"/>
      <c r="H146" s="1"/>
      <c r="I146" s="1"/>
      <c r="J146" s="1"/>
      <c r="K146" s="1"/>
      <c r="L146" s="1"/>
    </row>
    <row r="147" spans="1:12">
      <c r="A147" s="335" t="s">
        <v>357</v>
      </c>
      <c r="B147" s="17"/>
      <c r="C147" s="184">
        <f>C130+C139+SUM(C141:C146)</f>
        <v>91.18562874251495</v>
      </c>
      <c r="D147" s="184">
        <f t="shared" ref="D147:F147" si="21">D130+D139+SUM(D141:D146)</f>
        <v>547.33333333333326</v>
      </c>
      <c r="E147" s="184">
        <f t="shared" si="21"/>
        <v>56.600000000000023</v>
      </c>
      <c r="F147" s="264">
        <f t="shared" si="21"/>
        <v>222.51807228915663</v>
      </c>
      <c r="G147" s="1"/>
      <c r="H147" s="1"/>
      <c r="I147" s="1"/>
      <c r="J147" s="1"/>
      <c r="K147" s="1"/>
      <c r="L147" s="1"/>
    </row>
    <row r="148" spans="1:12">
      <c r="A148" s="175" t="s">
        <v>358</v>
      </c>
      <c r="B148" s="2"/>
      <c r="C148" s="188">
        <f>C147/C127</f>
        <v>0.20583663373028205</v>
      </c>
      <c r="D148" s="188">
        <f t="shared" ref="D148:F148" si="22">D147/D127</f>
        <v>0.77089201877934266</v>
      </c>
      <c r="E148" s="188">
        <f t="shared" si="22"/>
        <v>9.6258503401360579E-2</v>
      </c>
      <c r="F148" s="265">
        <f t="shared" si="22"/>
        <v>0.3238982129390926</v>
      </c>
      <c r="G148" s="1"/>
      <c r="H148" s="1"/>
      <c r="I148" s="1"/>
      <c r="J148" s="1"/>
      <c r="K148" s="1"/>
      <c r="L148" s="1"/>
    </row>
    <row r="149" spans="1:12">
      <c r="A149" s="175"/>
      <c r="B149" s="2"/>
      <c r="C149" s="180"/>
      <c r="D149" s="181"/>
      <c r="E149" s="181"/>
      <c r="F149" s="260"/>
      <c r="G149" s="1"/>
      <c r="H149" s="1"/>
      <c r="I149" s="1"/>
      <c r="J149" s="1"/>
      <c r="K149" s="1"/>
      <c r="L149" s="1"/>
    </row>
    <row r="150" spans="1:12">
      <c r="A150" s="175" t="s">
        <v>359</v>
      </c>
      <c r="B150" s="2"/>
      <c r="C150" s="180">
        <f>C7+C8-D7-D8 +D105</f>
        <v>-109</v>
      </c>
      <c r="D150" s="180">
        <f t="shared" ref="D150:F150" si="23">D7+D8-E7-E8 +E105</f>
        <v>-125</v>
      </c>
      <c r="E150" s="180">
        <f t="shared" si="23"/>
        <v>-50</v>
      </c>
      <c r="F150" s="263">
        <f t="shared" si="23"/>
        <v>-128</v>
      </c>
      <c r="G150" s="1"/>
      <c r="H150" s="1"/>
      <c r="I150" s="1"/>
      <c r="J150" s="1"/>
      <c r="K150" s="1"/>
      <c r="L150" s="1"/>
    </row>
    <row r="151" spans="1:12">
      <c r="A151" s="175" t="s">
        <v>360</v>
      </c>
      <c r="B151" s="2"/>
      <c r="C151" s="180">
        <f>C44-D44</f>
        <v>3</v>
      </c>
      <c r="D151" s="180">
        <f t="shared" ref="D151:F151" si="24">D44-E44</f>
        <v>171</v>
      </c>
      <c r="E151" s="180">
        <f t="shared" si="24"/>
        <v>-263</v>
      </c>
      <c r="F151" s="263">
        <f t="shared" si="24"/>
        <v>-64</v>
      </c>
      <c r="G151" s="1"/>
      <c r="H151" s="1"/>
      <c r="I151" s="1"/>
      <c r="J151" s="1"/>
      <c r="K151" s="1"/>
      <c r="L151" s="1"/>
    </row>
    <row r="152" spans="1:12">
      <c r="A152" s="175" t="s">
        <v>377</v>
      </c>
      <c r="B152" s="2"/>
      <c r="C152" s="245">
        <f>-C129</f>
        <v>39.814371257485028</v>
      </c>
      <c r="D152" s="245">
        <f t="shared" ref="D152:F152" si="25">-D129</f>
        <v>44.666666666666664</v>
      </c>
      <c r="E152" s="245">
        <f t="shared" si="25"/>
        <v>31.400000000000002</v>
      </c>
      <c r="F152" s="366">
        <f t="shared" si="25"/>
        <v>34.481927710843372</v>
      </c>
      <c r="G152" s="1"/>
      <c r="H152" s="1"/>
      <c r="I152" s="1"/>
      <c r="J152" s="1"/>
      <c r="K152" s="1"/>
      <c r="L152" s="1"/>
    </row>
    <row r="153" spans="1:12">
      <c r="A153" s="335" t="s">
        <v>361</v>
      </c>
      <c r="B153" s="17"/>
      <c r="C153" s="363">
        <f>C147+C150+C151+C152</f>
        <v>24.999999999999979</v>
      </c>
      <c r="D153" s="363">
        <f t="shared" ref="D153:F153" si="26">D147+D150+D151+D152</f>
        <v>637.99999999999989</v>
      </c>
      <c r="E153" s="363">
        <f t="shared" si="26"/>
        <v>-224.99999999999997</v>
      </c>
      <c r="F153" s="367">
        <f t="shared" si="26"/>
        <v>65</v>
      </c>
      <c r="G153" s="1"/>
      <c r="H153" s="1"/>
      <c r="I153" s="1"/>
      <c r="J153" s="1"/>
      <c r="K153" s="1"/>
      <c r="L153" s="1"/>
    </row>
    <row r="154" spans="1:12">
      <c r="A154" s="175" t="s">
        <v>362</v>
      </c>
      <c r="B154" s="2"/>
      <c r="C154" s="364">
        <f>C153/C127</f>
        <v>5.6433408577878055E-2</v>
      </c>
      <c r="D154" s="364">
        <f t="shared" ref="D154:F154" si="27">D153/D127</f>
        <v>0.89859154929577445</v>
      </c>
      <c r="E154" s="364">
        <f t="shared" si="27"/>
        <v>-0.38265306122448972</v>
      </c>
      <c r="F154" s="368">
        <f t="shared" si="27"/>
        <v>9.4614264919941779E-2</v>
      </c>
      <c r="G154" s="1"/>
      <c r="H154" s="1"/>
      <c r="I154" s="1"/>
      <c r="J154" s="1"/>
      <c r="K154" s="1"/>
      <c r="L154" s="1"/>
    </row>
    <row r="155" spans="1:12">
      <c r="A155" s="175"/>
      <c r="B155" s="2"/>
      <c r="C155" s="186"/>
      <c r="D155" s="187"/>
      <c r="E155" s="187"/>
      <c r="F155" s="267"/>
      <c r="G155" s="1"/>
      <c r="H155" s="1"/>
      <c r="I155" s="1"/>
      <c r="J155" s="1"/>
      <c r="K155" s="1"/>
      <c r="L155" s="1"/>
    </row>
    <row r="156" spans="1:12">
      <c r="A156" s="175" t="s">
        <v>363</v>
      </c>
      <c r="B156" s="2"/>
      <c r="C156" s="187">
        <f>C38-D38-D120</f>
        <v>-212</v>
      </c>
      <c r="D156" s="187">
        <f t="shared" ref="D156:F156" si="28">D38-E38-E120</f>
        <v>-559</v>
      </c>
      <c r="E156" s="187">
        <f t="shared" si="28"/>
        <v>166</v>
      </c>
      <c r="F156" s="267">
        <f t="shared" si="28"/>
        <v>-261</v>
      </c>
      <c r="G156" s="1"/>
      <c r="H156" s="1"/>
      <c r="I156" s="1"/>
      <c r="J156" s="1"/>
      <c r="K156" s="1"/>
      <c r="L156" s="1"/>
    </row>
    <row r="157" spans="1:12">
      <c r="A157" s="291" t="s">
        <v>364</v>
      </c>
      <c r="B157" s="2"/>
      <c r="C157" s="186">
        <f>C153+C156</f>
        <v>-187.00000000000003</v>
      </c>
      <c r="D157" s="186">
        <f t="shared" ref="D157:F157" si="29">D153+D156</f>
        <v>78.999999999999886</v>
      </c>
      <c r="E157" s="186">
        <f t="shared" si="29"/>
        <v>-58.999999999999972</v>
      </c>
      <c r="F157" s="268">
        <f t="shared" si="29"/>
        <v>-196</v>
      </c>
      <c r="G157" s="1"/>
      <c r="H157" s="1"/>
      <c r="I157" s="1"/>
      <c r="J157" s="1"/>
      <c r="K157" s="1"/>
      <c r="L157" s="1"/>
    </row>
    <row r="158" spans="1:12">
      <c r="A158" s="291" t="s">
        <v>476</v>
      </c>
      <c r="B158" s="2"/>
      <c r="C158" s="186">
        <f>C46-D46</f>
        <v>-47</v>
      </c>
      <c r="D158" s="186">
        <f t="shared" ref="D158:F158" si="30">D46-E46</f>
        <v>210</v>
      </c>
      <c r="E158" s="186">
        <f t="shared" si="30"/>
        <v>-8</v>
      </c>
      <c r="F158" s="268">
        <f t="shared" si="30"/>
        <v>6</v>
      </c>
      <c r="G158" s="1"/>
      <c r="H158" s="1"/>
      <c r="I158" s="1"/>
      <c r="J158" s="1"/>
      <c r="K158" s="1"/>
      <c r="L158" s="1"/>
    </row>
    <row r="159" spans="1:12">
      <c r="A159" s="175"/>
      <c r="B159" s="2"/>
      <c r="C159" s="186"/>
      <c r="D159" s="186"/>
      <c r="E159" s="186"/>
      <c r="F159" s="268"/>
      <c r="G159" s="1"/>
      <c r="H159" s="1"/>
      <c r="I159" s="1"/>
      <c r="J159" s="1"/>
      <c r="K159" s="1"/>
      <c r="L159" s="1"/>
    </row>
    <row r="160" spans="1:12">
      <c r="A160" s="175" t="s">
        <v>365</v>
      </c>
      <c r="B160" s="2"/>
      <c r="C160" s="186">
        <v>636</v>
      </c>
      <c r="D160" s="187">
        <v>402</v>
      </c>
      <c r="E160" s="187">
        <v>691</v>
      </c>
      <c r="F160" s="267">
        <v>624</v>
      </c>
      <c r="G160" s="1"/>
      <c r="H160" s="1"/>
      <c r="I160" s="1"/>
      <c r="J160" s="1"/>
      <c r="K160" s="1"/>
      <c r="L160" s="1"/>
    </row>
    <row r="161" spans="1:12">
      <c r="A161" s="175" t="s">
        <v>366</v>
      </c>
      <c r="B161" s="2"/>
      <c r="C161" s="186">
        <v>402</v>
      </c>
      <c r="D161" s="187">
        <v>691</v>
      </c>
      <c r="E161" s="187">
        <v>624</v>
      </c>
      <c r="F161" s="267">
        <v>434</v>
      </c>
      <c r="G161" s="1"/>
      <c r="H161" s="1"/>
      <c r="I161" s="1"/>
      <c r="J161" s="1"/>
      <c r="K161" s="1"/>
      <c r="L161" s="1"/>
    </row>
    <row r="162" spans="1:12" ht="15" thickBot="1">
      <c r="A162" s="336" t="s">
        <v>367</v>
      </c>
      <c r="B162" s="270"/>
      <c r="C162" s="271">
        <v>-234</v>
      </c>
      <c r="D162" s="271">
        <v>289</v>
      </c>
      <c r="E162" s="271">
        <v>-67</v>
      </c>
      <c r="F162" s="272">
        <v>-190</v>
      </c>
      <c r="G162" s="1"/>
      <c r="H162" s="1"/>
      <c r="I162" s="1"/>
      <c r="J162" s="1"/>
      <c r="K162" s="1"/>
      <c r="L162" s="1"/>
    </row>
    <row r="163" spans="1:12" ht="15" thickBot="1">
      <c r="A163" s="257"/>
      <c r="B163" s="52"/>
      <c r="C163" s="52"/>
      <c r="D163" s="52"/>
      <c r="E163" s="52"/>
      <c r="F163" s="278"/>
      <c r="G163" s="1"/>
      <c r="H163" s="1"/>
      <c r="I163" s="1"/>
      <c r="J163" s="1"/>
      <c r="K163" s="1"/>
      <c r="L163" s="1"/>
    </row>
    <row r="164" spans="1:12" ht="15" thickBot="1">
      <c r="A164" s="273" t="s">
        <v>378</v>
      </c>
      <c r="B164" s="274"/>
      <c r="C164" s="274">
        <f>IF(C157+C158=C162,0,"differentfrom0")</f>
        <v>0</v>
      </c>
      <c r="D164" s="274">
        <f t="shared" ref="D164:F164" si="31">IF(D157+D158=D162,0,"differentfrom0")</f>
        <v>0</v>
      </c>
      <c r="E164" s="274">
        <f t="shared" si="31"/>
        <v>0</v>
      </c>
      <c r="F164" s="275">
        <f t="shared" si="31"/>
        <v>0</v>
      </c>
      <c r="G164" s="1"/>
      <c r="H164" s="1"/>
      <c r="I164" s="1"/>
      <c r="J164" s="1"/>
      <c r="K164" s="1"/>
      <c r="L164" s="1"/>
    </row>
    <row r="165" spans="1:12">
      <c r="A165" s="1"/>
      <c r="B165" s="1"/>
      <c r="C165" s="1"/>
      <c r="D165" s="1"/>
      <c r="E165" s="1"/>
      <c r="F165" s="1"/>
      <c r="G165" s="1"/>
      <c r="H165" s="1"/>
      <c r="I165" s="1"/>
      <c r="J165" s="1"/>
      <c r="K165" s="1"/>
      <c r="L165" s="1"/>
    </row>
    <row r="166" spans="1:12">
      <c r="A166" s="1"/>
      <c r="B166" s="1"/>
      <c r="C166" s="1"/>
      <c r="D166" s="1"/>
      <c r="E166" s="1"/>
      <c r="F166" s="1"/>
      <c r="G166" s="1"/>
      <c r="H166" s="1"/>
      <c r="I166" s="1"/>
      <c r="J166" s="1"/>
      <c r="K166" s="1"/>
      <c r="L166" s="1"/>
    </row>
    <row r="167" spans="1:12">
      <c r="A167" s="1"/>
      <c r="B167" s="1"/>
      <c r="C167" s="1"/>
      <c r="D167" s="1"/>
      <c r="E167" s="1"/>
      <c r="F167" s="1"/>
      <c r="G167" s="1"/>
      <c r="H167" s="1"/>
      <c r="I167" s="1"/>
      <c r="J167" s="1"/>
      <c r="K167" s="1"/>
      <c r="L167" s="1"/>
    </row>
    <row r="168" spans="1:12">
      <c r="A168" s="1"/>
      <c r="B168" s="1"/>
      <c r="C168" s="1"/>
      <c r="D168" s="1"/>
      <c r="E168" s="1"/>
      <c r="F168" s="1"/>
      <c r="G168" s="1"/>
      <c r="H168" s="1"/>
      <c r="I168" s="1"/>
      <c r="J168" s="1"/>
      <c r="K168" s="1"/>
      <c r="L168" s="1"/>
    </row>
  </sheetData>
  <mergeCells count="4">
    <mergeCell ref="C124:F124"/>
    <mergeCell ref="A1:B1"/>
    <mergeCell ref="B2:G2"/>
    <mergeCell ref="C55:G5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3ADE8-5E56-4A9C-9755-F71038322A16}">
  <dimension ref="A1:AI143"/>
  <sheetViews>
    <sheetView topLeftCell="A10" zoomScale="70" zoomScaleNormal="70" workbookViewId="0">
      <selection activeCell="H56" sqref="H56"/>
    </sheetView>
  </sheetViews>
  <sheetFormatPr defaultRowHeight="14.4"/>
  <cols>
    <col min="2" max="2" width="37" customWidth="1"/>
    <col min="3" max="3" width="19.109375" customWidth="1"/>
    <col min="4" max="4" width="31.33203125" customWidth="1"/>
    <col min="5" max="5" width="20.44140625" customWidth="1"/>
    <col min="6" max="6" width="33" customWidth="1"/>
    <col min="7" max="7" width="29.5546875" customWidth="1"/>
    <col min="8" max="8" width="47.33203125" bestFit="1" customWidth="1"/>
    <col min="9" max="9" width="21.44140625" customWidth="1"/>
    <col min="10" max="10" width="23.88671875" bestFit="1" customWidth="1"/>
  </cols>
  <sheetData>
    <row r="1" spans="1:35" ht="27.6">
      <c r="A1" s="852"/>
      <c r="B1" s="905" t="s">
        <v>419</v>
      </c>
      <c r="C1" s="662"/>
      <c r="D1" s="662"/>
      <c r="E1" s="662"/>
      <c r="F1" s="662"/>
      <c r="G1" s="662"/>
      <c r="H1" s="662"/>
      <c r="I1" s="662"/>
      <c r="J1" s="664"/>
      <c r="K1" s="369"/>
      <c r="L1" s="1"/>
      <c r="M1" s="1"/>
      <c r="N1" s="904" t="s">
        <v>807</v>
      </c>
      <c r="O1" s="662"/>
      <c r="P1" s="662"/>
      <c r="Q1" s="662"/>
      <c r="R1" s="662"/>
      <c r="S1" s="662"/>
      <c r="T1" s="662"/>
      <c r="U1" s="664"/>
      <c r="V1" s="1"/>
      <c r="W1" s="1"/>
      <c r="X1" s="1"/>
      <c r="Y1" s="1"/>
      <c r="Z1" s="1"/>
      <c r="AA1" s="1"/>
      <c r="AB1" s="1"/>
      <c r="AC1" s="1"/>
      <c r="AD1" s="1"/>
      <c r="AE1" s="1"/>
      <c r="AF1" s="1"/>
      <c r="AG1" s="1"/>
      <c r="AH1" s="1"/>
      <c r="AI1" s="1"/>
    </row>
    <row r="2" spans="1:35" ht="15" thickBot="1">
      <c r="A2" s="853"/>
      <c r="B2" s="665"/>
      <c r="C2" s="665"/>
      <c r="D2" s="665"/>
      <c r="E2" s="665"/>
      <c r="F2" s="665"/>
      <c r="G2" s="665"/>
      <c r="H2" s="665"/>
      <c r="I2" s="665"/>
      <c r="J2" s="666"/>
      <c r="K2" s="369"/>
      <c r="L2" s="1"/>
      <c r="M2" s="1"/>
      <c r="N2" s="853"/>
      <c r="O2" s="665"/>
      <c r="P2" s="665"/>
      <c r="Q2" s="665"/>
      <c r="R2" s="665"/>
      <c r="S2" s="665"/>
      <c r="T2" s="665"/>
      <c r="U2" s="666"/>
      <c r="V2" s="1"/>
      <c r="W2" s="1"/>
      <c r="X2" s="1"/>
      <c r="Y2" s="1"/>
      <c r="Z2" s="1"/>
      <c r="AA2" s="1"/>
      <c r="AB2" s="1"/>
      <c r="AC2" s="1"/>
      <c r="AD2" s="1"/>
      <c r="AE2" s="1"/>
      <c r="AF2" s="1"/>
      <c r="AG2" s="1"/>
      <c r="AH2" s="1"/>
      <c r="AI2" s="1"/>
    </row>
    <row r="3" spans="1:35">
      <c r="A3" s="1"/>
      <c r="B3" s="1"/>
      <c r="C3" s="1"/>
      <c r="D3" s="1"/>
      <c r="E3" s="1"/>
      <c r="F3" s="1"/>
      <c r="G3" s="1"/>
      <c r="H3" s="1"/>
      <c r="I3" s="1"/>
      <c r="J3" s="1"/>
      <c r="K3" s="369"/>
      <c r="L3" s="1"/>
      <c r="M3" s="1"/>
      <c r="N3" s="1"/>
      <c r="O3" s="1"/>
      <c r="P3" s="1"/>
      <c r="Q3" s="1"/>
      <c r="R3" s="1"/>
      <c r="S3" s="1"/>
      <c r="T3" s="1"/>
      <c r="U3" s="1"/>
      <c r="V3" s="1"/>
      <c r="W3" s="1"/>
      <c r="X3" s="1"/>
      <c r="Y3" s="1"/>
      <c r="Z3" s="1"/>
      <c r="AA3" s="1"/>
      <c r="AB3" s="1"/>
      <c r="AC3" s="1"/>
      <c r="AD3" s="1"/>
      <c r="AE3" s="1"/>
      <c r="AF3" s="1"/>
      <c r="AG3" s="1"/>
      <c r="AH3" s="1"/>
      <c r="AI3" s="1"/>
    </row>
    <row r="4" spans="1:35" ht="15" thickBot="1">
      <c r="A4" s="1"/>
      <c r="B4" s="5"/>
      <c r="C4" s="398"/>
      <c r="D4" s="126"/>
      <c r="E4" s="126"/>
      <c r="F4" s="126"/>
      <c r="G4" s="126"/>
      <c r="H4" s="126"/>
      <c r="I4" s="14"/>
      <c r="J4" s="14"/>
      <c r="K4" s="369"/>
      <c r="L4" s="1"/>
      <c r="M4" s="1"/>
      <c r="N4" s="1"/>
      <c r="O4" s="1"/>
      <c r="P4" s="1"/>
      <c r="Q4" s="1"/>
      <c r="R4" s="1"/>
      <c r="S4" s="1"/>
      <c r="T4" s="1"/>
      <c r="U4" s="1"/>
      <c r="V4" s="1"/>
      <c r="W4" s="1"/>
      <c r="X4" s="1"/>
      <c r="Y4" s="1"/>
      <c r="Z4" s="1"/>
      <c r="AA4" s="1"/>
      <c r="AB4" s="1"/>
      <c r="AC4" s="1"/>
      <c r="AD4" s="1"/>
      <c r="AE4" s="1"/>
      <c r="AF4" s="1"/>
      <c r="AG4" s="1"/>
      <c r="AH4" s="1"/>
      <c r="AI4" s="1"/>
    </row>
    <row r="5" spans="1:35" ht="15" thickBot="1">
      <c r="A5" s="1"/>
      <c r="B5" s="903" t="s">
        <v>419</v>
      </c>
      <c r="C5" s="544"/>
      <c r="D5" s="126"/>
      <c r="E5" s="512" t="s">
        <v>401</v>
      </c>
      <c r="F5" s="513" t="s">
        <v>426</v>
      </c>
      <c r="G5" s="126"/>
      <c r="H5" s="514" t="s">
        <v>468</v>
      </c>
      <c r="I5" s="514" t="s">
        <v>401</v>
      </c>
      <c r="J5" s="514" t="s">
        <v>426</v>
      </c>
      <c r="K5" s="369"/>
      <c r="L5" s="1"/>
      <c r="M5" s="1"/>
      <c r="N5" s="1"/>
      <c r="O5" s="1"/>
      <c r="P5" s="1"/>
      <c r="Q5" s="1"/>
      <c r="R5" s="1"/>
      <c r="S5" s="1"/>
      <c r="T5" s="1"/>
      <c r="U5" s="1"/>
      <c r="V5" s="1"/>
      <c r="W5" s="1"/>
      <c r="X5" s="1"/>
      <c r="Y5" s="1"/>
      <c r="Z5" s="1"/>
      <c r="AA5" s="1"/>
      <c r="AB5" s="1"/>
      <c r="AC5" s="1"/>
      <c r="AD5" s="1"/>
      <c r="AE5" s="1"/>
      <c r="AF5" s="1"/>
      <c r="AG5" s="1"/>
      <c r="AH5" s="1"/>
      <c r="AI5" s="1"/>
    </row>
    <row r="6" spans="1:35">
      <c r="A6" s="1"/>
      <c r="B6" s="126"/>
      <c r="C6" s="515" t="s">
        <v>402</v>
      </c>
      <c r="D6" s="516" t="s">
        <v>403</v>
      </c>
      <c r="E6" s="517">
        <f>'Financial statements'!J112</f>
        <v>3651</v>
      </c>
      <c r="F6" s="518">
        <f>-'Trailing 12-months'!G35</f>
        <v>3746</v>
      </c>
      <c r="G6" s="394"/>
      <c r="H6" s="519" t="s">
        <v>422</v>
      </c>
      <c r="I6" s="603">
        <f>E6/(E6+E8)</f>
        <v>0.50275406224180663</v>
      </c>
      <c r="J6" s="606">
        <f>F6/(F6+F8)</f>
        <v>0.50917493543563952</v>
      </c>
      <c r="K6" s="369"/>
      <c r="L6" s="1"/>
      <c r="M6" s="1"/>
      <c r="N6" s="1"/>
      <c r="O6" s="1"/>
      <c r="P6" s="1"/>
      <c r="Q6" s="1"/>
      <c r="R6" s="1"/>
      <c r="S6" s="1"/>
      <c r="T6" s="1"/>
      <c r="U6" s="1"/>
      <c r="V6" s="1"/>
      <c r="W6" s="1"/>
      <c r="X6" s="1"/>
      <c r="Y6" s="1"/>
      <c r="Z6" s="1"/>
      <c r="AA6" s="1"/>
      <c r="AB6" s="1"/>
      <c r="AC6" s="1"/>
      <c r="AD6" s="1"/>
      <c r="AE6" s="1"/>
      <c r="AF6" s="1"/>
      <c r="AG6" s="1"/>
      <c r="AH6" s="1"/>
      <c r="AI6" s="1"/>
    </row>
    <row r="7" spans="1:35" ht="15" thickBot="1">
      <c r="A7" s="1"/>
      <c r="B7" s="126"/>
      <c r="C7" s="520" t="s">
        <v>404</v>
      </c>
      <c r="D7" s="521" t="s">
        <v>405</v>
      </c>
      <c r="E7" s="522">
        <v>4926</v>
      </c>
      <c r="F7" s="523">
        <f>PRODUCT(1.12,3109.183856)</f>
        <v>3482.2859187200006</v>
      </c>
      <c r="G7" s="394"/>
      <c r="H7" s="524" t="s">
        <v>423</v>
      </c>
      <c r="I7" s="604">
        <f>E8/(E8+E6)</f>
        <v>0.49724593775819331</v>
      </c>
      <c r="J7" s="607">
        <f>1-J6</f>
        <v>0.49082506456436048</v>
      </c>
      <c r="K7" s="369"/>
      <c r="L7" s="1"/>
      <c r="M7" s="1"/>
      <c r="N7" s="1"/>
      <c r="O7" s="1"/>
      <c r="P7" s="1"/>
      <c r="Q7" s="1"/>
      <c r="R7" s="1"/>
      <c r="S7" s="1"/>
      <c r="T7" s="1"/>
      <c r="U7" s="1"/>
      <c r="V7" s="1"/>
      <c r="W7" s="1"/>
      <c r="X7" s="1"/>
      <c r="Y7" s="1"/>
      <c r="Z7" s="1"/>
      <c r="AA7" s="1"/>
      <c r="AB7" s="1"/>
      <c r="AC7" s="1"/>
      <c r="AD7" s="1"/>
      <c r="AE7" s="1"/>
      <c r="AF7" s="1"/>
      <c r="AG7" s="1"/>
      <c r="AH7" s="1"/>
      <c r="AI7" s="1"/>
    </row>
    <row r="8" spans="1:35">
      <c r="A8" s="1"/>
      <c r="B8" s="126"/>
      <c r="C8" s="526" t="s">
        <v>406</v>
      </c>
      <c r="D8" s="527" t="s">
        <v>427</v>
      </c>
      <c r="E8" s="528">
        <f>-'Reorganised Statements'!H39</f>
        <v>3611</v>
      </c>
      <c r="F8" s="528">
        <f>-'Reorganised Statements'!H39</f>
        <v>3611</v>
      </c>
      <c r="G8" s="394"/>
      <c r="H8" s="524"/>
      <c r="I8" s="529"/>
      <c r="J8" s="525"/>
      <c r="K8" s="369"/>
      <c r="L8" s="1"/>
      <c r="M8" s="1"/>
      <c r="N8" s="1"/>
      <c r="O8" s="1"/>
      <c r="P8" s="1"/>
      <c r="Q8" s="1"/>
      <c r="R8" s="1"/>
      <c r="S8" s="1"/>
      <c r="T8" s="1"/>
      <c r="U8" s="1"/>
      <c r="V8" s="1"/>
      <c r="W8" s="1"/>
      <c r="X8" s="1"/>
      <c r="Y8" s="1"/>
      <c r="Z8" s="1"/>
      <c r="AA8" s="1"/>
      <c r="AB8" s="1"/>
      <c r="AC8" s="1"/>
      <c r="AD8" s="1"/>
      <c r="AE8" s="1"/>
      <c r="AF8" s="1"/>
      <c r="AG8" s="1"/>
      <c r="AH8" s="1"/>
      <c r="AI8" s="1"/>
    </row>
    <row r="9" spans="1:35" ht="15" thickBot="1">
      <c r="A9" s="1"/>
      <c r="B9" s="126"/>
      <c r="C9" s="530" t="s">
        <v>407</v>
      </c>
      <c r="D9" s="531" t="s">
        <v>467</v>
      </c>
      <c r="E9" s="532">
        <f>(SUM(E10:E12))</f>
        <v>3754</v>
      </c>
      <c r="F9" s="533">
        <f>(SUM(F10:F12))</f>
        <v>3754</v>
      </c>
      <c r="G9" s="394"/>
      <c r="H9" s="524" t="s">
        <v>424</v>
      </c>
      <c r="I9" s="604">
        <f>E7/(E7+E9)</f>
        <v>0.56751152073732714</v>
      </c>
      <c r="J9" s="607">
        <f>F7/(F7+F9)</f>
        <v>0.48122558420632017</v>
      </c>
      <c r="K9" s="369"/>
      <c r="L9" s="1"/>
      <c r="M9" s="1"/>
      <c r="N9" s="1"/>
      <c r="O9" s="1"/>
      <c r="P9" s="1"/>
      <c r="Q9" s="1"/>
      <c r="R9" s="1"/>
      <c r="S9" s="1"/>
      <c r="T9" s="1"/>
      <c r="U9" s="1"/>
      <c r="V9" s="1"/>
      <c r="W9" s="1"/>
      <c r="X9" s="1"/>
      <c r="Y9" s="1"/>
      <c r="Z9" s="1"/>
      <c r="AA9" s="1"/>
      <c r="AB9" s="1"/>
      <c r="AC9" s="1"/>
      <c r="AD9" s="1"/>
      <c r="AE9" s="1"/>
      <c r="AF9" s="1"/>
      <c r="AG9" s="1"/>
      <c r="AH9" s="1"/>
      <c r="AI9" s="1"/>
    </row>
    <row r="10" spans="1:35" ht="15" thickBot="1">
      <c r="A10" s="1"/>
      <c r="B10" s="126"/>
      <c r="C10" s="126"/>
      <c r="D10" s="534" t="s">
        <v>408</v>
      </c>
      <c r="E10" s="535">
        <v>3635</v>
      </c>
      <c r="F10" s="536">
        <v>3635</v>
      </c>
      <c r="G10" s="394"/>
      <c r="H10" s="537" t="s">
        <v>425</v>
      </c>
      <c r="I10" s="605">
        <f>1-I9</f>
        <v>0.43248847926267286</v>
      </c>
      <c r="J10" s="608">
        <f>1-J9</f>
        <v>0.51877441579367978</v>
      </c>
      <c r="K10" s="369"/>
      <c r="L10" s="1"/>
      <c r="M10" s="1"/>
      <c r="N10" s="1"/>
      <c r="O10" s="1"/>
      <c r="P10" s="1"/>
      <c r="Q10" s="1"/>
      <c r="R10" s="1"/>
      <c r="S10" s="1"/>
      <c r="T10" s="1"/>
      <c r="U10" s="1"/>
      <c r="V10" s="1"/>
      <c r="W10" s="1"/>
      <c r="X10" s="1"/>
      <c r="Y10" s="1"/>
      <c r="Z10" s="1"/>
      <c r="AA10" s="1"/>
      <c r="AB10" s="1"/>
      <c r="AC10" s="1"/>
      <c r="AD10" s="1"/>
      <c r="AE10" s="1"/>
      <c r="AF10" s="1"/>
      <c r="AG10" s="1"/>
      <c r="AH10" s="1"/>
      <c r="AI10" s="1"/>
    </row>
    <row r="11" spans="1:35">
      <c r="A11" s="1"/>
      <c r="B11" s="126"/>
      <c r="C11" s="126"/>
      <c r="D11" s="534" t="s">
        <v>109</v>
      </c>
      <c r="E11" s="535">
        <v>2</v>
      </c>
      <c r="F11" s="536">
        <v>2</v>
      </c>
      <c r="G11" s="126"/>
      <c r="H11" s="126"/>
      <c r="I11" s="126"/>
      <c r="J11" s="126"/>
      <c r="K11" s="369"/>
      <c r="L11" s="1"/>
      <c r="M11" s="1"/>
      <c r="N11" s="1"/>
      <c r="O11" s="1"/>
      <c r="P11" s="1"/>
      <c r="Q11" s="1"/>
      <c r="R11" s="1"/>
      <c r="S11" s="1"/>
      <c r="T11" s="1"/>
      <c r="U11" s="1"/>
      <c r="V11" s="1"/>
      <c r="W11" s="1"/>
      <c r="X11" s="1"/>
      <c r="Y11" s="1"/>
      <c r="Z11" s="1"/>
      <c r="AA11" s="1"/>
      <c r="AB11" s="1"/>
      <c r="AC11" s="1"/>
      <c r="AD11" s="1"/>
      <c r="AE11" s="1"/>
      <c r="AF11" s="1"/>
      <c r="AG11" s="1"/>
      <c r="AH11" s="1"/>
      <c r="AI11" s="1"/>
    </row>
    <row r="12" spans="1:35">
      <c r="A12" s="1"/>
      <c r="B12" s="126"/>
      <c r="C12" s="126"/>
      <c r="D12" s="538" t="s">
        <v>409</v>
      </c>
      <c r="E12" s="539">
        <v>117</v>
      </c>
      <c r="F12" s="540">
        <v>117</v>
      </c>
      <c r="G12" s="126"/>
      <c r="H12" s="126"/>
      <c r="I12" s="126"/>
      <c r="J12" s="126"/>
      <c r="K12" s="369"/>
      <c r="L12" s="1"/>
      <c r="M12" s="1"/>
      <c r="N12" s="1"/>
      <c r="O12" s="1"/>
      <c r="P12" s="1"/>
      <c r="Q12" s="1"/>
      <c r="R12" s="1"/>
      <c r="S12" s="1"/>
      <c r="T12" s="1"/>
      <c r="U12" s="1"/>
      <c r="V12" s="1"/>
      <c r="W12" s="1"/>
      <c r="X12" s="1"/>
      <c r="Y12" s="1"/>
      <c r="Z12" s="1"/>
      <c r="AA12" s="1"/>
      <c r="AB12" s="1"/>
      <c r="AC12" s="1"/>
      <c r="AD12" s="1"/>
      <c r="AE12" s="1"/>
      <c r="AF12" s="1"/>
      <c r="AG12" s="1"/>
      <c r="AH12" s="1"/>
      <c r="AI12" s="1"/>
    </row>
    <row r="13" spans="1:35" ht="15" thickBot="1">
      <c r="A13" s="1"/>
      <c r="B13" s="126"/>
      <c r="C13" s="126"/>
      <c r="D13" s="126"/>
      <c r="E13" s="126"/>
      <c r="F13" s="126"/>
      <c r="G13" s="126"/>
      <c r="H13" s="126"/>
      <c r="I13" s="126"/>
      <c r="J13" s="126"/>
      <c r="K13" s="369"/>
      <c r="L13" s="1"/>
      <c r="M13" s="1"/>
      <c r="N13" s="1"/>
      <c r="O13" s="1"/>
      <c r="P13" s="1"/>
      <c r="Q13" s="1"/>
      <c r="R13" s="1"/>
      <c r="S13" s="1"/>
      <c r="T13" s="1"/>
      <c r="U13" s="1"/>
      <c r="V13" s="1"/>
      <c r="W13" s="1"/>
      <c r="X13" s="1"/>
      <c r="Y13" s="1"/>
      <c r="Z13" s="1"/>
      <c r="AA13" s="1"/>
      <c r="AB13" s="1"/>
      <c r="AC13" s="1"/>
      <c r="AD13" s="1"/>
      <c r="AE13" s="1"/>
      <c r="AF13" s="1"/>
      <c r="AG13" s="1"/>
      <c r="AH13" s="1"/>
      <c r="AI13" s="1"/>
    </row>
    <row r="14" spans="1:35" ht="15" thickBot="1">
      <c r="A14" s="1"/>
      <c r="B14" s="541" t="s">
        <v>420</v>
      </c>
      <c r="C14" s="542"/>
      <c r="D14" s="543"/>
      <c r="E14" s="126"/>
      <c r="F14" s="126"/>
      <c r="G14" s="126"/>
      <c r="H14" s="2"/>
      <c r="I14" s="2"/>
      <c r="J14" s="2"/>
      <c r="K14" s="369"/>
      <c r="L14" s="1"/>
      <c r="M14" s="1"/>
      <c r="N14" s="1"/>
      <c r="O14" s="1"/>
      <c r="P14" s="1"/>
      <c r="Q14" s="1"/>
      <c r="R14" s="1"/>
      <c r="S14" s="1"/>
      <c r="T14" s="1"/>
      <c r="U14" s="1"/>
      <c r="V14" s="1"/>
      <c r="W14" s="1"/>
      <c r="X14" s="1"/>
      <c r="Y14" s="1"/>
      <c r="Z14" s="1"/>
      <c r="AA14" s="1"/>
      <c r="AB14" s="1"/>
      <c r="AC14" s="1"/>
      <c r="AD14" s="1"/>
      <c r="AE14" s="1"/>
      <c r="AF14" s="1"/>
      <c r="AG14" s="1"/>
      <c r="AH14" s="1"/>
      <c r="AI14" s="1"/>
    </row>
    <row r="15" spans="1:35" ht="15" thickBot="1">
      <c r="A15" s="1"/>
      <c r="B15" s="544"/>
      <c r="C15" s="545"/>
      <c r="D15" s="545"/>
      <c r="E15" s="126"/>
      <c r="F15" s="126"/>
      <c r="G15" s="126"/>
      <c r="H15" s="2"/>
      <c r="I15" s="2"/>
      <c r="J15" s="2"/>
      <c r="K15" s="369"/>
      <c r="L15" s="1"/>
      <c r="M15" s="1"/>
      <c r="N15" s="1"/>
      <c r="O15" s="1"/>
      <c r="P15" s="1"/>
      <c r="Q15" s="1"/>
      <c r="R15" s="1"/>
      <c r="S15" s="1"/>
      <c r="T15" s="1"/>
      <c r="U15" s="1"/>
      <c r="V15" s="1"/>
      <c r="W15" s="1"/>
      <c r="X15" s="1"/>
      <c r="Y15" s="1"/>
      <c r="Z15" s="1"/>
      <c r="AA15" s="1"/>
      <c r="AB15" s="1"/>
      <c r="AC15" s="1"/>
      <c r="AD15" s="1"/>
      <c r="AE15" s="1"/>
      <c r="AF15" s="1"/>
      <c r="AG15" s="1"/>
      <c r="AH15" s="1"/>
      <c r="AI15" s="1"/>
    </row>
    <row r="16" spans="1:35" ht="15" thickBot="1">
      <c r="A16" s="1"/>
      <c r="B16" s="126"/>
      <c r="C16" s="546" t="s">
        <v>470</v>
      </c>
      <c r="D16" s="546" t="s">
        <v>410</v>
      </c>
      <c r="E16" s="546" t="s">
        <v>469</v>
      </c>
      <c r="F16" s="546" t="s">
        <v>411</v>
      </c>
      <c r="G16" s="126"/>
      <c r="H16" s="2"/>
      <c r="I16" s="2"/>
      <c r="J16" s="2"/>
      <c r="K16" s="369"/>
      <c r="L16" s="1"/>
      <c r="M16" s="1"/>
      <c r="N16" s="1"/>
      <c r="O16" s="1"/>
      <c r="P16" s="1"/>
      <c r="Q16" s="1"/>
      <c r="R16" s="1"/>
      <c r="S16" s="1"/>
      <c r="T16" s="1"/>
      <c r="U16" s="1"/>
      <c r="V16" s="1"/>
      <c r="W16" s="1"/>
      <c r="X16" s="1"/>
      <c r="Y16" s="1"/>
      <c r="Z16" s="1"/>
      <c r="AA16" s="1"/>
      <c r="AB16" s="1"/>
      <c r="AC16" s="1"/>
      <c r="AD16" s="1"/>
      <c r="AE16" s="1"/>
      <c r="AF16" s="1"/>
      <c r="AG16" s="1"/>
      <c r="AH16" s="1"/>
      <c r="AI16" s="1"/>
    </row>
    <row r="17" spans="1:35">
      <c r="A17" s="1"/>
      <c r="B17" s="126"/>
      <c r="C17" s="906" t="s">
        <v>479</v>
      </c>
      <c r="D17" s="547">
        <v>4.3749999999999997E-2</v>
      </c>
      <c r="E17" s="547">
        <v>2</v>
      </c>
      <c r="F17" s="907">
        <v>351.45699999999999</v>
      </c>
      <c r="G17" s="126"/>
      <c r="H17" s="2"/>
      <c r="I17" s="720"/>
      <c r="J17" s="2"/>
      <c r="K17" s="369"/>
      <c r="L17" s="1"/>
      <c r="M17" s="1"/>
      <c r="N17" s="1"/>
      <c r="O17" s="1"/>
      <c r="P17" s="1"/>
      <c r="Q17" s="1"/>
      <c r="R17" s="1"/>
      <c r="S17" s="1"/>
      <c r="T17" s="1"/>
      <c r="U17" s="1"/>
      <c r="V17" s="1"/>
      <c r="W17" s="1"/>
      <c r="X17" s="1"/>
      <c r="Y17" s="1"/>
      <c r="Z17" s="1"/>
      <c r="AA17" s="1"/>
      <c r="AB17" s="1"/>
      <c r="AC17" s="1"/>
      <c r="AD17" s="1"/>
      <c r="AE17" s="1"/>
      <c r="AF17" s="1"/>
      <c r="AG17" s="1"/>
      <c r="AH17" s="1"/>
      <c r="AI17" s="1"/>
    </row>
    <row r="18" spans="1:35">
      <c r="A18" s="1"/>
      <c r="B18" s="126"/>
      <c r="C18" s="906" t="s">
        <v>412</v>
      </c>
      <c r="D18" s="547">
        <v>3.6880000000000003E-2</v>
      </c>
      <c r="E18" s="547">
        <v>3</v>
      </c>
      <c r="F18" s="907">
        <v>500</v>
      </c>
      <c r="G18" s="126"/>
      <c r="H18" s="2"/>
      <c r="I18" s="720"/>
      <c r="J18" s="2"/>
      <c r="K18" s="369"/>
      <c r="L18" s="1"/>
      <c r="M18" s="1"/>
      <c r="N18" s="1"/>
      <c r="O18" s="1"/>
      <c r="P18" s="1"/>
      <c r="Q18" s="1"/>
      <c r="R18" s="1"/>
      <c r="S18" s="1"/>
      <c r="T18" s="1"/>
      <c r="U18" s="1"/>
      <c r="V18" s="1"/>
      <c r="W18" s="1"/>
      <c r="X18" s="1"/>
      <c r="Y18" s="1"/>
      <c r="Z18" s="1"/>
      <c r="AA18" s="1"/>
      <c r="AB18" s="1"/>
      <c r="AC18" s="1"/>
      <c r="AD18" s="1"/>
      <c r="AE18" s="1"/>
      <c r="AF18" s="1"/>
      <c r="AG18" s="1"/>
      <c r="AH18" s="1"/>
      <c r="AI18" s="1"/>
    </row>
    <row r="19" spans="1:35">
      <c r="A19" s="1"/>
      <c r="B19" s="126"/>
      <c r="C19" s="906" t="s">
        <v>477</v>
      </c>
      <c r="D19" s="547">
        <v>4.0570000000000002E-2</v>
      </c>
      <c r="E19" s="547">
        <v>4</v>
      </c>
      <c r="F19" s="907">
        <v>300</v>
      </c>
      <c r="G19" s="126"/>
      <c r="H19" s="2"/>
      <c r="I19" s="720"/>
      <c r="J19" s="2"/>
      <c r="K19" s="369"/>
      <c r="L19" s="1"/>
      <c r="M19" s="1"/>
      <c r="N19" s="1"/>
      <c r="O19" s="1"/>
      <c r="P19" s="1"/>
      <c r="Q19" s="1"/>
      <c r="R19" s="1"/>
      <c r="S19" s="1"/>
      <c r="T19" s="1"/>
      <c r="U19" s="1"/>
      <c r="V19" s="1"/>
      <c r="W19" s="1"/>
      <c r="X19" s="1"/>
      <c r="Y19" s="1"/>
      <c r="Z19" s="1"/>
      <c r="AA19" s="1"/>
      <c r="AB19" s="1"/>
      <c r="AC19" s="1"/>
      <c r="AD19" s="1"/>
      <c r="AE19" s="1"/>
      <c r="AF19" s="1"/>
      <c r="AG19" s="1"/>
      <c r="AH19" s="1"/>
      <c r="AI19" s="1"/>
    </row>
    <row r="20" spans="1:35">
      <c r="A20" s="1"/>
      <c r="B20" s="126"/>
      <c r="C20" s="906" t="s">
        <v>478</v>
      </c>
      <c r="D20" s="547">
        <v>1.2840000000000001E-2</v>
      </c>
      <c r="E20" s="547">
        <v>5</v>
      </c>
      <c r="F20" s="907">
        <v>300</v>
      </c>
      <c r="G20" s="126"/>
      <c r="H20" s="2"/>
      <c r="I20" s="720"/>
      <c r="J20" s="2"/>
      <c r="K20" s="369"/>
      <c r="L20" s="1"/>
      <c r="M20" s="1"/>
      <c r="N20" s="1"/>
      <c r="O20" s="1"/>
      <c r="P20" s="1"/>
      <c r="Q20" s="1"/>
      <c r="R20" s="1"/>
      <c r="S20" s="1"/>
      <c r="T20" s="1"/>
      <c r="U20" s="1"/>
      <c r="V20" s="1"/>
      <c r="W20" s="1"/>
      <c r="X20" s="1"/>
      <c r="Y20" s="1"/>
      <c r="Z20" s="1"/>
      <c r="AA20" s="1"/>
      <c r="AB20" s="1"/>
      <c r="AC20" s="1"/>
      <c r="AD20" s="1"/>
      <c r="AE20" s="1"/>
      <c r="AF20" s="1"/>
      <c r="AG20" s="1"/>
      <c r="AH20" s="1"/>
      <c r="AI20" s="1"/>
    </row>
    <row r="21" spans="1:35">
      <c r="A21" s="1"/>
      <c r="B21" s="126"/>
      <c r="C21" s="908" t="s">
        <v>413</v>
      </c>
      <c r="D21" s="529">
        <v>1.8360000000000001E-2</v>
      </c>
      <c r="E21" s="529">
        <v>6</v>
      </c>
      <c r="F21" s="909">
        <v>300</v>
      </c>
      <c r="G21" s="126"/>
      <c r="H21" s="2"/>
      <c r="I21" s="720"/>
      <c r="J21" s="2"/>
      <c r="K21" s="369"/>
      <c r="L21" s="1"/>
      <c r="M21" s="1"/>
      <c r="N21" s="1"/>
      <c r="O21" s="1"/>
      <c r="P21" s="1"/>
      <c r="Q21" s="1"/>
      <c r="R21" s="1"/>
      <c r="S21" s="1"/>
      <c r="T21" s="1"/>
      <c r="U21" s="1"/>
      <c r="V21" s="1"/>
      <c r="W21" s="1"/>
      <c r="X21" s="1"/>
      <c r="Y21" s="1"/>
      <c r="Z21" s="1"/>
      <c r="AA21" s="1"/>
      <c r="AB21" s="1"/>
      <c r="AC21" s="1"/>
      <c r="AD21" s="1"/>
      <c r="AE21" s="1"/>
      <c r="AF21" s="1"/>
      <c r="AG21" s="1"/>
      <c r="AH21" s="1"/>
      <c r="AI21" s="1"/>
    </row>
    <row r="22" spans="1:35">
      <c r="A22" s="1"/>
      <c r="B22" s="126"/>
      <c r="C22" s="908" t="s">
        <v>414</v>
      </c>
      <c r="D22" s="529">
        <v>1.7680000000000001E-2</v>
      </c>
      <c r="E22" s="529">
        <v>8</v>
      </c>
      <c r="F22" s="909">
        <v>300</v>
      </c>
      <c r="G22" s="126"/>
      <c r="H22" s="2"/>
      <c r="I22" s="720"/>
      <c r="J22" s="2"/>
      <c r="K22" s="369"/>
      <c r="L22" s="1"/>
      <c r="M22" s="1"/>
      <c r="N22" s="1"/>
      <c r="O22" s="1"/>
      <c r="P22" s="1"/>
      <c r="Q22" s="1"/>
      <c r="R22" s="1"/>
      <c r="S22" s="1"/>
      <c r="T22" s="1"/>
      <c r="U22" s="1"/>
      <c r="V22" s="1"/>
      <c r="W22" s="1"/>
      <c r="X22" s="1"/>
      <c r="Y22" s="1"/>
      <c r="Z22" s="1"/>
      <c r="AA22" s="1"/>
      <c r="AB22" s="1"/>
      <c r="AC22" s="1"/>
      <c r="AD22" s="1"/>
      <c r="AE22" s="1"/>
      <c r="AF22" s="1"/>
      <c r="AG22" s="1"/>
      <c r="AH22" s="1"/>
      <c r="AI22" s="1"/>
    </row>
    <row r="23" spans="1:35" ht="15" thickBot="1">
      <c r="A23" s="1"/>
      <c r="B23" s="126"/>
      <c r="C23" s="910" t="s">
        <v>415</v>
      </c>
      <c r="D23" s="911">
        <v>1.3899999999999999E-2</v>
      </c>
      <c r="E23" s="911">
        <v>10</v>
      </c>
      <c r="F23" s="912">
        <v>400</v>
      </c>
      <c r="G23" s="126"/>
      <c r="H23" s="126"/>
      <c r="I23" s="126"/>
      <c r="J23" s="126"/>
      <c r="K23" s="369"/>
      <c r="L23" s="1"/>
      <c r="M23" s="1"/>
      <c r="N23" s="1"/>
      <c r="O23" s="1"/>
      <c r="P23" s="1"/>
      <c r="Q23" s="1"/>
      <c r="R23" s="1"/>
      <c r="S23" s="1"/>
      <c r="T23" s="1"/>
      <c r="U23" s="1"/>
      <c r="V23" s="1"/>
      <c r="W23" s="1"/>
      <c r="X23" s="1"/>
      <c r="Y23" s="1"/>
      <c r="Z23" s="1"/>
      <c r="AA23" s="1"/>
      <c r="AB23" s="1"/>
      <c r="AC23" s="1"/>
      <c r="AD23" s="1"/>
      <c r="AE23" s="1"/>
      <c r="AF23" s="1"/>
      <c r="AG23" s="1"/>
      <c r="AH23" s="1"/>
      <c r="AI23" s="1"/>
    </row>
    <row r="24" spans="1:35" ht="15" thickBot="1">
      <c r="A24" s="1"/>
      <c r="B24" s="126"/>
      <c r="C24" s="126"/>
      <c r="D24" s="126"/>
      <c r="E24" s="126"/>
      <c r="F24" s="126"/>
      <c r="G24" s="126"/>
      <c r="H24" s="126"/>
      <c r="I24" s="126"/>
      <c r="J24" s="126"/>
      <c r="K24" s="369"/>
      <c r="L24" s="1"/>
      <c r="M24" s="1"/>
      <c r="N24" s="1"/>
      <c r="O24" s="1"/>
      <c r="P24" s="1"/>
      <c r="Q24" s="1"/>
      <c r="R24" s="1"/>
      <c r="S24" s="1"/>
      <c r="T24" s="1"/>
      <c r="U24" s="1"/>
      <c r="V24" s="1"/>
      <c r="W24" s="1"/>
      <c r="X24" s="1"/>
      <c r="Y24" s="1"/>
      <c r="Z24" s="1"/>
      <c r="AA24" s="1"/>
      <c r="AB24" s="1"/>
      <c r="AC24" s="1"/>
      <c r="AD24" s="1"/>
      <c r="AE24" s="1"/>
      <c r="AF24" s="1"/>
      <c r="AG24" s="1"/>
      <c r="AH24" s="1"/>
      <c r="AI24" s="1"/>
    </row>
    <row r="25" spans="1:35" ht="15" thickBot="1">
      <c r="A25" s="1"/>
      <c r="B25" s="126"/>
      <c r="C25" s="548" t="s">
        <v>421</v>
      </c>
      <c r="D25" s="549">
        <f xml:space="preserve"> (PRODUCT(D17:F17)+ PRODUCT(D18:F18) + PRODUCT(D19:F19) + PRODUCT(D20:F20)+ PRODUCT(D21:F21)+PRODUCT(D22:F22)+PRODUCT(D23:F23))/(PRODUCT(E17:F17) + PRODUCT(E18:F18) + PRODUCT(E19:F19) + PRODUCT(E20:F20)+PRODUCT(E21:F21)+PRODUCT(E22:F22)+PRODUCT(E23:F23))</f>
        <v>2.1758250683779193E-2</v>
      </c>
      <c r="E25" s="550"/>
      <c r="F25" s="126"/>
      <c r="G25" s="126"/>
      <c r="H25" s="395"/>
      <c r="I25" s="395"/>
      <c r="J25" s="126"/>
      <c r="K25" s="369"/>
      <c r="L25" s="1"/>
      <c r="M25" s="1"/>
      <c r="N25" s="1"/>
      <c r="O25" s="1"/>
      <c r="P25" s="1"/>
      <c r="Q25" s="1"/>
      <c r="R25" s="1"/>
      <c r="S25" s="1"/>
      <c r="T25" s="1"/>
      <c r="U25" s="1"/>
      <c r="V25" s="1"/>
      <c r="W25" s="1"/>
      <c r="X25" s="1"/>
      <c r="Y25" s="1"/>
      <c r="Z25" s="1"/>
      <c r="AA25" s="1"/>
      <c r="AB25" s="1"/>
      <c r="AC25" s="1"/>
      <c r="AD25" s="1"/>
      <c r="AE25" s="1"/>
      <c r="AF25" s="1"/>
      <c r="AG25" s="1"/>
      <c r="AH25" s="1"/>
      <c r="AI25" s="1"/>
    </row>
    <row r="26" spans="1:35">
      <c r="A26" s="1"/>
      <c r="B26" s="126"/>
      <c r="C26" s="126"/>
      <c r="D26" s="126"/>
      <c r="E26" s="126"/>
      <c r="F26" s="126"/>
      <c r="G26" s="126"/>
      <c r="H26" s="126"/>
      <c r="I26" s="126"/>
      <c r="J26" s="126"/>
      <c r="K26" s="369"/>
      <c r="L26" s="1"/>
      <c r="M26" s="1"/>
      <c r="N26" s="1"/>
      <c r="O26" s="1"/>
      <c r="P26" s="1"/>
      <c r="Q26" s="1"/>
      <c r="R26" s="1"/>
      <c r="S26" s="1"/>
      <c r="T26" s="1"/>
      <c r="U26" s="1"/>
      <c r="V26" s="1"/>
      <c r="W26" s="1"/>
      <c r="X26" s="1"/>
      <c r="Y26" s="1"/>
      <c r="Z26" s="1"/>
      <c r="AA26" s="1"/>
      <c r="AB26" s="1"/>
      <c r="AC26" s="1"/>
      <c r="AD26" s="1"/>
      <c r="AE26" s="1"/>
      <c r="AF26" s="1"/>
      <c r="AG26" s="1"/>
      <c r="AH26" s="1"/>
      <c r="AI26" s="1"/>
    </row>
    <row r="27" spans="1:35" ht="15" thickBot="1">
      <c r="A27" s="1"/>
      <c r="B27" s="2"/>
      <c r="C27" s="126"/>
      <c r="D27" s="126"/>
      <c r="E27" s="126"/>
      <c r="F27" s="126"/>
      <c r="G27" s="126"/>
      <c r="H27" s="126"/>
      <c r="I27" s="126"/>
      <c r="J27" s="126"/>
      <c r="K27" s="369"/>
      <c r="L27" s="1"/>
      <c r="M27" s="1"/>
      <c r="N27" s="1"/>
      <c r="O27" s="1"/>
      <c r="P27" s="1"/>
      <c r="Q27" s="1"/>
      <c r="R27" s="1"/>
      <c r="S27" s="1"/>
      <c r="T27" s="1"/>
      <c r="U27" s="1"/>
      <c r="V27" s="1"/>
      <c r="W27" s="1"/>
      <c r="X27" s="1"/>
      <c r="Y27" s="1"/>
      <c r="Z27" s="1"/>
      <c r="AA27" s="1"/>
      <c r="AB27" s="1"/>
      <c r="AC27" s="1"/>
      <c r="AD27" s="1"/>
      <c r="AE27" s="1"/>
      <c r="AF27" s="1"/>
      <c r="AG27" s="1"/>
      <c r="AH27" s="1"/>
      <c r="AI27" s="1"/>
    </row>
    <row r="28" spans="1:35" ht="15" thickBot="1">
      <c r="A28" s="1"/>
      <c r="B28" s="551" t="s">
        <v>428</v>
      </c>
      <c r="C28" s="552"/>
      <c r="D28" s="514" t="s">
        <v>165</v>
      </c>
      <c r="E28" s="514" t="s">
        <v>429</v>
      </c>
      <c r="F28" s="514" t="s">
        <v>430</v>
      </c>
      <c r="G28" s="511" t="s">
        <v>431</v>
      </c>
      <c r="H28" s="126"/>
      <c r="I28" s="126"/>
      <c r="J28" s="126"/>
      <c r="K28" s="369"/>
      <c r="L28" s="1"/>
      <c r="M28" s="1"/>
      <c r="N28" s="1"/>
      <c r="O28" s="1"/>
      <c r="P28" s="1"/>
      <c r="Q28" s="1"/>
      <c r="R28" s="1"/>
      <c r="S28" s="1"/>
      <c r="T28" s="1"/>
      <c r="U28" s="1"/>
      <c r="V28" s="1"/>
      <c r="W28" s="1"/>
      <c r="X28" s="1"/>
      <c r="Y28" s="1"/>
      <c r="Z28" s="1"/>
      <c r="AA28" s="1"/>
      <c r="AB28" s="1"/>
      <c r="AC28" s="1"/>
      <c r="AD28" s="1"/>
      <c r="AE28" s="1"/>
      <c r="AF28" s="1"/>
      <c r="AG28" s="1"/>
      <c r="AH28" s="1"/>
      <c r="AI28" s="1"/>
    </row>
    <row r="29" spans="1:35">
      <c r="A29" s="1"/>
      <c r="B29" s="175" t="s">
        <v>432</v>
      </c>
      <c r="C29" s="2"/>
      <c r="D29" s="553">
        <v>3836.2650000000003</v>
      </c>
      <c r="E29" s="553">
        <v>0.52576026796023623</v>
      </c>
      <c r="F29" s="553">
        <v>0.41</v>
      </c>
      <c r="G29" s="554">
        <v>0.21556170986369683</v>
      </c>
      <c r="H29" s="126"/>
      <c r="I29" s="126"/>
      <c r="J29" s="126"/>
      <c r="K29" s="369"/>
      <c r="L29" s="1"/>
      <c r="M29" s="1"/>
      <c r="N29" s="1"/>
      <c r="O29" s="1"/>
      <c r="P29" s="1"/>
      <c r="Q29" s="1"/>
      <c r="R29" s="1"/>
      <c r="S29" s="1"/>
      <c r="T29" s="1"/>
      <c r="U29" s="1"/>
      <c r="V29" s="1"/>
      <c r="W29" s="1"/>
      <c r="X29" s="1"/>
      <c r="Y29" s="1"/>
      <c r="Z29" s="1"/>
      <c r="AA29" s="1"/>
      <c r="AB29" s="1"/>
      <c r="AC29" s="1"/>
      <c r="AD29" s="1"/>
      <c r="AE29" s="1"/>
      <c r="AF29" s="1"/>
      <c r="AG29" s="1"/>
      <c r="AH29" s="1"/>
      <c r="AI29" s="1"/>
    </row>
    <row r="30" spans="1:35">
      <c r="A30" s="1"/>
      <c r="B30" s="175" t="s">
        <v>433</v>
      </c>
      <c r="C30" s="2"/>
      <c r="D30" s="553">
        <v>49.814999999999998</v>
      </c>
      <c r="E30" s="553">
        <v>6.8271476940303041E-3</v>
      </c>
      <c r="F30" s="553">
        <v>0.28999999999999998</v>
      </c>
      <c r="G30" s="554">
        <v>1.9798728312687879E-3</v>
      </c>
      <c r="H30" s="126"/>
      <c r="I30" s="126"/>
      <c r="J30" s="126"/>
      <c r="K30" s="369"/>
      <c r="L30" s="1"/>
      <c r="M30" s="1"/>
      <c r="N30" s="1"/>
      <c r="O30" s="1"/>
      <c r="P30" s="1"/>
      <c r="Q30" s="1"/>
      <c r="R30" s="1"/>
      <c r="S30" s="1"/>
      <c r="T30" s="1"/>
      <c r="U30" s="1"/>
      <c r="V30" s="1"/>
      <c r="W30" s="1"/>
      <c r="X30" s="1"/>
      <c r="Y30" s="1"/>
      <c r="Z30" s="1"/>
      <c r="AA30" s="1"/>
      <c r="AB30" s="1"/>
      <c r="AC30" s="1"/>
      <c r="AD30" s="1"/>
      <c r="AE30" s="1"/>
      <c r="AF30" s="1"/>
      <c r="AG30" s="1"/>
      <c r="AH30" s="1"/>
      <c r="AI30" s="1"/>
    </row>
    <row r="31" spans="1:35">
      <c r="A31" s="1"/>
      <c r="B31" s="175" t="s">
        <v>434</v>
      </c>
      <c r="C31" s="2"/>
      <c r="D31" s="553">
        <v>1278.7550000000001</v>
      </c>
      <c r="E31" s="553">
        <v>0.17525342265341209</v>
      </c>
      <c r="F31" s="553">
        <v>0.6</v>
      </c>
      <c r="G31" s="554">
        <v>0.10515205359204725</v>
      </c>
      <c r="H31" s="126"/>
      <c r="I31" s="126"/>
      <c r="J31" s="126"/>
      <c r="K31" s="369"/>
      <c r="L31" s="1"/>
      <c r="M31" s="1"/>
      <c r="N31" s="1"/>
      <c r="O31" s="1"/>
      <c r="P31" s="1"/>
      <c r="Q31" s="1"/>
      <c r="R31" s="1"/>
      <c r="S31" s="1"/>
      <c r="T31" s="1"/>
      <c r="U31" s="1"/>
      <c r="V31" s="1"/>
      <c r="W31" s="1"/>
      <c r="X31" s="1"/>
      <c r="Y31" s="1"/>
      <c r="Z31" s="1"/>
      <c r="AA31" s="1"/>
      <c r="AB31" s="1"/>
      <c r="AC31" s="1"/>
      <c r="AD31" s="1"/>
      <c r="AE31" s="1"/>
      <c r="AF31" s="1"/>
      <c r="AG31" s="1"/>
      <c r="AH31" s="1"/>
      <c r="AI31" s="1"/>
    </row>
    <row r="32" spans="1:35">
      <c r="A32" s="1"/>
      <c r="B32" s="175" t="s">
        <v>435</v>
      </c>
      <c r="C32" s="2"/>
      <c r="D32" s="553">
        <v>903</v>
      </c>
      <c r="E32" s="553">
        <v>0.12375618523957373</v>
      </c>
      <c r="F32" s="553">
        <v>0.8</v>
      </c>
      <c r="G32" s="554">
        <v>9.900494819165899E-2</v>
      </c>
      <c r="H32" s="126"/>
      <c r="I32" s="126"/>
      <c r="J32" s="126"/>
      <c r="K32" s="369"/>
      <c r="L32" s="1"/>
      <c r="M32" s="1"/>
      <c r="N32" s="1"/>
      <c r="O32" s="1"/>
      <c r="P32" s="1"/>
      <c r="Q32" s="1"/>
      <c r="R32" s="1"/>
      <c r="S32" s="1"/>
      <c r="T32" s="1"/>
      <c r="U32" s="1"/>
      <c r="V32" s="1"/>
      <c r="W32" s="1"/>
      <c r="X32" s="1"/>
      <c r="Y32" s="1"/>
      <c r="Z32" s="1"/>
      <c r="AA32" s="1"/>
      <c r="AB32" s="1"/>
      <c r="AC32" s="1"/>
      <c r="AD32" s="1"/>
      <c r="AE32" s="1"/>
      <c r="AF32" s="1"/>
      <c r="AG32" s="1"/>
      <c r="AH32" s="1"/>
      <c r="AI32" s="1"/>
    </row>
    <row r="33" spans="1:35">
      <c r="A33" s="1"/>
      <c r="B33" s="175"/>
      <c r="C33" s="2"/>
      <c r="D33" s="553"/>
      <c r="E33" s="553"/>
      <c r="F33" s="553"/>
      <c r="G33" s="554">
        <v>0</v>
      </c>
      <c r="H33" s="126"/>
      <c r="I33" s="126"/>
      <c r="J33" s="126"/>
      <c r="K33" s="369"/>
      <c r="L33" s="1"/>
      <c r="M33" s="1"/>
      <c r="N33" s="1"/>
      <c r="O33" s="1"/>
      <c r="P33" s="1"/>
      <c r="Q33" s="1"/>
      <c r="R33" s="1"/>
      <c r="S33" s="1"/>
      <c r="T33" s="1"/>
      <c r="U33" s="1"/>
      <c r="V33" s="1"/>
      <c r="W33" s="1"/>
      <c r="X33" s="1"/>
      <c r="Y33" s="1"/>
      <c r="Z33" s="1"/>
      <c r="AA33" s="1"/>
      <c r="AB33" s="1"/>
      <c r="AC33" s="1"/>
      <c r="AD33" s="1"/>
      <c r="AE33" s="1"/>
      <c r="AF33" s="1"/>
      <c r="AG33" s="1"/>
      <c r="AH33" s="1"/>
      <c r="AI33" s="1"/>
    </row>
    <row r="34" spans="1:35">
      <c r="A34" s="1"/>
      <c r="B34" s="175" t="s">
        <v>436</v>
      </c>
      <c r="C34" s="2"/>
      <c r="D34" s="553">
        <v>1228.77</v>
      </c>
      <c r="E34" s="553">
        <v>0.16840297645274752</v>
      </c>
      <c r="F34" s="553">
        <v>0.74</v>
      </c>
      <c r="G34" s="554">
        <v>0.12461820257503316</v>
      </c>
      <c r="H34" s="126"/>
      <c r="I34" s="126"/>
      <c r="J34" s="126"/>
      <c r="K34" s="369"/>
      <c r="L34" s="1"/>
      <c r="M34" s="1"/>
      <c r="N34" s="1"/>
      <c r="O34" s="1"/>
      <c r="P34" s="1"/>
      <c r="Q34" s="1"/>
      <c r="R34" s="1"/>
      <c r="S34" s="1"/>
      <c r="T34" s="1"/>
      <c r="U34" s="1"/>
      <c r="V34" s="1"/>
      <c r="W34" s="1"/>
      <c r="X34" s="1"/>
      <c r="Y34" s="1"/>
      <c r="Z34" s="1"/>
      <c r="AA34" s="1"/>
      <c r="AB34" s="1"/>
      <c r="AC34" s="1"/>
      <c r="AD34" s="1"/>
      <c r="AE34" s="1"/>
      <c r="AF34" s="1"/>
      <c r="AG34" s="1"/>
      <c r="AH34" s="1"/>
      <c r="AI34" s="1"/>
    </row>
    <row r="35" spans="1:35" ht="15" thickBot="1">
      <c r="A35" s="1"/>
      <c r="B35" s="175" t="s">
        <v>437</v>
      </c>
      <c r="C35" s="2"/>
      <c r="D35" s="553"/>
      <c r="E35" s="553">
        <v>0</v>
      </c>
      <c r="F35" s="553">
        <v>0.91</v>
      </c>
      <c r="G35" s="554">
        <v>0</v>
      </c>
      <c r="H35" s="126"/>
      <c r="I35" s="126"/>
      <c r="J35" s="126"/>
      <c r="K35" s="369"/>
      <c r="L35" s="1"/>
      <c r="M35" s="1"/>
      <c r="N35" s="1"/>
      <c r="O35" s="1"/>
      <c r="P35" s="1"/>
      <c r="Q35" s="1"/>
      <c r="R35" s="1"/>
      <c r="S35" s="1"/>
      <c r="T35" s="1"/>
      <c r="U35" s="1"/>
      <c r="V35" s="1"/>
      <c r="W35" s="1"/>
      <c r="X35" s="1"/>
      <c r="Y35" s="1"/>
      <c r="Z35" s="1"/>
      <c r="AA35" s="1"/>
      <c r="AB35" s="1"/>
      <c r="AC35" s="1"/>
      <c r="AD35" s="1"/>
      <c r="AE35" s="1"/>
      <c r="AF35" s="1"/>
      <c r="AG35" s="1"/>
      <c r="AH35" s="1"/>
      <c r="AI35" s="1"/>
    </row>
    <row r="36" spans="1:35" ht="15" thickBot="1">
      <c r="A36" s="1"/>
      <c r="B36" s="555" t="s">
        <v>438</v>
      </c>
      <c r="C36" s="556"/>
      <c r="D36" s="546">
        <v>7296.6050000000014</v>
      </c>
      <c r="E36" s="546">
        <v>0.99999999999999989</v>
      </c>
      <c r="F36" s="546"/>
      <c r="G36" s="557">
        <v>0.54631678705370501</v>
      </c>
      <c r="H36" s="126"/>
      <c r="I36" s="126"/>
      <c r="J36" s="126"/>
      <c r="K36" s="369"/>
      <c r="L36" s="1"/>
      <c r="M36" s="1"/>
      <c r="N36" s="1"/>
      <c r="O36" s="1"/>
      <c r="P36" s="1"/>
      <c r="Q36" s="1"/>
      <c r="R36" s="1"/>
      <c r="S36" s="1"/>
      <c r="T36" s="1"/>
      <c r="U36" s="1"/>
      <c r="V36" s="1"/>
      <c r="W36" s="1"/>
      <c r="X36" s="1"/>
      <c r="Y36" s="1"/>
      <c r="Z36" s="1"/>
      <c r="AA36" s="1"/>
      <c r="AB36" s="1"/>
      <c r="AC36" s="1"/>
      <c r="AD36" s="1"/>
      <c r="AE36" s="1"/>
      <c r="AF36" s="1"/>
      <c r="AG36" s="1"/>
      <c r="AH36" s="1"/>
      <c r="AI36" s="1"/>
    </row>
    <row r="37" spans="1:35" ht="15" thickBot="1">
      <c r="A37" s="1"/>
      <c r="B37" s="126"/>
      <c r="C37" s="126"/>
      <c r="D37" s="126"/>
      <c r="E37" s="126"/>
      <c r="F37" s="126"/>
      <c r="G37" s="126"/>
      <c r="H37" s="126"/>
      <c r="I37" s="126"/>
      <c r="J37" s="126"/>
      <c r="K37" s="369"/>
      <c r="L37" s="1"/>
      <c r="M37" s="1"/>
      <c r="N37" s="1"/>
      <c r="O37" s="1"/>
      <c r="P37" s="1"/>
      <c r="Q37" s="1"/>
      <c r="R37" s="1"/>
      <c r="S37" s="1"/>
      <c r="T37" s="1"/>
      <c r="U37" s="1"/>
      <c r="V37" s="1"/>
      <c r="W37" s="1"/>
      <c r="X37" s="1"/>
      <c r="Y37" s="1"/>
      <c r="Z37" s="1"/>
      <c r="AA37" s="1"/>
      <c r="AB37" s="1"/>
      <c r="AC37" s="1"/>
      <c r="AD37" s="1"/>
      <c r="AE37" s="1"/>
      <c r="AF37" s="1"/>
      <c r="AG37" s="1"/>
      <c r="AH37" s="1"/>
      <c r="AI37" s="1"/>
    </row>
    <row r="38" spans="1:35" ht="15" thickBot="1">
      <c r="A38" s="1"/>
      <c r="B38" s="514" t="s">
        <v>458</v>
      </c>
      <c r="C38" s="558">
        <v>43830</v>
      </c>
      <c r="D38" s="511" t="s">
        <v>459</v>
      </c>
      <c r="E38" s="126"/>
      <c r="F38" s="126"/>
      <c r="G38" s="126"/>
      <c r="H38" s="126"/>
      <c r="I38" s="126"/>
      <c r="J38" s="126"/>
      <c r="K38" s="369"/>
      <c r="L38" s="1"/>
      <c r="M38" s="1"/>
      <c r="N38" s="1"/>
      <c r="O38" s="1"/>
      <c r="P38" s="1"/>
      <c r="Q38" s="1"/>
      <c r="R38" s="1"/>
      <c r="S38" s="1"/>
      <c r="T38" s="1"/>
      <c r="U38" s="1"/>
      <c r="V38" s="1"/>
      <c r="W38" s="1"/>
      <c r="X38" s="1"/>
      <c r="Y38" s="1"/>
      <c r="Z38" s="1"/>
      <c r="AA38" s="1"/>
      <c r="AB38" s="1"/>
      <c r="AC38" s="1"/>
      <c r="AD38" s="1"/>
      <c r="AE38" s="1"/>
      <c r="AF38" s="1"/>
      <c r="AG38" s="1"/>
      <c r="AH38" s="1"/>
      <c r="AI38" s="1"/>
    </row>
    <row r="39" spans="1:35">
      <c r="A39" s="1"/>
      <c r="B39" s="553" t="s">
        <v>460</v>
      </c>
      <c r="C39" s="553">
        <v>0.54631678705370501</v>
      </c>
      <c r="D39" s="554">
        <v>0.54631678705370501</v>
      </c>
      <c r="E39" s="126"/>
      <c r="F39" s="126"/>
      <c r="G39" s="126"/>
      <c r="H39" s="126"/>
      <c r="I39" s="126"/>
      <c r="J39" s="126"/>
      <c r="K39" s="369"/>
      <c r="L39" s="1"/>
      <c r="M39" s="1"/>
      <c r="N39" s="1"/>
      <c r="O39" s="1"/>
      <c r="P39" s="1"/>
      <c r="Q39" s="1"/>
      <c r="R39" s="1"/>
      <c r="S39" s="1"/>
      <c r="T39" s="1"/>
      <c r="U39" s="1"/>
      <c r="V39" s="1"/>
      <c r="W39" s="1"/>
      <c r="X39" s="1"/>
      <c r="Y39" s="1"/>
      <c r="Z39" s="1"/>
      <c r="AA39" s="1"/>
      <c r="AB39" s="1"/>
      <c r="AC39" s="1"/>
      <c r="AD39" s="1"/>
      <c r="AE39" s="1"/>
      <c r="AF39" s="1"/>
      <c r="AG39" s="1"/>
      <c r="AH39" s="1"/>
      <c r="AI39" s="1"/>
    </row>
    <row r="40" spans="1:35">
      <c r="A40" s="1"/>
      <c r="B40" s="553" t="s">
        <v>461</v>
      </c>
      <c r="C40" s="553">
        <f>E8/E6</f>
        <v>0.98904409750753219</v>
      </c>
      <c r="D40" s="554">
        <f>F8/F6</f>
        <v>0.96396155899626268</v>
      </c>
      <c r="E40" s="126"/>
      <c r="F40" s="126"/>
      <c r="G40" s="126"/>
      <c r="H40" s="126"/>
      <c r="I40" s="126"/>
      <c r="J40" s="126"/>
      <c r="K40" s="369"/>
      <c r="L40" s="1"/>
      <c r="M40" s="1"/>
      <c r="N40" s="1"/>
      <c r="O40" s="1"/>
      <c r="P40" s="1"/>
      <c r="Q40" s="1"/>
      <c r="R40" s="1"/>
      <c r="S40" s="1"/>
      <c r="T40" s="1"/>
      <c r="U40" s="1"/>
      <c r="V40" s="1"/>
      <c r="W40" s="1"/>
      <c r="X40" s="1"/>
      <c r="Y40" s="1"/>
      <c r="Z40" s="1"/>
      <c r="AA40" s="1"/>
      <c r="AB40" s="1"/>
      <c r="AC40" s="1"/>
      <c r="AD40" s="1"/>
      <c r="AE40" s="1"/>
      <c r="AF40" s="1"/>
      <c r="AG40" s="1"/>
      <c r="AH40" s="1"/>
      <c r="AI40" s="1"/>
    </row>
    <row r="41" spans="1:35">
      <c r="A41" s="1"/>
      <c r="B41" s="553" t="s">
        <v>462</v>
      </c>
      <c r="C41" s="553">
        <f>E9/E7</f>
        <v>0.76207876573284616</v>
      </c>
      <c r="D41" s="554">
        <f>F9/F7</f>
        <v>1.0780275048120904</v>
      </c>
      <c r="E41" s="126"/>
      <c r="F41" s="126"/>
      <c r="G41" s="126"/>
      <c r="H41" s="126"/>
      <c r="I41" s="126"/>
      <c r="J41" s="126"/>
      <c r="K41" s="369"/>
      <c r="L41" s="1"/>
      <c r="M41" s="1"/>
      <c r="N41" s="1"/>
      <c r="O41" s="1"/>
      <c r="P41" s="1"/>
      <c r="Q41" s="1"/>
      <c r="R41" s="1"/>
      <c r="S41" s="1"/>
      <c r="T41" s="1"/>
      <c r="U41" s="1"/>
      <c r="V41" s="1"/>
      <c r="W41" s="1"/>
      <c r="X41" s="1"/>
      <c r="Y41" s="1"/>
      <c r="Z41" s="1"/>
      <c r="AA41" s="1"/>
      <c r="AB41" s="1"/>
      <c r="AC41" s="1"/>
      <c r="AD41" s="1"/>
      <c r="AE41" s="1"/>
      <c r="AF41" s="1"/>
      <c r="AG41" s="1"/>
      <c r="AH41" s="1"/>
      <c r="AI41" s="1"/>
    </row>
    <row r="42" spans="1:35">
      <c r="A42" s="1"/>
      <c r="B42" s="553" t="s">
        <v>463</v>
      </c>
      <c r="C42" s="553">
        <v>0.27900000000000003</v>
      </c>
      <c r="D42" s="554">
        <v>0.27900000000000003</v>
      </c>
      <c r="E42" s="126"/>
      <c r="F42" s="126"/>
      <c r="G42" s="126"/>
      <c r="H42" s="126"/>
      <c r="I42" s="126"/>
      <c r="J42" s="126"/>
      <c r="K42" s="369"/>
      <c r="L42" s="1"/>
      <c r="M42" s="1"/>
      <c r="N42" s="1"/>
      <c r="O42" s="1"/>
      <c r="P42" s="1"/>
      <c r="Q42" s="1"/>
      <c r="R42" s="1"/>
      <c r="S42" s="1"/>
      <c r="T42" s="1"/>
      <c r="U42" s="1"/>
      <c r="V42" s="1"/>
      <c r="W42" s="1"/>
      <c r="X42" s="1"/>
      <c r="Y42" s="1"/>
      <c r="Z42" s="1"/>
      <c r="AA42" s="1"/>
      <c r="AB42" s="1"/>
      <c r="AC42" s="1"/>
      <c r="AD42" s="1"/>
      <c r="AE42" s="1"/>
      <c r="AF42" s="1"/>
      <c r="AG42" s="1"/>
      <c r="AH42" s="1"/>
      <c r="AI42" s="1"/>
    </row>
    <row r="43" spans="1:35">
      <c r="A43" s="1"/>
      <c r="B43" s="553" t="s">
        <v>464</v>
      </c>
      <c r="C43" s="553">
        <f>PRODUCT(C39,1+PRODUCT(1-C42,C40))</f>
        <v>0.93589572184272718</v>
      </c>
      <c r="D43" s="554">
        <f>PRODUCT(C39,1+PRODUCT(1-C42,D40))</f>
        <v>0.9260158502984247</v>
      </c>
      <c r="E43" s="126"/>
      <c r="F43" s="126"/>
      <c r="G43" s="126"/>
      <c r="H43" s="2"/>
      <c r="I43" s="2"/>
      <c r="J43" s="2"/>
      <c r="K43" s="369"/>
      <c r="L43" s="52"/>
      <c r="M43" s="52"/>
      <c r="N43" s="52"/>
      <c r="O43" s="1"/>
      <c r="P43" s="1"/>
      <c r="Q43" s="1"/>
      <c r="R43" s="1"/>
      <c r="S43" s="1"/>
      <c r="T43" s="1"/>
      <c r="U43" s="1"/>
      <c r="V43" s="1"/>
      <c r="W43" s="1"/>
      <c r="X43" s="1"/>
      <c r="Y43" s="1"/>
      <c r="Z43" s="1"/>
      <c r="AA43" s="1"/>
      <c r="AB43" s="1"/>
      <c r="AC43" s="1"/>
      <c r="AD43" s="1"/>
      <c r="AE43" s="1"/>
      <c r="AF43" s="1"/>
      <c r="AG43" s="1"/>
      <c r="AH43" s="1"/>
      <c r="AI43" s="1"/>
    </row>
    <row r="44" spans="1:35" ht="15" thickBot="1">
      <c r="A44" s="1"/>
      <c r="B44" s="559" t="s">
        <v>465</v>
      </c>
      <c r="C44" s="559">
        <f>PRODUCT(C39,1+PRODUCT(1-C42,C41))</f>
        <v>0.84649534787593761</v>
      </c>
      <c r="D44" s="560">
        <f>PRODUCT(C39,1+PRODUCT(1-C42,D41))</f>
        <v>0.97094578798130338</v>
      </c>
      <c r="E44" s="126"/>
      <c r="F44" s="126"/>
      <c r="G44" s="126"/>
      <c r="H44" s="2"/>
      <c r="I44" s="2"/>
      <c r="J44" s="2"/>
      <c r="K44" s="369"/>
      <c r="L44" s="52"/>
      <c r="M44" s="52"/>
      <c r="N44" s="52"/>
      <c r="O44" s="1"/>
      <c r="P44" s="1"/>
      <c r="Q44" s="1"/>
      <c r="R44" s="1"/>
      <c r="S44" s="1"/>
      <c r="T44" s="1"/>
      <c r="U44" s="1"/>
      <c r="V44" s="1"/>
      <c r="W44" s="1"/>
      <c r="X44" s="1"/>
      <c r="Y44" s="1"/>
      <c r="Z44" s="1"/>
      <c r="AA44" s="1"/>
      <c r="AB44" s="1"/>
      <c r="AC44" s="1"/>
      <c r="AD44" s="1"/>
      <c r="AE44" s="1"/>
      <c r="AF44" s="1"/>
      <c r="AG44" s="1"/>
      <c r="AH44" s="1"/>
      <c r="AI44" s="1"/>
    </row>
    <row r="45" spans="1:35">
      <c r="A45" s="1"/>
      <c r="B45" s="126"/>
      <c r="C45" s="126"/>
      <c r="D45" s="126"/>
      <c r="E45" s="126"/>
      <c r="F45" s="126"/>
      <c r="G45" s="126"/>
      <c r="H45" s="2"/>
      <c r="I45" s="2"/>
      <c r="J45" s="2"/>
      <c r="K45" s="369"/>
      <c r="L45" s="52"/>
      <c r="M45" s="52"/>
      <c r="N45" s="52"/>
      <c r="O45" s="1"/>
      <c r="P45" s="1"/>
      <c r="Q45" s="1"/>
      <c r="R45" s="1"/>
      <c r="S45" s="1"/>
      <c r="T45" s="1"/>
      <c r="U45" s="1"/>
      <c r="V45" s="1"/>
      <c r="W45" s="1"/>
      <c r="X45" s="1"/>
      <c r="Y45" s="1"/>
      <c r="Z45" s="1"/>
      <c r="AA45" s="1"/>
      <c r="AB45" s="1"/>
      <c r="AC45" s="1"/>
      <c r="AD45" s="1"/>
      <c r="AE45" s="1"/>
      <c r="AF45" s="1"/>
      <c r="AG45" s="1"/>
      <c r="AH45" s="1"/>
      <c r="AI45" s="1"/>
    </row>
    <row r="46" spans="1:35" ht="15" thickBot="1">
      <c r="A46" s="1"/>
      <c r="B46" s="126"/>
      <c r="C46" s="126"/>
      <c r="D46" s="126"/>
      <c r="E46" s="126"/>
      <c r="F46" s="126"/>
      <c r="G46" s="126"/>
      <c r="H46" s="2"/>
      <c r="I46" s="2"/>
      <c r="J46" s="2"/>
      <c r="K46" s="369"/>
      <c r="L46" s="52"/>
      <c r="M46" s="52"/>
      <c r="N46" s="52"/>
      <c r="O46" s="1"/>
      <c r="P46" s="1"/>
      <c r="Q46" s="1"/>
      <c r="R46" s="1"/>
      <c r="S46" s="1"/>
      <c r="T46" s="1"/>
      <c r="U46" s="1"/>
      <c r="V46" s="1"/>
      <c r="W46" s="1"/>
      <c r="X46" s="1"/>
      <c r="Y46" s="1"/>
      <c r="Z46" s="1"/>
      <c r="AA46" s="1"/>
      <c r="AB46" s="1"/>
      <c r="AC46" s="1"/>
      <c r="AD46" s="1"/>
      <c r="AE46" s="1"/>
      <c r="AF46" s="1"/>
      <c r="AG46" s="1"/>
      <c r="AH46" s="1"/>
      <c r="AI46" s="1"/>
    </row>
    <row r="47" spans="1:35" ht="15" thickBot="1">
      <c r="A47" s="1"/>
      <c r="B47" s="561" t="s">
        <v>542</v>
      </c>
      <c r="C47" s="562"/>
      <c r="D47" s="562"/>
      <c r="E47" s="562"/>
      <c r="F47" s="562"/>
      <c r="G47" s="562"/>
      <c r="H47" s="175"/>
      <c r="I47" s="398"/>
      <c r="J47" s="398"/>
      <c r="K47" s="369"/>
      <c r="L47" s="52"/>
      <c r="M47" s="52"/>
      <c r="N47" s="52"/>
      <c r="O47" s="1"/>
      <c r="P47" s="1"/>
      <c r="Q47" s="1"/>
      <c r="R47" s="1"/>
      <c r="S47" s="1"/>
      <c r="T47" s="1"/>
      <c r="U47" s="1"/>
      <c r="V47" s="1"/>
      <c r="W47" s="1"/>
      <c r="X47" s="1"/>
      <c r="Y47" s="1"/>
      <c r="Z47" s="1"/>
      <c r="AA47" s="1"/>
      <c r="AB47" s="1"/>
      <c r="AC47" s="1"/>
      <c r="AD47" s="1"/>
      <c r="AE47" s="1"/>
      <c r="AF47" s="1"/>
      <c r="AG47" s="1"/>
      <c r="AH47" s="1"/>
      <c r="AI47" s="1"/>
    </row>
    <row r="48" spans="1:35">
      <c r="A48" s="1"/>
      <c r="B48" s="563" t="s">
        <v>379</v>
      </c>
      <c r="C48" s="564"/>
      <c r="D48" s="563" t="s">
        <v>380</v>
      </c>
      <c r="E48" s="564"/>
      <c r="F48" s="563" t="s">
        <v>381</v>
      </c>
      <c r="G48" s="718"/>
      <c r="H48" s="175"/>
      <c r="I48" s="2"/>
      <c r="J48" s="2"/>
      <c r="K48" s="369"/>
      <c r="L48" s="52"/>
      <c r="M48" s="52"/>
      <c r="N48" s="52"/>
      <c r="O48" s="1"/>
      <c r="P48" s="1"/>
      <c r="Q48" s="1"/>
      <c r="R48" s="1"/>
      <c r="S48" s="1"/>
      <c r="T48" s="1"/>
      <c r="U48" s="1"/>
      <c r="V48" s="1"/>
      <c r="W48" s="1"/>
      <c r="X48" s="1"/>
      <c r="Y48" s="1"/>
      <c r="Z48" s="1"/>
      <c r="AA48" s="1"/>
      <c r="AB48" s="1"/>
      <c r="AC48" s="1"/>
      <c r="AD48" s="1"/>
      <c r="AE48" s="1"/>
      <c r="AF48" s="1"/>
      <c r="AG48" s="1"/>
      <c r="AH48" s="1"/>
      <c r="AI48" s="1"/>
    </row>
    <row r="49" spans="1:35">
      <c r="A49" s="1"/>
      <c r="B49" s="175" t="s">
        <v>382</v>
      </c>
      <c r="C49" s="368">
        <v>3.1552387285036501E-3</v>
      </c>
      <c r="D49" s="175" t="s">
        <v>383</v>
      </c>
      <c r="E49" s="566">
        <f>C49</f>
        <v>3.1552387285036501E-3</v>
      </c>
      <c r="F49" s="175"/>
      <c r="G49" s="2"/>
      <c r="H49" s="175"/>
      <c r="I49" s="2"/>
      <c r="J49" s="2"/>
      <c r="K49" s="369"/>
      <c r="L49" s="52"/>
      <c r="M49" s="52"/>
      <c r="N49" s="52"/>
      <c r="O49" s="1"/>
      <c r="P49" s="1"/>
      <c r="Q49" s="1"/>
      <c r="R49" s="1"/>
      <c r="S49" s="1"/>
      <c r="T49" s="1"/>
      <c r="U49" s="1"/>
      <c r="V49" s="1"/>
      <c r="W49" s="1"/>
      <c r="X49" s="1"/>
      <c r="Y49" s="1"/>
      <c r="Z49" s="1"/>
      <c r="AA49" s="1"/>
      <c r="AB49" s="1"/>
      <c r="AC49" s="1"/>
      <c r="AD49" s="1"/>
      <c r="AE49" s="1"/>
      <c r="AF49" s="1"/>
      <c r="AG49" s="1"/>
      <c r="AH49" s="1"/>
      <c r="AI49" s="1"/>
    </row>
    <row r="50" spans="1:35">
      <c r="A50" s="1"/>
      <c r="B50" s="567" t="s">
        <v>384</v>
      </c>
      <c r="C50" s="568">
        <v>1.4999999999999999E-2</v>
      </c>
      <c r="D50" s="567" t="s">
        <v>385</v>
      </c>
      <c r="E50" s="568">
        <v>1.4999999999999999E-2</v>
      </c>
      <c r="F50" s="569" t="s">
        <v>418</v>
      </c>
      <c r="G50" s="719">
        <f>D25</f>
        <v>2.1758250683779193E-2</v>
      </c>
      <c r="H50" s="175"/>
      <c r="I50" s="2"/>
      <c r="J50" s="720"/>
      <c r="K50" s="369"/>
      <c r="L50" s="52"/>
      <c r="M50" s="52"/>
      <c r="N50" s="52"/>
      <c r="O50" s="1"/>
      <c r="P50" s="1"/>
      <c r="Q50" s="1"/>
      <c r="R50" s="1"/>
      <c r="S50" s="1"/>
      <c r="T50" s="1"/>
      <c r="U50" s="1"/>
      <c r="V50" s="1"/>
      <c r="W50" s="1"/>
      <c r="X50" s="1"/>
      <c r="Y50" s="1"/>
      <c r="Z50" s="1"/>
      <c r="AA50" s="1"/>
      <c r="AB50" s="1"/>
      <c r="AC50" s="1"/>
      <c r="AD50" s="1"/>
      <c r="AE50" s="1"/>
      <c r="AF50" s="1"/>
      <c r="AG50" s="1"/>
      <c r="AH50" s="1"/>
      <c r="AI50" s="1"/>
    </row>
    <row r="51" spans="1:35">
      <c r="A51" s="1"/>
      <c r="B51" s="291" t="s">
        <v>386</v>
      </c>
      <c r="C51" s="566">
        <f>SUM(C49:C50)</f>
        <v>1.815523872850365E-2</v>
      </c>
      <c r="D51" s="570" t="s">
        <v>386</v>
      </c>
      <c r="E51" s="566">
        <f>SUM(E49:E50)</f>
        <v>1.815523872850365E-2</v>
      </c>
      <c r="F51" s="175"/>
      <c r="G51" s="2"/>
      <c r="H51" s="175"/>
      <c r="I51" s="2"/>
      <c r="J51" s="720"/>
      <c r="K51" s="369"/>
      <c r="L51" s="52"/>
      <c r="M51" s="52"/>
      <c r="N51" s="52"/>
      <c r="O51" s="1"/>
      <c r="P51" s="1"/>
      <c r="Q51" s="1"/>
      <c r="R51" s="1"/>
      <c r="S51" s="1"/>
      <c r="T51" s="1"/>
      <c r="U51" s="1"/>
      <c r="V51" s="1"/>
      <c r="W51" s="1"/>
      <c r="X51" s="1"/>
      <c r="Y51" s="1"/>
      <c r="Z51" s="1"/>
      <c r="AA51" s="1"/>
      <c r="AB51" s="1"/>
      <c r="AC51" s="1"/>
      <c r="AD51" s="1"/>
      <c r="AE51" s="1"/>
      <c r="AF51" s="1"/>
      <c r="AG51" s="1"/>
      <c r="AH51" s="1"/>
      <c r="AI51" s="1"/>
    </row>
    <row r="52" spans="1:35">
      <c r="A52" s="1"/>
      <c r="B52" s="567" t="s">
        <v>387</v>
      </c>
      <c r="C52" s="568">
        <v>0.27900000000000003</v>
      </c>
      <c r="D52" s="567" t="s">
        <v>387</v>
      </c>
      <c r="E52" s="568">
        <v>0.27900000000000003</v>
      </c>
      <c r="F52" s="567" t="s">
        <v>387</v>
      </c>
      <c r="G52" s="719">
        <v>0.27900000000000003</v>
      </c>
      <c r="H52" s="175"/>
      <c r="I52" s="2"/>
      <c r="J52" s="720"/>
      <c r="K52" s="369"/>
      <c r="L52" s="52"/>
      <c r="M52" s="52"/>
      <c r="N52" s="52"/>
      <c r="O52" s="1"/>
      <c r="P52" s="1"/>
      <c r="Q52" s="1"/>
      <c r="R52" s="1"/>
      <c r="S52" s="1"/>
      <c r="T52" s="1"/>
      <c r="U52" s="1"/>
      <c r="V52" s="1"/>
      <c r="W52" s="1"/>
      <c r="X52" s="1"/>
      <c r="Y52" s="1"/>
      <c r="Z52" s="1"/>
      <c r="AA52" s="1"/>
      <c r="AB52" s="1"/>
      <c r="AC52" s="1"/>
      <c r="AD52" s="1"/>
      <c r="AE52" s="1"/>
      <c r="AF52" s="1"/>
      <c r="AG52" s="1"/>
      <c r="AH52" s="1"/>
      <c r="AI52" s="1"/>
    </row>
    <row r="53" spans="1:35">
      <c r="A53" s="1"/>
      <c r="B53" s="291" t="s">
        <v>388</v>
      </c>
      <c r="C53" s="368">
        <f>PRODUCT(C51,(1-C52))</f>
        <v>1.3089927123251131E-2</v>
      </c>
      <c r="D53" s="291" t="s">
        <v>388</v>
      </c>
      <c r="E53" s="368">
        <f>PRODUCT(E51,(1-E52))</f>
        <v>1.3089927123251131E-2</v>
      </c>
      <c r="F53" s="291" t="s">
        <v>389</v>
      </c>
      <c r="G53" s="639">
        <f>PRODUCT(G50,(1-G52))</f>
        <v>1.5687698743004796E-2</v>
      </c>
      <c r="H53" s="175"/>
      <c r="I53" s="2"/>
      <c r="J53" s="720"/>
      <c r="K53" s="369"/>
      <c r="L53" s="52"/>
      <c r="M53" s="52"/>
      <c r="N53" s="52"/>
      <c r="O53" s="1"/>
      <c r="P53" s="1"/>
      <c r="Q53" s="1"/>
      <c r="R53" s="1"/>
      <c r="S53" s="1"/>
      <c r="T53" s="1"/>
      <c r="U53" s="1"/>
      <c r="V53" s="1"/>
      <c r="W53" s="1"/>
      <c r="X53" s="1"/>
      <c r="Y53" s="1"/>
      <c r="Z53" s="1"/>
      <c r="AA53" s="1"/>
      <c r="AB53" s="1"/>
      <c r="AC53" s="1"/>
      <c r="AD53" s="1"/>
      <c r="AE53" s="1"/>
      <c r="AF53" s="1"/>
      <c r="AG53" s="1"/>
      <c r="AH53" s="1"/>
      <c r="AI53" s="1"/>
    </row>
    <row r="54" spans="1:35">
      <c r="A54" s="1"/>
      <c r="B54" s="175"/>
      <c r="C54" s="566"/>
      <c r="D54" s="175"/>
      <c r="E54" s="566"/>
      <c r="F54" s="175"/>
      <c r="G54" s="704"/>
      <c r="H54" s="175"/>
      <c r="I54" s="2"/>
      <c r="J54" s="2"/>
      <c r="K54" s="369"/>
      <c r="L54" s="52"/>
      <c r="M54" s="52"/>
      <c r="N54" s="52"/>
      <c r="O54" s="1"/>
      <c r="P54" s="1"/>
      <c r="Q54" s="1"/>
      <c r="R54" s="1"/>
      <c r="S54" s="1"/>
      <c r="T54" s="1"/>
      <c r="U54" s="1"/>
      <c r="V54" s="1"/>
      <c r="W54" s="1"/>
      <c r="X54" s="1"/>
      <c r="Y54" s="1"/>
      <c r="Z54" s="1"/>
      <c r="AA54" s="1"/>
      <c r="AB54" s="1"/>
      <c r="AC54" s="1"/>
      <c r="AD54" s="1"/>
      <c r="AE54" s="1"/>
      <c r="AF54" s="1"/>
      <c r="AG54" s="1"/>
      <c r="AH54" s="1"/>
      <c r="AI54" s="1"/>
    </row>
    <row r="55" spans="1:35">
      <c r="A55" s="1"/>
      <c r="B55" s="291" t="s">
        <v>390</v>
      </c>
      <c r="C55" s="368">
        <f>C49</f>
        <v>3.1552387285036501E-3</v>
      </c>
      <c r="D55" s="175" t="s">
        <v>390</v>
      </c>
      <c r="E55" s="566">
        <f>E49</f>
        <v>3.1552387285036501E-3</v>
      </c>
      <c r="F55" s="175" t="s">
        <v>390</v>
      </c>
      <c r="G55" s="639">
        <f>E55</f>
        <v>3.1552387285036501E-3</v>
      </c>
      <c r="H55" s="175"/>
      <c r="I55" s="2"/>
      <c r="J55" s="720"/>
      <c r="K55" s="369"/>
      <c r="L55" s="52"/>
      <c r="M55" s="52"/>
      <c r="N55" s="52"/>
      <c r="O55" s="1"/>
      <c r="P55" s="1"/>
      <c r="Q55" s="1"/>
      <c r="R55" s="1"/>
      <c r="S55" s="1"/>
      <c r="T55" s="1"/>
      <c r="U55" s="1"/>
      <c r="V55" s="1"/>
      <c r="W55" s="1"/>
      <c r="X55" s="1"/>
      <c r="Y55" s="1"/>
      <c r="Z55" s="1"/>
      <c r="AA55" s="1"/>
      <c r="AB55" s="1"/>
      <c r="AC55" s="1"/>
      <c r="AD55" s="1"/>
      <c r="AE55" s="1"/>
      <c r="AF55" s="1"/>
      <c r="AG55" s="1"/>
      <c r="AH55" s="1"/>
      <c r="AI55" s="1"/>
    </row>
    <row r="56" spans="1:35">
      <c r="A56" s="1"/>
      <c r="B56" s="175" t="s">
        <v>391</v>
      </c>
      <c r="C56" s="566">
        <v>4.53717660848309E-2</v>
      </c>
      <c r="D56" s="175" t="s">
        <v>391</v>
      </c>
      <c r="E56" s="566">
        <f>C56</f>
        <v>4.53717660848309E-2</v>
      </c>
      <c r="F56" s="175" t="s">
        <v>391</v>
      </c>
      <c r="G56" s="720">
        <f>C56</f>
        <v>4.53717660848309E-2</v>
      </c>
      <c r="H56" s="175"/>
      <c r="I56" s="2"/>
      <c r="J56" s="704"/>
      <c r="K56" s="369"/>
      <c r="L56" s="52"/>
      <c r="M56" s="52"/>
      <c r="N56" s="52"/>
      <c r="O56" s="1"/>
      <c r="P56" s="1"/>
      <c r="Q56" s="1"/>
      <c r="R56" s="1"/>
      <c r="S56" s="1"/>
      <c r="T56" s="1"/>
      <c r="U56" s="1"/>
      <c r="V56" s="1"/>
      <c r="W56" s="1"/>
      <c r="X56" s="1"/>
      <c r="Y56" s="1"/>
      <c r="Z56" s="1"/>
      <c r="AA56" s="1"/>
      <c r="AB56" s="1"/>
      <c r="AC56" s="1"/>
      <c r="AD56" s="1"/>
      <c r="AE56" s="1"/>
      <c r="AF56" s="1"/>
      <c r="AG56" s="1"/>
      <c r="AH56" s="1"/>
      <c r="AI56" s="1"/>
    </row>
    <row r="57" spans="1:35">
      <c r="A57" s="1"/>
      <c r="B57" s="175" t="s">
        <v>392</v>
      </c>
      <c r="C57" s="368">
        <v>3.2549780667749703E-2</v>
      </c>
      <c r="D57" s="175" t="s">
        <v>392</v>
      </c>
      <c r="E57" s="566">
        <f>C57</f>
        <v>3.2549780667749703E-2</v>
      </c>
      <c r="F57" s="175" t="s">
        <v>392</v>
      </c>
      <c r="G57" s="639">
        <f>C57</f>
        <v>3.2549780667749703E-2</v>
      </c>
      <c r="H57" s="175"/>
      <c r="I57" s="2"/>
      <c r="J57" s="412"/>
      <c r="K57" s="369"/>
      <c r="L57" s="52"/>
      <c r="M57" s="52"/>
      <c r="N57" s="52"/>
      <c r="O57" s="1"/>
      <c r="P57" s="1"/>
      <c r="Q57" s="1"/>
      <c r="R57" s="1"/>
      <c r="S57" s="1"/>
      <c r="T57" s="1"/>
      <c r="U57" s="1"/>
      <c r="V57" s="1"/>
      <c r="W57" s="1"/>
      <c r="X57" s="1"/>
      <c r="Y57" s="1"/>
      <c r="Z57" s="1"/>
      <c r="AA57" s="1"/>
      <c r="AB57" s="1"/>
      <c r="AC57" s="1"/>
      <c r="AD57" s="1"/>
      <c r="AE57" s="1"/>
      <c r="AF57" s="1"/>
      <c r="AG57" s="1"/>
      <c r="AH57" s="1"/>
      <c r="AI57" s="1"/>
    </row>
    <row r="58" spans="1:35">
      <c r="A58" s="1"/>
      <c r="B58" s="291" t="s">
        <v>393</v>
      </c>
      <c r="C58" s="566">
        <f>C56+C57</f>
        <v>7.7921546752580603E-2</v>
      </c>
      <c r="D58" s="175" t="s">
        <v>393</v>
      </c>
      <c r="E58" s="566">
        <f>E56+E57</f>
        <v>7.7921546752580603E-2</v>
      </c>
      <c r="F58" s="175" t="s">
        <v>393</v>
      </c>
      <c r="G58" s="720">
        <f>G56+G57</f>
        <v>7.7921546752580603E-2</v>
      </c>
      <c r="H58" s="175"/>
      <c r="I58" s="2"/>
      <c r="J58" s="720"/>
      <c r="K58" s="369"/>
      <c r="L58" s="52"/>
      <c r="M58" s="52"/>
      <c r="N58" s="52"/>
      <c r="O58" s="1"/>
      <c r="P58" s="1"/>
      <c r="Q58" s="1"/>
      <c r="R58" s="1"/>
      <c r="S58" s="1"/>
      <c r="T58" s="1"/>
      <c r="U58" s="1"/>
      <c r="V58" s="1"/>
      <c r="W58" s="1"/>
      <c r="X58" s="1"/>
      <c r="Y58" s="1"/>
      <c r="Z58" s="1"/>
      <c r="AA58" s="1"/>
      <c r="AB58" s="1"/>
      <c r="AC58" s="1"/>
      <c r="AD58" s="1"/>
      <c r="AE58" s="1"/>
      <c r="AF58" s="1"/>
      <c r="AG58" s="1"/>
      <c r="AH58" s="1"/>
      <c r="AI58" s="1"/>
    </row>
    <row r="59" spans="1:35">
      <c r="A59" s="1"/>
      <c r="B59" s="569" t="s">
        <v>394</v>
      </c>
      <c r="C59" s="572">
        <v>0.86832176000000005</v>
      </c>
      <c r="D59" s="567" t="s">
        <v>395</v>
      </c>
      <c r="E59" s="571">
        <v>0.83109791342430983</v>
      </c>
      <c r="F59" s="567" t="s">
        <v>394</v>
      </c>
      <c r="G59" s="721">
        <f>C59</f>
        <v>0.86832176000000005</v>
      </c>
      <c r="H59" s="175"/>
      <c r="I59" s="2"/>
      <c r="J59" s="2"/>
      <c r="K59" s="369"/>
      <c r="L59" s="52"/>
      <c r="M59" s="52"/>
      <c r="N59" s="52"/>
      <c r="O59" s="1"/>
      <c r="P59" s="1"/>
      <c r="Q59" s="1"/>
      <c r="R59" s="1"/>
      <c r="S59" s="1"/>
      <c r="T59" s="1"/>
      <c r="U59" s="1"/>
      <c r="V59" s="1"/>
      <c r="W59" s="1"/>
      <c r="X59" s="1"/>
      <c r="Y59" s="1"/>
      <c r="Z59" s="1"/>
      <c r="AA59" s="1"/>
      <c r="AB59" s="1"/>
      <c r="AC59" s="1"/>
      <c r="AD59" s="1"/>
      <c r="AE59" s="1"/>
      <c r="AF59" s="1"/>
      <c r="AG59" s="1"/>
      <c r="AH59" s="1"/>
      <c r="AI59" s="1"/>
    </row>
    <row r="60" spans="1:35">
      <c r="A60" s="1"/>
      <c r="B60" s="175" t="s">
        <v>396</v>
      </c>
      <c r="C60" s="566">
        <f>C55+PRODUCT(C59,C58)</f>
        <v>7.081621334662673E-2</v>
      </c>
      <c r="D60" s="175" t="s">
        <v>396</v>
      </c>
      <c r="E60" s="566">
        <f>E55+PRODUCT(E58:E59)</f>
        <v>6.7915673645368199E-2</v>
      </c>
      <c r="F60" s="175" t="s">
        <v>396</v>
      </c>
      <c r="G60" s="720">
        <f>G55+G59*(G58)</f>
        <v>7.081621334662673E-2</v>
      </c>
      <c r="H60" s="175"/>
      <c r="I60" s="398"/>
      <c r="J60" s="727"/>
      <c r="K60" s="369"/>
      <c r="L60" s="52"/>
      <c r="M60" s="52"/>
      <c r="N60" s="52"/>
      <c r="O60" s="1"/>
      <c r="P60" s="1"/>
      <c r="Q60" s="1"/>
      <c r="R60" s="1"/>
      <c r="S60" s="1"/>
      <c r="T60" s="1"/>
      <c r="U60" s="1"/>
      <c r="V60" s="1"/>
      <c r="W60" s="1"/>
      <c r="X60" s="1"/>
      <c r="Y60" s="1"/>
      <c r="Z60" s="1"/>
      <c r="AA60" s="1"/>
      <c r="AB60" s="1"/>
      <c r="AC60" s="1"/>
      <c r="AD60" s="1"/>
      <c r="AE60" s="1"/>
      <c r="AF60" s="1"/>
      <c r="AG60" s="1"/>
      <c r="AH60" s="1"/>
      <c r="AI60" s="1"/>
    </row>
    <row r="61" spans="1:35" ht="15" thickBot="1">
      <c r="A61" s="1"/>
      <c r="B61" s="175"/>
      <c r="C61" s="554"/>
      <c r="D61" s="175"/>
      <c r="E61" s="566"/>
      <c r="F61" s="175"/>
      <c r="G61" s="2"/>
      <c r="H61" s="175"/>
      <c r="I61" s="398"/>
      <c r="J61" s="727"/>
      <c r="K61" s="369"/>
      <c r="L61" s="52"/>
      <c r="M61" s="52"/>
      <c r="N61" s="52"/>
      <c r="O61" s="1"/>
      <c r="P61" s="1"/>
      <c r="Q61" s="1"/>
      <c r="R61" s="1"/>
      <c r="S61" s="1"/>
      <c r="T61" s="1"/>
      <c r="U61" s="1"/>
      <c r="V61" s="1"/>
      <c r="W61" s="1"/>
      <c r="X61" s="1"/>
      <c r="Y61" s="1"/>
      <c r="Z61" s="1"/>
      <c r="AA61" s="1"/>
      <c r="AB61" s="1"/>
      <c r="AC61" s="1"/>
      <c r="AD61" s="1"/>
      <c r="AE61" s="1"/>
      <c r="AF61" s="1"/>
      <c r="AG61" s="1"/>
      <c r="AH61" s="1"/>
      <c r="AI61" s="1"/>
    </row>
    <row r="62" spans="1:35">
      <c r="A62" s="1"/>
      <c r="B62" s="573" t="s">
        <v>397</v>
      </c>
      <c r="C62" s="574">
        <f>C53*I7 +I6*C60</f>
        <v>4.2112052020186447E-2</v>
      </c>
      <c r="D62" s="573" t="s">
        <v>416</v>
      </c>
      <c r="E62" s="575"/>
      <c r="F62" s="573" t="s">
        <v>417</v>
      </c>
      <c r="G62" s="722">
        <f>G53*I7+G60*I6</f>
        <v>4.3403783405332484E-2</v>
      </c>
      <c r="H62" s="175"/>
      <c r="I62" s="2"/>
      <c r="J62" s="2"/>
      <c r="K62" s="369"/>
      <c r="L62" s="52"/>
      <c r="M62" s="52"/>
      <c r="N62" s="52"/>
      <c r="O62" s="1"/>
      <c r="P62" s="1"/>
      <c r="Q62" s="1"/>
      <c r="R62" s="1"/>
      <c r="S62" s="1"/>
      <c r="T62" s="1"/>
      <c r="U62" s="1"/>
      <c r="V62" s="1"/>
      <c r="W62" s="1"/>
      <c r="X62" s="1"/>
      <c r="Y62" s="1"/>
      <c r="Z62" s="1"/>
      <c r="AA62" s="1"/>
      <c r="AB62" s="1"/>
      <c r="AC62" s="1"/>
      <c r="AD62" s="1"/>
      <c r="AE62" s="1"/>
      <c r="AF62" s="1"/>
      <c r="AG62" s="1"/>
      <c r="AH62" s="1"/>
      <c r="AI62" s="1"/>
    </row>
    <row r="63" spans="1:35" ht="15" thickBot="1">
      <c r="A63" s="1"/>
      <c r="B63" s="576" t="s">
        <v>398</v>
      </c>
      <c r="C63" s="577">
        <f>I10*C53+C60*I9</f>
        <v>4.5850259604397231E-2</v>
      </c>
      <c r="D63" s="576" t="s">
        <v>398</v>
      </c>
      <c r="E63" s="578">
        <f>E53*I10+I9*E60</f>
        <v>4.4204169907577015E-2</v>
      </c>
      <c r="F63" s="576" t="s">
        <v>398</v>
      </c>
      <c r="G63" s="723">
        <f>G53*I10+I9*G60</f>
        <v>4.6973765901696225E-2</v>
      </c>
      <c r="H63" s="175"/>
      <c r="I63" s="2"/>
      <c r="J63" s="720"/>
      <c r="K63" s="369"/>
      <c r="L63" s="52"/>
      <c r="M63" s="52"/>
      <c r="N63" s="52"/>
      <c r="O63" s="1"/>
      <c r="P63" s="1"/>
      <c r="Q63" s="1"/>
      <c r="R63" s="1"/>
      <c r="S63" s="1"/>
      <c r="T63" s="1"/>
      <c r="U63" s="1"/>
      <c r="V63" s="1"/>
      <c r="W63" s="1"/>
      <c r="X63" s="1"/>
      <c r="Y63" s="1"/>
      <c r="Z63" s="1"/>
      <c r="AA63" s="1"/>
      <c r="AB63" s="1"/>
      <c r="AC63" s="1"/>
      <c r="AD63" s="1"/>
      <c r="AE63" s="1"/>
      <c r="AF63" s="1"/>
      <c r="AG63" s="1"/>
      <c r="AH63" s="1"/>
      <c r="AI63" s="1"/>
    </row>
    <row r="64" spans="1:35">
      <c r="A64" s="1"/>
      <c r="B64" s="175"/>
      <c r="C64" s="579" t="s">
        <v>399</v>
      </c>
      <c r="D64" s="580"/>
      <c r="E64" s="581"/>
      <c r="F64" s="126" t="s">
        <v>727</v>
      </c>
      <c r="G64" s="724" t="s">
        <v>728</v>
      </c>
      <c r="H64" s="175"/>
      <c r="I64" s="2"/>
      <c r="J64" s="720"/>
      <c r="K64" s="369"/>
      <c r="L64" s="52"/>
      <c r="M64" s="52"/>
      <c r="N64" s="52"/>
      <c r="O64" s="1"/>
      <c r="P64" s="1"/>
      <c r="Q64" s="1"/>
      <c r="R64" s="1"/>
      <c r="S64" s="1"/>
      <c r="T64" s="1"/>
      <c r="U64" s="1"/>
      <c r="V64" s="1"/>
      <c r="W64" s="1"/>
      <c r="X64" s="1"/>
      <c r="Y64" s="1"/>
      <c r="Z64" s="1"/>
      <c r="AA64" s="1"/>
      <c r="AB64" s="1"/>
      <c r="AC64" s="1"/>
      <c r="AD64" s="1"/>
      <c r="AE64" s="1"/>
      <c r="AF64" s="1"/>
      <c r="AG64" s="1"/>
      <c r="AH64" s="1"/>
      <c r="AI64" s="1"/>
    </row>
    <row r="65" spans="1:35" ht="15" thickBot="1">
      <c r="A65" s="1"/>
      <c r="B65" s="175"/>
      <c r="C65" s="579" t="s">
        <v>466</v>
      </c>
      <c r="D65" s="580"/>
      <c r="E65" s="581"/>
      <c r="F65" s="712">
        <f>G53*I10+I9*F67</f>
        <v>3.7319277373840644E-2</v>
      </c>
      <c r="G65" s="725">
        <f>G53*I10+I9*G67</f>
        <v>5.2796758797357256E-2</v>
      </c>
      <c r="H65" s="175"/>
      <c r="I65" s="2"/>
      <c r="J65" s="2"/>
      <c r="K65" s="369"/>
      <c r="L65" s="52"/>
      <c r="M65" s="52"/>
      <c r="N65" s="52"/>
      <c r="O65" s="1"/>
      <c r="P65" s="1"/>
      <c r="Q65" s="1"/>
      <c r="R65" s="1"/>
      <c r="S65" s="1"/>
      <c r="T65" s="1"/>
      <c r="U65" s="1"/>
      <c r="V65" s="1"/>
      <c r="W65" s="1"/>
      <c r="X65" s="1"/>
      <c r="Y65" s="1"/>
      <c r="Z65" s="1"/>
      <c r="AA65" s="1"/>
      <c r="AB65" s="1"/>
      <c r="AC65" s="1"/>
      <c r="AD65" s="1"/>
      <c r="AE65" s="1"/>
      <c r="AF65" s="1"/>
      <c r="AG65" s="1"/>
      <c r="AH65" s="1"/>
      <c r="AI65" s="1"/>
    </row>
    <row r="66" spans="1:35" ht="15" thickBot="1">
      <c r="A66" s="1"/>
      <c r="B66" s="336"/>
      <c r="C66" s="521" t="s">
        <v>400</v>
      </c>
      <c r="D66" s="582"/>
      <c r="E66" s="583"/>
      <c r="F66" s="565" t="s">
        <v>715</v>
      </c>
      <c r="G66" s="724" t="s">
        <v>725</v>
      </c>
      <c r="H66" s="175"/>
      <c r="I66" s="2"/>
      <c r="J66" s="2"/>
      <c r="K66" s="369"/>
      <c r="L66" s="52"/>
      <c r="M66" s="52"/>
      <c r="N66" s="52"/>
      <c r="O66" s="1"/>
      <c r="P66" s="1"/>
      <c r="Q66" s="1"/>
      <c r="R66" s="1"/>
      <c r="S66" s="1"/>
      <c r="T66" s="1"/>
      <c r="U66" s="1"/>
      <c r="V66" s="1"/>
      <c r="W66" s="1"/>
      <c r="X66" s="1"/>
      <c r="Y66" s="1"/>
      <c r="Z66" s="1"/>
      <c r="AA66" s="1"/>
      <c r="AB66" s="1"/>
      <c r="AC66" s="1"/>
      <c r="AD66" s="1"/>
      <c r="AE66" s="1"/>
      <c r="AF66" s="1"/>
      <c r="AG66" s="1"/>
      <c r="AH66" s="1"/>
      <c r="AI66" s="1"/>
    </row>
    <row r="67" spans="1:35" ht="15" thickBot="1">
      <c r="A67" s="1"/>
      <c r="B67" s="126"/>
      <c r="C67" s="126"/>
      <c r="D67" s="126"/>
      <c r="E67" s="126"/>
      <c r="F67" s="584">
        <f>G55+G58*0.65</f>
        <v>5.3804244117681047E-2</v>
      </c>
      <c r="G67" s="726">
        <f>G58+G55</f>
        <v>8.1076785481084254E-2</v>
      </c>
      <c r="H67" s="257"/>
      <c r="I67" s="2"/>
      <c r="J67" s="2"/>
      <c r="K67" s="369"/>
      <c r="L67" s="52"/>
      <c r="M67" s="52"/>
      <c r="N67" s="52"/>
      <c r="O67" s="1"/>
      <c r="P67" s="1"/>
      <c r="Q67" s="1"/>
      <c r="R67" s="1"/>
      <c r="S67" s="1"/>
      <c r="T67" s="1"/>
      <c r="U67" s="1"/>
      <c r="V67" s="1"/>
      <c r="W67" s="1"/>
      <c r="X67" s="1"/>
      <c r="Y67" s="1"/>
      <c r="Z67" s="1"/>
      <c r="AA67" s="1"/>
      <c r="AB67" s="1"/>
      <c r="AC67" s="1"/>
      <c r="AD67" s="1"/>
      <c r="AE67" s="1"/>
      <c r="AF67" s="1"/>
      <c r="AG67" s="1"/>
      <c r="AH67" s="1"/>
      <c r="AI67" s="1"/>
    </row>
    <row r="68" spans="1:35">
      <c r="A68" s="1"/>
      <c r="B68" s="126"/>
      <c r="C68" s="126"/>
      <c r="D68" s="126"/>
      <c r="E68" s="126"/>
      <c r="F68" s="126"/>
      <c r="G68" s="126"/>
      <c r="H68" s="720"/>
      <c r="I68" s="2"/>
      <c r="J68" s="2"/>
      <c r="K68" s="369"/>
      <c r="L68" s="52"/>
      <c r="M68" s="52"/>
      <c r="N68" s="52"/>
      <c r="O68" s="1"/>
      <c r="P68" s="1"/>
      <c r="Q68" s="1"/>
      <c r="R68" s="1"/>
      <c r="S68" s="1"/>
      <c r="T68" s="1"/>
      <c r="U68" s="1"/>
      <c r="V68" s="1"/>
      <c r="W68" s="1"/>
      <c r="X68" s="1"/>
      <c r="Y68" s="1"/>
      <c r="Z68" s="1"/>
      <c r="AA68" s="1"/>
      <c r="AB68" s="1"/>
      <c r="AC68" s="1"/>
      <c r="AD68" s="1"/>
      <c r="AE68" s="1"/>
      <c r="AF68" s="1"/>
      <c r="AG68" s="1"/>
      <c r="AH68" s="1"/>
      <c r="AI68" s="1"/>
    </row>
    <row r="69" spans="1:35">
      <c r="A69" s="1"/>
      <c r="B69" s="126"/>
      <c r="C69" s="126"/>
      <c r="D69" s="126"/>
      <c r="E69" s="126"/>
      <c r="F69" s="126"/>
      <c r="G69" s="126"/>
      <c r="H69" s="2"/>
      <c r="I69" s="2"/>
      <c r="J69" s="2"/>
      <c r="K69" s="369"/>
      <c r="L69" s="52"/>
      <c r="M69" s="52"/>
      <c r="N69" s="52"/>
      <c r="O69" s="1"/>
      <c r="P69" s="1"/>
      <c r="Q69" s="1"/>
      <c r="R69" s="1"/>
      <c r="S69" s="1"/>
      <c r="T69" s="1"/>
      <c r="U69" s="1"/>
      <c r="V69" s="1"/>
      <c r="W69" s="1"/>
      <c r="X69" s="1"/>
      <c r="Y69" s="1"/>
      <c r="Z69" s="1"/>
      <c r="AA69" s="1"/>
      <c r="AB69" s="1"/>
      <c r="AC69" s="1"/>
      <c r="AD69" s="1"/>
      <c r="AE69" s="1"/>
      <c r="AF69" s="1"/>
      <c r="AG69" s="1"/>
      <c r="AH69" s="1"/>
      <c r="AI69" s="1"/>
    </row>
    <row r="70" spans="1:35">
      <c r="A70" s="1"/>
      <c r="B70" s="126"/>
      <c r="C70" s="126"/>
      <c r="D70" s="126"/>
      <c r="E70" s="126"/>
      <c r="F70" s="126"/>
      <c r="G70" s="126"/>
      <c r="H70" s="2"/>
      <c r="I70" s="2"/>
      <c r="J70" s="2"/>
      <c r="K70" s="369"/>
      <c r="L70" s="52"/>
      <c r="M70" s="52"/>
      <c r="N70" s="52"/>
      <c r="O70" s="1"/>
      <c r="P70" s="1"/>
      <c r="Q70" s="1"/>
      <c r="R70" s="1"/>
      <c r="S70" s="1"/>
      <c r="T70" s="1"/>
      <c r="U70" s="1"/>
      <c r="V70" s="1"/>
      <c r="W70" s="1"/>
      <c r="X70" s="1"/>
      <c r="Y70" s="1"/>
      <c r="Z70" s="1"/>
      <c r="AA70" s="1"/>
      <c r="AB70" s="1"/>
      <c r="AC70" s="1"/>
      <c r="AD70" s="1"/>
      <c r="AE70" s="1"/>
      <c r="AF70" s="1"/>
      <c r="AG70" s="1"/>
      <c r="AH70" s="1"/>
      <c r="AI70" s="1"/>
    </row>
    <row r="71" spans="1:35">
      <c r="A71" s="1"/>
      <c r="B71" s="1"/>
      <c r="C71" s="1"/>
      <c r="D71" s="1"/>
      <c r="E71" s="1"/>
      <c r="F71" s="1"/>
      <c r="G71" s="1"/>
      <c r="H71" s="1"/>
      <c r="I71" s="1"/>
      <c r="J71" s="1"/>
      <c r="K71" s="369"/>
      <c r="L71" s="1"/>
      <c r="M71" s="1"/>
      <c r="N71" s="1"/>
      <c r="O71" s="1"/>
      <c r="P71" s="1"/>
      <c r="Q71" s="1"/>
      <c r="R71" s="1"/>
      <c r="S71" s="1"/>
      <c r="T71" s="1"/>
      <c r="U71" s="1"/>
      <c r="V71" s="1"/>
      <c r="W71" s="1"/>
      <c r="X71" s="1"/>
      <c r="Y71" s="1"/>
      <c r="Z71" s="1"/>
      <c r="AA71" s="1"/>
      <c r="AB71" s="1"/>
      <c r="AC71" s="1"/>
      <c r="AD71" s="1"/>
      <c r="AE71" s="1"/>
      <c r="AF71" s="1"/>
      <c r="AG71" s="1"/>
      <c r="AH71" s="1"/>
      <c r="AI71" s="1"/>
    </row>
    <row r="72" spans="1:35">
      <c r="A72" s="1"/>
      <c r="B72" s="1"/>
      <c r="C72" s="1"/>
      <c r="D72" s="1"/>
      <c r="E72" s="1"/>
      <c r="F72" s="1"/>
      <c r="G72" s="1"/>
      <c r="H72" s="1"/>
      <c r="I72" s="1"/>
      <c r="J72" s="1"/>
      <c r="K72" s="369"/>
      <c r="L72" s="1"/>
      <c r="M72" s="1"/>
      <c r="N72" s="1"/>
      <c r="O72" s="1"/>
      <c r="P72" s="1"/>
      <c r="Q72" s="1"/>
      <c r="R72" s="1"/>
      <c r="S72" s="1"/>
      <c r="T72" s="1"/>
      <c r="U72" s="1"/>
      <c r="V72" s="1"/>
      <c r="W72" s="1"/>
      <c r="X72" s="1"/>
      <c r="Y72" s="1"/>
      <c r="Z72" s="1"/>
      <c r="AA72" s="1"/>
      <c r="AB72" s="1"/>
      <c r="AC72" s="1"/>
      <c r="AD72" s="1"/>
      <c r="AE72" s="1"/>
      <c r="AF72" s="1"/>
      <c r="AG72" s="1"/>
      <c r="AH72" s="1"/>
      <c r="AI72" s="1"/>
    </row>
    <row r="73" spans="1:35">
      <c r="A73" s="1"/>
      <c r="B73" s="1"/>
      <c r="C73" s="1"/>
      <c r="D73" s="1"/>
      <c r="E73" s="1"/>
      <c r="F73" s="1"/>
      <c r="G73" s="1"/>
      <c r="H73" s="1"/>
      <c r="I73" s="1"/>
      <c r="J73" s="1"/>
      <c r="K73" s="369"/>
      <c r="L73" s="1"/>
      <c r="M73" s="1"/>
      <c r="N73" s="1"/>
      <c r="O73" s="1"/>
      <c r="P73" s="1"/>
      <c r="Q73" s="1"/>
      <c r="R73" s="1"/>
      <c r="S73" s="1"/>
      <c r="T73" s="1"/>
      <c r="U73" s="1"/>
      <c r="V73" s="1"/>
      <c r="W73" s="1"/>
      <c r="X73" s="1"/>
      <c r="Y73" s="1"/>
      <c r="Z73" s="1"/>
      <c r="AA73" s="1"/>
      <c r="AB73" s="1"/>
      <c r="AC73" s="1"/>
      <c r="AD73" s="1"/>
      <c r="AE73" s="1"/>
      <c r="AF73" s="1"/>
      <c r="AG73" s="1"/>
      <c r="AH73" s="1"/>
      <c r="AI73" s="1"/>
    </row>
    <row r="74" spans="1:35">
      <c r="A74" s="1"/>
      <c r="B74" s="1"/>
      <c r="C74" s="1"/>
      <c r="D74" s="1"/>
      <c r="E74" s="1"/>
      <c r="F74" s="1"/>
      <c r="G74" s="1"/>
      <c r="H74" s="1"/>
      <c r="I74" s="1"/>
      <c r="J74" s="1"/>
      <c r="K74" s="369"/>
      <c r="L74" s="1"/>
      <c r="M74" s="1"/>
      <c r="N74" s="1"/>
      <c r="O74" s="1"/>
      <c r="P74" s="1"/>
      <c r="Q74" s="1"/>
      <c r="R74" s="1"/>
      <c r="S74" s="1"/>
      <c r="T74" s="1"/>
      <c r="U74" s="1"/>
      <c r="V74" s="1"/>
      <c r="W74" s="1"/>
      <c r="X74" s="1"/>
      <c r="Y74" s="1"/>
      <c r="Z74" s="1"/>
      <c r="AA74" s="1"/>
      <c r="AB74" s="1"/>
      <c r="AC74" s="1"/>
      <c r="AD74" s="1"/>
      <c r="AE74" s="1"/>
      <c r="AF74" s="1"/>
      <c r="AG74" s="1"/>
      <c r="AH74" s="1"/>
      <c r="AI74" s="1"/>
    </row>
    <row r="75" spans="1:35">
      <c r="A75" s="1"/>
      <c r="B75" s="1"/>
      <c r="C75" s="1"/>
      <c r="D75" s="1"/>
      <c r="E75" s="1"/>
      <c r="F75" s="1"/>
      <c r="G75" s="1"/>
      <c r="H75" s="1"/>
      <c r="I75" s="1"/>
      <c r="J75" s="1"/>
      <c r="K75" s="369"/>
      <c r="L75" s="1"/>
      <c r="M75" s="1"/>
      <c r="N75" s="1"/>
      <c r="O75" s="1"/>
      <c r="P75" s="1"/>
      <c r="Q75" s="1"/>
      <c r="R75" s="1"/>
      <c r="S75" s="1"/>
      <c r="T75" s="1"/>
      <c r="U75" s="1"/>
      <c r="V75" s="1"/>
      <c r="W75" s="1"/>
      <c r="X75" s="1"/>
      <c r="Y75" s="1"/>
      <c r="Z75" s="1"/>
      <c r="AA75" s="1"/>
      <c r="AB75" s="1"/>
      <c r="AC75" s="1"/>
      <c r="AD75" s="1"/>
      <c r="AE75" s="1"/>
      <c r="AF75" s="1"/>
      <c r="AG75" s="1"/>
      <c r="AH75" s="1"/>
      <c r="AI75" s="1"/>
    </row>
    <row r="76" spans="1:35">
      <c r="A76" s="1"/>
      <c r="B76" s="1"/>
      <c r="C76" s="1"/>
      <c r="D76" s="1"/>
      <c r="E76" s="1"/>
      <c r="F76" s="1"/>
      <c r="G76" s="1"/>
      <c r="H76" s="1"/>
      <c r="I76" s="1"/>
      <c r="J76" s="1"/>
      <c r="K76" s="369"/>
      <c r="L76" s="1"/>
      <c r="M76" s="1"/>
      <c r="N76" s="1"/>
      <c r="O76" s="1"/>
      <c r="P76" s="1"/>
      <c r="Q76" s="1"/>
      <c r="R76" s="1"/>
      <c r="S76" s="1"/>
      <c r="T76" s="1"/>
      <c r="U76" s="1"/>
      <c r="V76" s="1"/>
      <c r="W76" s="1"/>
      <c r="X76" s="1"/>
      <c r="Y76" s="1"/>
      <c r="Z76" s="1"/>
      <c r="AA76" s="1"/>
      <c r="AB76" s="1"/>
      <c r="AC76" s="1"/>
      <c r="AD76" s="1"/>
      <c r="AE76" s="1"/>
      <c r="AF76" s="1"/>
      <c r="AG76" s="1"/>
      <c r="AH76" s="1"/>
      <c r="AI76" s="1"/>
    </row>
    <row r="77" spans="1:35">
      <c r="A77" s="1"/>
      <c r="B77" s="1"/>
      <c r="C77" s="1"/>
      <c r="D77" s="1"/>
      <c r="E77" s="1"/>
      <c r="F77" s="1"/>
      <c r="G77" s="1"/>
      <c r="H77" s="1"/>
      <c r="I77" s="1"/>
      <c r="J77" s="1"/>
      <c r="K77" s="369"/>
      <c r="L77" s="1"/>
      <c r="M77" s="1"/>
      <c r="N77" s="1"/>
      <c r="O77" s="1"/>
      <c r="P77" s="1"/>
      <c r="Q77" s="1"/>
      <c r="R77" s="1"/>
      <c r="S77" s="1"/>
      <c r="T77" s="1"/>
      <c r="U77" s="1"/>
      <c r="V77" s="1"/>
      <c r="W77" s="1"/>
      <c r="X77" s="1"/>
      <c r="Y77" s="1"/>
      <c r="Z77" s="1"/>
      <c r="AA77" s="1"/>
      <c r="AB77" s="1"/>
      <c r="AC77" s="1"/>
      <c r="AD77" s="1"/>
      <c r="AE77" s="1"/>
      <c r="AF77" s="1"/>
      <c r="AG77" s="1"/>
      <c r="AH77" s="1"/>
      <c r="AI77" s="1"/>
    </row>
    <row r="78" spans="1:35">
      <c r="A78" s="1"/>
      <c r="B78" s="1"/>
      <c r="C78" s="1"/>
      <c r="D78" s="1"/>
      <c r="E78" s="1"/>
      <c r="F78" s="1"/>
      <c r="G78" s="1"/>
      <c r="H78" s="1"/>
      <c r="I78" s="1"/>
      <c r="J78" s="1"/>
      <c r="K78" s="369"/>
      <c r="L78" s="1"/>
      <c r="M78" s="1"/>
      <c r="N78" s="1"/>
      <c r="O78" s="1"/>
      <c r="P78" s="1"/>
      <c r="Q78" s="1"/>
      <c r="R78" s="1"/>
      <c r="S78" s="1"/>
      <c r="T78" s="1"/>
      <c r="U78" s="1"/>
      <c r="V78" s="1"/>
      <c r="W78" s="1"/>
      <c r="X78" s="1"/>
      <c r="Y78" s="1"/>
      <c r="Z78" s="1"/>
      <c r="AA78" s="1"/>
      <c r="AB78" s="1"/>
      <c r="AC78" s="1"/>
      <c r="AD78" s="1"/>
      <c r="AE78" s="1"/>
      <c r="AF78" s="1"/>
      <c r="AG78" s="1"/>
      <c r="AH78" s="1"/>
      <c r="AI78" s="1"/>
    </row>
    <row r="79" spans="1:35">
      <c r="A79" s="1"/>
      <c r="B79" s="1"/>
      <c r="C79" s="1"/>
      <c r="D79" s="1"/>
      <c r="E79" s="1"/>
      <c r="F79" s="1"/>
      <c r="G79" s="1"/>
      <c r="H79" s="1"/>
      <c r="I79" s="1"/>
      <c r="J79" s="1"/>
      <c r="K79" s="369"/>
      <c r="L79" s="1"/>
      <c r="M79" s="1"/>
      <c r="N79" s="1"/>
      <c r="O79" s="1"/>
      <c r="P79" s="1"/>
      <c r="Q79" s="1"/>
      <c r="R79" s="1"/>
      <c r="S79" s="1"/>
      <c r="T79" s="1"/>
      <c r="U79" s="1"/>
      <c r="V79" s="1"/>
      <c r="W79" s="1"/>
      <c r="X79" s="1"/>
      <c r="Y79" s="1"/>
      <c r="Z79" s="1"/>
      <c r="AA79" s="1"/>
      <c r="AB79" s="1"/>
      <c r="AC79" s="1"/>
      <c r="AD79" s="1"/>
      <c r="AE79" s="1"/>
      <c r="AF79" s="1"/>
      <c r="AG79" s="1"/>
      <c r="AH79" s="1"/>
      <c r="AI79" s="1"/>
    </row>
    <row r="80" spans="1:35">
      <c r="A80" s="1"/>
      <c r="B80" s="1"/>
      <c r="C80" s="1"/>
      <c r="D80" s="1"/>
      <c r="E80" s="1"/>
      <c r="F80" s="1"/>
      <c r="G80" s="1"/>
      <c r="H80" s="1"/>
      <c r="I80" s="1"/>
      <c r="J80" s="1"/>
      <c r="K80" s="369"/>
      <c r="L80" s="1"/>
      <c r="M80" s="1"/>
      <c r="N80" s="1"/>
      <c r="O80" s="1"/>
      <c r="P80" s="1"/>
      <c r="Q80" s="1"/>
      <c r="R80" s="1"/>
      <c r="S80" s="1"/>
      <c r="T80" s="1"/>
      <c r="U80" s="1"/>
      <c r="V80" s="1"/>
      <c r="W80" s="1"/>
      <c r="X80" s="1"/>
      <c r="Y80" s="1"/>
      <c r="Z80" s="1"/>
      <c r="AA80" s="1"/>
      <c r="AB80" s="1"/>
      <c r="AC80" s="1"/>
      <c r="AD80" s="1"/>
      <c r="AE80" s="1"/>
      <c r="AF80" s="1"/>
      <c r="AG80" s="1"/>
      <c r="AH80" s="1"/>
      <c r="AI80" s="1"/>
    </row>
    <row r="81" spans="1:35">
      <c r="A81" s="1"/>
      <c r="B81" s="1"/>
      <c r="C81" s="1"/>
      <c r="D81" s="1"/>
      <c r="E81" s="1"/>
      <c r="F81" s="1"/>
      <c r="G81" s="1"/>
      <c r="H81" s="1"/>
      <c r="I81" s="1"/>
      <c r="J81" s="1"/>
      <c r="K81" s="369"/>
      <c r="L81" s="1"/>
      <c r="M81" s="1"/>
      <c r="N81" s="1"/>
      <c r="O81" s="1"/>
      <c r="P81" s="1"/>
      <c r="Q81" s="1"/>
      <c r="R81" s="1"/>
      <c r="S81" s="1"/>
      <c r="T81" s="1"/>
      <c r="U81" s="1"/>
      <c r="V81" s="1"/>
      <c r="W81" s="1"/>
      <c r="X81" s="1"/>
      <c r="Y81" s="1"/>
      <c r="Z81" s="1"/>
      <c r="AA81" s="1"/>
      <c r="AB81" s="1"/>
      <c r="AC81" s="1"/>
      <c r="AD81" s="1"/>
      <c r="AE81" s="1"/>
      <c r="AF81" s="1"/>
      <c r="AG81" s="1"/>
      <c r="AH81" s="1"/>
      <c r="AI81" s="1"/>
    </row>
    <row r="82" spans="1:35">
      <c r="A82" s="1"/>
      <c r="B82" s="1"/>
      <c r="C82" s="1"/>
      <c r="D82" s="1"/>
      <c r="E82" s="1"/>
      <c r="F82" s="1"/>
      <c r="G82" s="1"/>
      <c r="H82" s="1"/>
      <c r="I82" s="1"/>
      <c r="J82" s="1"/>
      <c r="K82" s="369"/>
      <c r="L82" s="1"/>
      <c r="M82" s="1"/>
      <c r="N82" s="1"/>
      <c r="O82" s="1"/>
      <c r="P82" s="1"/>
      <c r="Q82" s="1"/>
      <c r="R82" s="1"/>
      <c r="S82" s="1"/>
      <c r="T82" s="1"/>
      <c r="U82" s="1"/>
      <c r="V82" s="1"/>
      <c r="W82" s="1"/>
      <c r="X82" s="1"/>
      <c r="Y82" s="1"/>
      <c r="Z82" s="1"/>
      <c r="AA82" s="1"/>
      <c r="AB82" s="1"/>
      <c r="AC82" s="1"/>
      <c r="AD82" s="1"/>
      <c r="AE82" s="1"/>
      <c r="AF82" s="1"/>
      <c r="AG82" s="1"/>
      <c r="AH82" s="1"/>
      <c r="AI82" s="1"/>
    </row>
    <row r="83" spans="1:35">
      <c r="A83" s="1"/>
      <c r="B83" s="1"/>
      <c r="C83" s="1"/>
      <c r="D83" s="1"/>
      <c r="E83" s="1"/>
      <c r="F83" s="1"/>
      <c r="G83" s="1"/>
      <c r="H83" s="1"/>
      <c r="I83" s="1"/>
      <c r="J83" s="1"/>
      <c r="K83" s="369"/>
      <c r="L83" s="1"/>
      <c r="M83" s="1"/>
      <c r="N83" s="1"/>
      <c r="O83" s="1"/>
      <c r="P83" s="1"/>
      <c r="Q83" s="1"/>
      <c r="R83" s="1"/>
      <c r="S83" s="1"/>
      <c r="T83" s="1"/>
      <c r="U83" s="1"/>
      <c r="V83" s="1"/>
      <c r="W83" s="1"/>
      <c r="X83" s="1"/>
      <c r="Y83" s="1"/>
      <c r="Z83" s="1"/>
      <c r="AA83" s="1"/>
      <c r="AB83" s="1"/>
      <c r="AC83" s="1"/>
      <c r="AD83" s="1"/>
      <c r="AE83" s="1"/>
      <c r="AF83" s="1"/>
      <c r="AG83" s="1"/>
      <c r="AH83" s="1"/>
      <c r="AI83" s="1"/>
    </row>
    <row r="84" spans="1:3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spans="1:3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spans="1:3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spans="1:3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spans="1:3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spans="1:3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spans="1:3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spans="1:3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spans="1:3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spans="1:3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spans="1:3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1:3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spans="1:3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spans="1:3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row r="98" spans="1:3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row>
    <row r="99" spans="1:3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row>
    <row r="100" spans="1: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row>
    <row r="101" spans="1: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row>
    <row r="102" spans="1: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row>
    <row r="103" spans="1: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row>
    <row r="104" spans="1: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row>
    <row r="105" spans="1: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spans="1: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row>
    <row r="107" spans="1: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row>
    <row r="108" spans="1: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row>
    <row r="109" spans="1: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spans="1: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spans="1: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spans="1: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spans="1: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spans="1: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spans="1: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spans="1: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spans="1: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spans="1: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spans="1: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spans="1: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spans="1: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spans="1: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spans="1: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spans="1: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spans="1: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spans="1: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spans="1: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spans="1: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spans="1: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spans="1: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spans="1: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spans="1: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spans="1: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spans="1: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spans="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spans="1: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spans="1: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spans="1: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spans="1: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spans="1: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spans="1: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spans="1: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spans="1:35">
      <c r="A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C7F48-2C04-4736-A7FC-B90E14461610}">
  <dimension ref="A1:AD421"/>
  <sheetViews>
    <sheetView topLeftCell="B22" zoomScale="110" zoomScaleNormal="110" workbookViewId="0">
      <selection activeCell="B112" sqref="B112"/>
    </sheetView>
  </sheetViews>
  <sheetFormatPr defaultRowHeight="14.4"/>
  <cols>
    <col min="1" max="1" width="2.33203125" customWidth="1"/>
    <col min="2" max="2" width="10.88671875" customWidth="1"/>
    <col min="3" max="3" width="10" customWidth="1"/>
    <col min="4" max="4" width="17.109375" customWidth="1"/>
    <col min="5" max="5" width="14.109375" customWidth="1"/>
    <col min="6" max="7" width="22" customWidth="1"/>
    <col min="8" max="8" width="15.33203125" customWidth="1"/>
    <col min="9" max="9" width="14.33203125" bestFit="1" customWidth="1"/>
    <col min="10" max="13" width="17.109375" bestFit="1" customWidth="1"/>
    <col min="14" max="14" width="17.88671875" customWidth="1"/>
    <col min="15" max="15" width="16.109375" customWidth="1"/>
    <col min="16" max="16" width="18.44140625" customWidth="1"/>
    <col min="17" max="17" width="11.109375" bestFit="1" customWidth="1"/>
    <col min="18" max="18" width="16.44140625" bestFit="1" customWidth="1"/>
  </cols>
  <sheetData>
    <row r="1" spans="1:30" ht="41.25" customHeight="1">
      <c r="A1" s="59"/>
      <c r="B1" s="403" t="s">
        <v>669</v>
      </c>
      <c r="C1" s="402"/>
      <c r="D1" s="402"/>
      <c r="E1" s="402"/>
      <c r="F1" s="402"/>
      <c r="G1" s="402"/>
      <c r="H1" s="402"/>
      <c r="I1" s="402"/>
      <c r="J1" s="381"/>
      <c r="K1" s="381"/>
      <c r="L1" s="381"/>
      <c r="M1" s="381"/>
      <c r="N1" s="381"/>
      <c r="O1" s="381"/>
      <c r="P1" s="381"/>
      <c r="Q1" s="381"/>
      <c r="R1" s="381"/>
      <c r="S1" s="381"/>
      <c r="T1" s="381"/>
      <c r="U1" s="381"/>
      <c r="V1" s="381"/>
      <c r="W1" s="381"/>
      <c r="X1" s="381"/>
      <c r="Y1" s="381"/>
      <c r="Z1" s="59"/>
      <c r="AA1" s="59"/>
      <c r="AB1" s="59"/>
      <c r="AC1" s="59"/>
      <c r="AD1" s="59"/>
    </row>
    <row r="2" spans="1:30" ht="15" customHeight="1">
      <c r="A2" s="59"/>
      <c r="B2" s="403"/>
      <c r="C2" s="402"/>
      <c r="D2" s="402"/>
      <c r="E2" s="402"/>
      <c r="F2" s="402"/>
      <c r="G2" s="402"/>
      <c r="H2" s="402"/>
      <c r="I2" s="402"/>
      <c r="J2" s="381"/>
      <c r="K2" s="381"/>
      <c r="L2" s="381"/>
      <c r="M2" s="381"/>
      <c r="N2" s="381"/>
      <c r="O2" s="381"/>
      <c r="P2" s="381"/>
      <c r="Q2" s="381"/>
      <c r="R2" s="381"/>
      <c r="S2" s="381"/>
      <c r="T2" s="381"/>
      <c r="U2" s="381"/>
      <c r="V2" s="381"/>
      <c r="W2" s="381"/>
      <c r="X2" s="381"/>
      <c r="Y2" s="381"/>
      <c r="Z2" s="59"/>
      <c r="AA2" s="59"/>
      <c r="AB2" s="59"/>
      <c r="AC2" s="59"/>
      <c r="AD2" s="59"/>
    </row>
    <row r="3" spans="1:30" s="62" customFormat="1" ht="6.75" customHeight="1">
      <c r="B3" s="383"/>
      <c r="C3" s="383"/>
      <c r="D3" s="383"/>
      <c r="E3" s="383"/>
      <c r="F3" s="383"/>
      <c r="G3" s="383"/>
      <c r="H3" s="383"/>
      <c r="I3" s="383"/>
      <c r="J3" s="383"/>
      <c r="K3" s="383"/>
      <c r="L3" s="383"/>
      <c r="M3" s="383"/>
      <c r="N3" s="383"/>
      <c r="O3" s="383"/>
      <c r="P3" s="383"/>
      <c r="Q3" s="383"/>
      <c r="R3" s="383"/>
      <c r="S3" s="383"/>
      <c r="T3" s="383"/>
      <c r="U3" s="383"/>
      <c r="V3" s="383"/>
      <c r="W3" s="383"/>
      <c r="X3" s="383"/>
      <c r="Y3" s="383"/>
    </row>
    <row r="4" spans="1:30">
      <c r="A4" s="1"/>
      <c r="B4" s="126"/>
      <c r="C4" s="126"/>
      <c r="D4" s="126"/>
      <c r="E4" s="126"/>
      <c r="F4" s="126"/>
      <c r="G4" s="126"/>
      <c r="H4" s="126"/>
      <c r="I4" s="126"/>
      <c r="J4" s="126"/>
      <c r="K4" s="126"/>
      <c r="L4" s="126"/>
      <c r="M4" s="126"/>
      <c r="N4" s="126"/>
      <c r="O4" s="126"/>
      <c r="P4" s="126"/>
      <c r="Q4" s="126"/>
      <c r="R4" s="126"/>
      <c r="S4" s="126"/>
      <c r="T4" s="126"/>
      <c r="U4" s="126"/>
      <c r="V4" s="126"/>
      <c r="W4" s="126"/>
      <c r="X4" s="126"/>
      <c r="Y4" s="126"/>
      <c r="Z4" s="1"/>
      <c r="AA4" s="1"/>
      <c r="AB4" s="1"/>
      <c r="AC4" s="1"/>
      <c r="AD4" s="1"/>
    </row>
    <row r="5" spans="1:30" ht="24.6">
      <c r="A5" s="1"/>
      <c r="B5" s="2"/>
      <c r="C5" s="401"/>
      <c r="D5" s="2"/>
      <c r="E5" s="2"/>
      <c r="F5" s="2"/>
      <c r="G5" s="2"/>
      <c r="H5" s="2"/>
      <c r="I5" s="126"/>
      <c r="J5" s="126"/>
      <c r="K5" s="126"/>
      <c r="L5" s="126"/>
      <c r="M5" s="126"/>
      <c r="N5" s="126"/>
      <c r="O5" s="126"/>
      <c r="P5" s="1"/>
      <c r="Q5" s="1"/>
      <c r="R5" s="1"/>
      <c r="S5" s="1"/>
      <c r="T5" s="1"/>
      <c r="U5" s="1"/>
      <c r="V5" s="1"/>
      <c r="W5" s="1"/>
      <c r="X5" s="1"/>
      <c r="Y5" s="126"/>
      <c r="Z5" s="1"/>
      <c r="AA5" s="1"/>
      <c r="AB5" s="1"/>
      <c r="AC5" s="1"/>
      <c r="AD5" s="1"/>
    </row>
    <row r="6" spans="1:30">
      <c r="A6" s="1"/>
      <c r="B6" s="2"/>
      <c r="C6" s="2"/>
      <c r="D6" s="2"/>
      <c r="E6" s="927"/>
      <c r="F6" s="927"/>
      <c r="G6" s="927"/>
      <c r="H6" s="927"/>
      <c r="I6" s="126"/>
      <c r="J6" s="126"/>
      <c r="K6" s="126"/>
      <c r="L6" s="126"/>
      <c r="M6" s="126"/>
      <c r="N6" s="126"/>
      <c r="O6" s="126"/>
      <c r="P6" s="1"/>
      <c r="Q6" s="1"/>
      <c r="R6" s="1"/>
      <c r="S6" s="1"/>
      <c r="T6" s="1"/>
      <c r="U6" s="1"/>
      <c r="V6" s="1"/>
      <c r="W6" s="1"/>
      <c r="X6" s="1"/>
      <c r="Y6" s="126"/>
      <c r="Z6" s="1"/>
      <c r="AA6" s="1"/>
      <c r="AB6" s="1"/>
      <c r="AC6" s="1"/>
      <c r="AD6" s="1"/>
    </row>
    <row r="7" spans="1:30">
      <c r="A7" s="1"/>
      <c r="B7" s="2"/>
      <c r="C7" s="2"/>
      <c r="D7" s="398"/>
      <c r="E7" s="399"/>
      <c r="F7" s="399"/>
      <c r="G7" s="399"/>
      <c r="H7" s="399"/>
      <c r="I7" s="126"/>
      <c r="J7" s="126"/>
      <c r="K7" s="126"/>
      <c r="L7" s="126"/>
      <c r="M7" s="126"/>
      <c r="N7" s="126"/>
      <c r="O7" s="126"/>
      <c r="P7" s="1"/>
      <c r="Q7" s="1"/>
      <c r="R7" s="1"/>
      <c r="S7" s="1"/>
      <c r="T7" s="1"/>
      <c r="U7" s="1"/>
      <c r="V7" s="1"/>
      <c r="W7" s="1"/>
      <c r="X7" s="1"/>
      <c r="Y7" s="126"/>
      <c r="Z7" s="1"/>
      <c r="AA7" s="1"/>
      <c r="AB7" s="1"/>
      <c r="AC7" s="1"/>
      <c r="AD7" s="1"/>
    </row>
    <row r="8" spans="1:30" ht="34.799999999999997">
      <c r="A8" s="680" t="s">
        <v>733</v>
      </c>
      <c r="B8" s="1"/>
      <c r="C8" s="1"/>
      <c r="D8" s="1"/>
      <c r="E8" s="1"/>
      <c r="F8" s="1"/>
      <c r="G8" s="1"/>
      <c r="H8" s="1"/>
      <c r="I8" s="1"/>
      <c r="J8" s="1"/>
      <c r="K8" s="1"/>
      <c r="L8" s="1"/>
      <c r="M8" s="1"/>
      <c r="N8" s="1"/>
      <c r="O8" s="1"/>
      <c r="P8" s="1"/>
      <c r="Q8" s="1"/>
      <c r="R8" s="1"/>
      <c r="S8" s="1"/>
      <c r="T8" s="1"/>
      <c r="U8" s="1"/>
      <c r="V8" s="1"/>
      <c r="W8" s="1"/>
      <c r="X8" s="1"/>
      <c r="Y8" s="126"/>
      <c r="Z8" s="1"/>
      <c r="AA8" s="1"/>
      <c r="AB8" s="1"/>
      <c r="AC8" s="1"/>
      <c r="AD8" s="1"/>
    </row>
    <row r="9" spans="1:30" ht="19.2">
      <c r="A9" s="1"/>
      <c r="B9" s="400" t="s">
        <v>519</v>
      </c>
      <c r="C9" s="126"/>
      <c r="D9" s="126"/>
      <c r="E9" s="126"/>
      <c r="F9" s="126"/>
      <c r="G9" s="126"/>
      <c r="H9" s="126"/>
      <c r="I9" s="126"/>
      <c r="J9" s="126"/>
      <c r="K9" s="126"/>
      <c r="L9" s="126"/>
      <c r="M9" s="126"/>
      <c r="N9" s="126"/>
      <c r="O9" s="126"/>
      <c r="P9" s="126"/>
      <c r="Q9" s="126"/>
      <c r="R9" s="126"/>
      <c r="S9" s="126"/>
      <c r="T9" s="126"/>
      <c r="U9" s="126"/>
      <c r="V9" s="126"/>
      <c r="W9" s="126"/>
      <c r="X9" s="126"/>
      <c r="Y9" s="126"/>
      <c r="Z9" s="1"/>
      <c r="AA9" s="1"/>
      <c r="AB9" s="1"/>
      <c r="AC9" s="1"/>
      <c r="AD9" s="1"/>
    </row>
    <row r="10" spans="1:30">
      <c r="A10" s="1"/>
      <c r="B10" s="928" t="s">
        <v>729</v>
      </c>
      <c r="C10" s="928"/>
      <c r="D10" s="928"/>
      <c r="E10" s="928"/>
      <c r="F10" s="928"/>
      <c r="G10" s="928"/>
      <c r="H10" s="928"/>
      <c r="I10" s="928"/>
      <c r="J10" s="928"/>
      <c r="K10" s="928"/>
      <c r="L10" s="928"/>
      <c r="M10" s="928"/>
      <c r="N10" s="126"/>
      <c r="O10" s="126"/>
      <c r="P10" s="126"/>
      <c r="Q10" s="126"/>
      <c r="R10" s="126"/>
      <c r="S10" s="126"/>
      <c r="T10" s="126"/>
      <c r="U10" s="126"/>
      <c r="V10" s="126"/>
      <c r="W10" s="126"/>
      <c r="X10" s="126"/>
      <c r="Y10" s="126"/>
      <c r="Z10" s="1"/>
      <c r="AA10" s="1"/>
      <c r="AB10" s="1"/>
      <c r="AC10" s="1"/>
      <c r="AD10" s="1"/>
    </row>
    <row r="11" spans="1:30">
      <c r="A11" s="1"/>
      <c r="B11" s="928"/>
      <c r="C11" s="928"/>
      <c r="D11" s="928"/>
      <c r="E11" s="928"/>
      <c r="F11" s="928"/>
      <c r="G11" s="928"/>
      <c r="H11" s="928"/>
      <c r="I11" s="928"/>
      <c r="J11" s="928"/>
      <c r="K11" s="928"/>
      <c r="L11" s="928"/>
      <c r="M11" s="928"/>
      <c r="N11" s="126"/>
      <c r="O11" s="126"/>
      <c r="P11" s="126"/>
      <c r="Q11" s="126"/>
      <c r="R11" s="126"/>
      <c r="S11" s="126"/>
      <c r="T11" s="126"/>
      <c r="U11" s="126"/>
      <c r="V11" s="126"/>
      <c r="W11" s="126"/>
      <c r="X11" s="126"/>
      <c r="Y11" s="126"/>
      <c r="Z11" s="1"/>
      <c r="AA11" s="1"/>
      <c r="AB11" s="1"/>
      <c r="AC11" s="1"/>
      <c r="AD11" s="1"/>
    </row>
    <row r="12" spans="1:30">
      <c r="A12" s="1"/>
      <c r="B12" s="126" t="s">
        <v>734</v>
      </c>
      <c r="C12" s="410"/>
      <c r="D12" s="410"/>
      <c r="E12" s="410"/>
      <c r="F12" s="410"/>
      <c r="G12" s="409">
        <f>AVERAGE(F30:I30)</f>
        <v>0.10710872645178841</v>
      </c>
      <c r="I12" s="409"/>
      <c r="K12" s="1"/>
      <c r="L12" s="1"/>
      <c r="M12" s="1"/>
      <c r="N12" s="1"/>
      <c r="O12" s="126"/>
      <c r="P12" s="126"/>
      <c r="Q12" s="126"/>
      <c r="R12" s="126"/>
      <c r="S12" s="126"/>
      <c r="T12" s="126"/>
      <c r="U12" s="126"/>
      <c r="V12" s="126"/>
      <c r="W12" s="126"/>
      <c r="X12" s="126"/>
      <c r="Y12" s="126"/>
      <c r="Z12" s="1"/>
      <c r="AA12" s="1"/>
      <c r="AB12" s="1"/>
      <c r="AC12" s="1"/>
      <c r="AD12" s="1"/>
    </row>
    <row r="13" spans="1:30">
      <c r="A13" s="1"/>
      <c r="B13" s="126" t="s">
        <v>723</v>
      </c>
      <c r="C13" s="126"/>
      <c r="D13" s="126"/>
      <c r="E13" s="414">
        <v>7.6797343881065003E-2</v>
      </c>
      <c r="G13" s="126"/>
      <c r="H13" s="1"/>
      <c r="I13" s="1"/>
      <c r="J13" s="1"/>
      <c r="K13" s="1"/>
      <c r="L13" s="126"/>
      <c r="M13" s="126"/>
      <c r="N13" s="126"/>
      <c r="O13" s="126"/>
      <c r="P13" s="126"/>
      <c r="Q13" s="126"/>
      <c r="R13" s="126"/>
      <c r="S13" s="126"/>
      <c r="T13" s="126"/>
      <c r="U13" s="126"/>
      <c r="V13" s="126"/>
      <c r="W13" s="126"/>
      <c r="X13" s="126"/>
      <c r="Y13" s="126"/>
      <c r="Z13" s="1"/>
      <c r="AA13" s="1"/>
      <c r="AB13" s="1"/>
      <c r="AC13" s="1"/>
      <c r="AD13" s="1"/>
    </row>
    <row r="14" spans="1:30">
      <c r="B14" s="126" t="s">
        <v>724</v>
      </c>
      <c r="C14" s="404">
        <v>0.27900000000000003</v>
      </c>
      <c r="D14" s="1"/>
      <c r="E14" s="1"/>
      <c r="F14" s="1"/>
      <c r="G14" s="126"/>
      <c r="H14" s="404"/>
      <c r="J14" s="126"/>
      <c r="K14" s="126"/>
      <c r="L14" s="126"/>
      <c r="M14" s="126"/>
      <c r="N14" s="126"/>
      <c r="O14" s="126"/>
      <c r="P14" s="126"/>
      <c r="Q14" s="126"/>
      <c r="R14" s="126"/>
      <c r="S14" s="126"/>
      <c r="T14" s="126"/>
      <c r="U14" s="126"/>
      <c r="V14" s="126"/>
      <c r="W14" s="126"/>
      <c r="X14" s="126"/>
      <c r="Y14" s="126"/>
      <c r="Z14" s="1"/>
      <c r="AA14" s="1"/>
      <c r="AB14" s="1"/>
      <c r="AC14" s="1"/>
      <c r="AD14" s="1"/>
    </row>
    <row r="15" spans="1:30">
      <c r="A15" s="1"/>
      <c r="B15" s="126" t="s">
        <v>523</v>
      </c>
      <c r="C15" s="408">
        <f>WACC!G63</f>
        <v>4.6973765901696225E-2</v>
      </c>
      <c r="D15" s="126"/>
      <c r="E15" s="406"/>
      <c r="F15" s="408"/>
      <c r="G15" s="126"/>
      <c r="H15" s="126"/>
      <c r="I15" s="126"/>
      <c r="J15" s="126"/>
      <c r="K15" s="1"/>
      <c r="L15" s="126"/>
      <c r="M15" s="126"/>
      <c r="N15" s="126"/>
      <c r="O15" s="126"/>
      <c r="P15" s="126"/>
      <c r="Q15" s="126"/>
      <c r="R15" s="126"/>
      <c r="S15" s="126"/>
      <c r="T15" s="126"/>
      <c r="U15" s="126"/>
      <c r="V15" s="126"/>
      <c r="W15" s="126"/>
      <c r="X15" s="126"/>
      <c r="Y15" s="126"/>
      <c r="Z15" s="1"/>
      <c r="AA15" s="1"/>
      <c r="AB15" s="1"/>
      <c r="AC15" s="1"/>
      <c r="AD15" s="1"/>
    </row>
    <row r="16" spans="1:30">
      <c r="A16" s="1"/>
      <c r="B16" s="406" t="s">
        <v>522</v>
      </c>
      <c r="C16" s="408">
        <f>(E13+1.2%)/2</f>
        <v>4.43986719405325E-2</v>
      </c>
      <c r="E16" s="1"/>
      <c r="F16" s="1"/>
      <c r="G16" s="126"/>
      <c r="H16" s="126"/>
      <c r="I16" s="126"/>
      <c r="J16" s="126"/>
      <c r="L16" s="126"/>
      <c r="M16" s="126"/>
      <c r="N16" s="126"/>
      <c r="O16" s="126"/>
      <c r="P16" s="126"/>
      <c r="Q16" s="126"/>
      <c r="R16" s="126"/>
      <c r="S16" s="126"/>
      <c r="T16" s="126"/>
      <c r="U16" s="126"/>
      <c r="V16" s="126"/>
      <c r="W16" s="126"/>
      <c r="X16" s="126"/>
      <c r="Y16" s="126"/>
      <c r="Z16" s="1"/>
      <c r="AA16" s="1"/>
      <c r="AB16" s="1"/>
      <c r="AC16" s="1"/>
      <c r="AD16" s="1"/>
    </row>
    <row r="17" spans="1:30">
      <c r="A17" s="1"/>
      <c r="B17" s="407" t="s">
        <v>522</v>
      </c>
      <c r="C17" s="390">
        <f>WACC!G65</f>
        <v>5.2796758797357256E-2</v>
      </c>
      <c r="D17" s="126"/>
      <c r="E17" s="126"/>
      <c r="F17" s="126"/>
      <c r="G17" s="409"/>
      <c r="H17" s="414"/>
      <c r="I17" s="126"/>
      <c r="J17" s="126"/>
      <c r="K17" s="126"/>
      <c r="L17" s="126"/>
      <c r="M17" s="126"/>
      <c r="N17" s="126"/>
      <c r="O17" s="126"/>
      <c r="P17" s="126"/>
      <c r="Q17" s="126"/>
      <c r="R17" s="126"/>
      <c r="S17" s="126"/>
      <c r="T17" s="126"/>
      <c r="U17" s="126"/>
      <c r="V17" s="126"/>
      <c r="W17" s="126"/>
      <c r="X17" s="126"/>
      <c r="Y17" s="126"/>
      <c r="Z17" s="1"/>
      <c r="AA17" s="1"/>
      <c r="AB17" s="1"/>
      <c r="AC17" s="1"/>
      <c r="AD17" s="1"/>
    </row>
    <row r="18" spans="1:30">
      <c r="A18" s="1"/>
      <c r="B18" s="410" t="s">
        <v>661</v>
      </c>
      <c r="C18" s="410"/>
      <c r="D18" s="410"/>
      <c r="E18" s="410"/>
      <c r="F18" s="410"/>
      <c r="G18" s="409">
        <v>0.11</v>
      </c>
      <c r="I18" s="126"/>
      <c r="J18" s="126"/>
      <c r="K18" s="126"/>
      <c r="L18" s="126"/>
      <c r="M18" s="126"/>
      <c r="N18" s="126"/>
      <c r="O18" s="126"/>
      <c r="P18" s="126"/>
      <c r="Q18" s="126"/>
      <c r="R18" s="126"/>
      <c r="S18" s="126"/>
      <c r="T18" s="126"/>
      <c r="U18" s="126"/>
      <c r="V18" s="126"/>
      <c r="W18" s="126"/>
      <c r="X18" s="126"/>
      <c r="Y18" s="126"/>
      <c r="Z18" s="1"/>
      <c r="AA18" s="1"/>
      <c r="AB18" s="1"/>
      <c r="AC18" s="1"/>
      <c r="AD18" s="1"/>
    </row>
    <row r="19" spans="1:30">
      <c r="A19" s="1"/>
      <c r="B19" s="410" t="s">
        <v>662</v>
      </c>
      <c r="C19" s="410"/>
      <c r="D19" s="410"/>
      <c r="E19" s="410"/>
      <c r="F19" s="410"/>
      <c r="G19" s="410"/>
      <c r="H19" s="409">
        <f>AVERAGE(F46,H46:I46)</f>
        <v>0.59912998234232473</v>
      </c>
      <c r="I19" s="1"/>
      <c r="K19" s="1"/>
      <c r="L19" s="1"/>
      <c r="M19" s="1"/>
      <c r="N19" s="126"/>
      <c r="O19" s="126"/>
      <c r="P19" s="126"/>
      <c r="Q19" s="126"/>
      <c r="R19" s="126"/>
      <c r="S19" s="126"/>
      <c r="T19" s="126"/>
      <c r="U19" s="126"/>
      <c r="V19" s="126"/>
      <c r="W19" s="126"/>
      <c r="X19" s="126"/>
      <c r="Y19" s="126"/>
      <c r="Z19" s="1"/>
      <c r="AA19" s="1"/>
      <c r="AB19" s="1"/>
      <c r="AC19" s="1"/>
      <c r="AD19" s="1"/>
    </row>
    <row r="20" spans="1:30">
      <c r="A20" s="1"/>
      <c r="B20" s="126" t="s">
        <v>735</v>
      </c>
      <c r="C20" s="1"/>
      <c r="D20" s="1"/>
      <c r="E20" s="1"/>
      <c r="F20" s="1"/>
      <c r="G20" s="896">
        <f>AVERAGE(F34:I34)</f>
        <v>-43</v>
      </c>
      <c r="H20" s="1"/>
      <c r="J20" s="1"/>
      <c r="K20" s="1"/>
      <c r="L20" s="1"/>
      <c r="M20" s="1"/>
      <c r="N20" s="126"/>
      <c r="O20" s="126"/>
      <c r="P20" s="126"/>
      <c r="Q20" s="1"/>
      <c r="R20" s="126"/>
      <c r="S20" s="126"/>
      <c r="T20" s="126"/>
      <c r="U20" s="126"/>
      <c r="V20" s="126"/>
      <c r="W20" s="126"/>
      <c r="X20" s="126"/>
      <c r="Y20" s="126"/>
      <c r="Z20" s="1"/>
      <c r="AA20" s="1"/>
      <c r="AB20" s="1"/>
      <c r="AC20" s="1"/>
      <c r="AD20" s="1"/>
    </row>
    <row r="21" spans="1:30">
      <c r="A21" s="1"/>
      <c r="B21" s="1" t="s">
        <v>663</v>
      </c>
      <c r="C21" s="126"/>
      <c r="D21" s="126"/>
      <c r="E21" s="705">
        <f>AVERAGE(G49:I49)</f>
        <v>0.29511823035850493</v>
      </c>
      <c r="G21" s="408"/>
      <c r="H21" s="126"/>
      <c r="I21" s="1"/>
      <c r="J21" s="1"/>
      <c r="K21" s="126"/>
      <c r="L21" s="126"/>
      <c r="M21" s="126"/>
      <c r="N21" s="126"/>
      <c r="O21" s="126"/>
      <c r="P21" s="126"/>
      <c r="Q21" s="126"/>
      <c r="R21" s="126"/>
      <c r="S21" s="126"/>
      <c r="T21" s="126"/>
      <c r="U21" s="126"/>
      <c r="V21" s="126"/>
      <c r="W21" s="126"/>
      <c r="X21" s="126"/>
      <c r="Y21" s="126"/>
      <c r="Z21" s="1"/>
      <c r="AA21" s="1"/>
      <c r="AB21" s="1"/>
      <c r="AC21" s="1"/>
      <c r="AD21" s="1"/>
    </row>
    <row r="22" spans="1:30">
      <c r="A22" s="1"/>
      <c r="B22" s="1" t="s">
        <v>664</v>
      </c>
      <c r="C22" s="1"/>
      <c r="D22" s="1"/>
      <c r="E22" s="1"/>
      <c r="F22" s="409">
        <f>AVERAGE(G51:I51)</f>
        <v>-0.63421168203776901</v>
      </c>
      <c r="G22" s="1"/>
      <c r="H22" s="1"/>
      <c r="I22" s="126"/>
      <c r="J22" s="126"/>
      <c r="K22" s="126"/>
      <c r="L22" s="126"/>
      <c r="M22" s="126"/>
      <c r="N22" s="126"/>
      <c r="O22" s="126"/>
      <c r="P22" s="412"/>
      <c r="Q22" s="126"/>
      <c r="R22" s="126"/>
      <c r="S22" s="126"/>
      <c r="T22" s="126"/>
      <c r="U22" s="126"/>
      <c r="V22" s="126"/>
      <c r="W22" s="126"/>
      <c r="X22" s="126"/>
      <c r="Y22" s="126"/>
      <c r="Z22" s="1"/>
      <c r="AA22" s="1"/>
      <c r="AB22" s="1"/>
      <c r="AC22" s="1"/>
      <c r="AD22" s="1"/>
    </row>
    <row r="23" spans="1:30">
      <c r="A23" s="1"/>
      <c r="B23" s="126" t="s">
        <v>665</v>
      </c>
      <c r="E23" s="1"/>
      <c r="F23" s="409">
        <f>AVERAGE(G53:I53)</f>
        <v>0.26192328692328681</v>
      </c>
      <c r="H23" s="1"/>
      <c r="I23" s="1"/>
      <c r="J23" s="126"/>
      <c r="K23" s="126"/>
      <c r="L23" s="126"/>
      <c r="M23" s="126"/>
      <c r="N23" s="126"/>
      <c r="O23" s="126"/>
      <c r="P23" s="126"/>
      <c r="Q23" s="126"/>
      <c r="R23" s="126"/>
      <c r="S23" s="126"/>
      <c r="T23" s="126"/>
      <c r="U23" s="126"/>
      <c r="V23" s="126"/>
      <c r="W23" s="126"/>
      <c r="X23" s="126"/>
      <c r="Y23" s="126"/>
      <c r="Z23" s="1"/>
      <c r="AA23" s="1"/>
      <c r="AB23" s="1"/>
      <c r="AC23" s="1"/>
      <c r="AD23" s="1"/>
    </row>
    <row r="24" spans="1:30">
      <c r="A24" s="1"/>
      <c r="B24" s="126" t="s">
        <v>666</v>
      </c>
      <c r="C24" s="126"/>
      <c r="D24" s="126"/>
      <c r="E24" s="126"/>
      <c r="F24" s="409">
        <f>AVERAGE(G55:I55)</f>
        <v>-2.647868797868798</v>
      </c>
      <c r="G24" s="1"/>
      <c r="H24" s="126"/>
      <c r="I24" s="126"/>
      <c r="J24" s="126"/>
      <c r="K24" s="126"/>
      <c r="L24" s="126"/>
      <c r="M24" s="126"/>
      <c r="N24" s="126"/>
      <c r="O24" s="126"/>
      <c r="P24" s="126"/>
      <c r="Q24" s="126"/>
      <c r="R24" s="126"/>
      <c r="S24" s="126"/>
      <c r="T24" s="126"/>
      <c r="U24" s="126"/>
      <c r="V24" s="126"/>
      <c r="W24" s="126"/>
      <c r="X24" s="126"/>
      <c r="Y24" s="126"/>
      <c r="Z24" s="1"/>
      <c r="AA24" s="1"/>
      <c r="AB24" s="1"/>
      <c r="AC24" s="1"/>
      <c r="AD24" s="1"/>
    </row>
    <row r="25" spans="1:30">
      <c r="A25" s="1"/>
      <c r="B25" s="126" t="s">
        <v>667</v>
      </c>
      <c r="C25" s="1"/>
      <c r="D25" s="1"/>
      <c r="E25" s="1"/>
      <c r="F25" s="409">
        <f>AVERAGE(G57:I57)</f>
        <v>9.0530217335866598E-3</v>
      </c>
      <c r="H25" s="1"/>
      <c r="I25" s="1"/>
      <c r="J25" s="1"/>
      <c r="K25" s="1"/>
      <c r="L25" s="1"/>
      <c r="M25" s="1"/>
      <c r="N25" s="1"/>
      <c r="O25" s="161"/>
      <c r="P25" s="126"/>
      <c r="Q25" s="126"/>
      <c r="R25" s="126"/>
      <c r="S25" s="126"/>
      <c r="T25" s="126"/>
      <c r="U25" s="126"/>
      <c r="V25" s="126"/>
      <c r="W25" s="126"/>
      <c r="X25" s="126"/>
      <c r="Y25" s="126"/>
      <c r="Z25" s="1"/>
      <c r="AA25" s="1"/>
      <c r="AB25" s="1"/>
      <c r="AC25" s="1"/>
      <c r="AD25" s="1"/>
    </row>
    <row r="26" spans="1:30">
      <c r="A26" s="1"/>
      <c r="C26" s="1"/>
      <c r="D26" s="1"/>
      <c r="E26" s="1"/>
      <c r="G26" s="1"/>
      <c r="H26" s="1"/>
      <c r="I26" s="1"/>
      <c r="J26" s="1"/>
      <c r="K26" s="1"/>
      <c r="L26" s="1"/>
      <c r="M26" s="1"/>
      <c r="N26" s="1"/>
      <c r="O26" s="126"/>
      <c r="P26" s="126"/>
      <c r="Q26" s="126"/>
      <c r="R26" s="126"/>
      <c r="S26" s="126"/>
      <c r="T26" s="126"/>
      <c r="U26" s="126"/>
      <c r="V26" s="126"/>
      <c r="W26" s="126"/>
      <c r="X26" s="126"/>
      <c r="Y26" s="126"/>
      <c r="Z26" s="1"/>
      <c r="AA26" s="1"/>
      <c r="AB26" s="1"/>
      <c r="AC26" s="1"/>
      <c r="AD26" s="1"/>
    </row>
    <row r="27" spans="1:30">
      <c r="A27" s="1"/>
      <c r="B27" s="126"/>
      <c r="C27" s="126"/>
      <c r="D27" s="126"/>
      <c r="E27" s="14"/>
      <c r="F27" s="913" t="s">
        <v>158</v>
      </c>
      <c r="G27" s="913"/>
      <c r="H27" s="913"/>
      <c r="I27" s="929"/>
      <c r="J27" s="930" t="s">
        <v>528</v>
      </c>
      <c r="K27" s="931"/>
      <c r="L27" s="931"/>
      <c r="M27" s="931"/>
      <c r="N27" s="931"/>
      <c r="O27" s="585" t="s">
        <v>658</v>
      </c>
      <c r="P27" s="126"/>
      <c r="Q27" s="126"/>
      <c r="R27" s="126"/>
      <c r="S27" s="126"/>
      <c r="T27" s="126"/>
      <c r="U27" s="126"/>
      <c r="V27" s="126"/>
      <c r="W27" s="126"/>
      <c r="X27" s="126"/>
      <c r="Y27" s="126"/>
      <c r="Z27" s="1"/>
      <c r="AA27" s="1"/>
      <c r="AB27" s="1"/>
      <c r="AC27" s="1"/>
      <c r="AD27" s="1"/>
    </row>
    <row r="28" spans="1:30">
      <c r="A28" s="1"/>
      <c r="B28" s="383"/>
      <c r="C28" s="411"/>
      <c r="D28" s="121"/>
      <c r="E28" s="122" t="s">
        <v>1</v>
      </c>
      <c r="F28" s="124">
        <v>42735</v>
      </c>
      <c r="G28" s="124">
        <v>43100</v>
      </c>
      <c r="H28" s="124">
        <v>43465</v>
      </c>
      <c r="I28" s="124">
        <v>43830</v>
      </c>
      <c r="J28" s="586">
        <v>44196</v>
      </c>
      <c r="K28" s="108">
        <v>44561</v>
      </c>
      <c r="L28" s="108">
        <v>44926</v>
      </c>
      <c r="M28" s="108">
        <v>45291</v>
      </c>
      <c r="N28" s="108">
        <v>45657</v>
      </c>
      <c r="O28" s="126"/>
      <c r="P28" s="126"/>
      <c r="Q28" s="126"/>
      <c r="R28" s="126"/>
      <c r="S28" s="126"/>
      <c r="T28" s="126"/>
      <c r="U28" s="126"/>
      <c r="V28" s="126"/>
      <c r="W28" s="126"/>
      <c r="X28" s="126"/>
      <c r="Y28" s="126"/>
      <c r="Z28" s="1"/>
      <c r="AA28" s="1"/>
      <c r="AB28" s="1"/>
      <c r="AC28" s="1"/>
      <c r="AD28" s="1"/>
    </row>
    <row r="29" spans="1:30">
      <c r="A29" s="1"/>
      <c r="B29" s="126" t="s">
        <v>457</v>
      </c>
      <c r="C29" s="126"/>
      <c r="D29" s="126"/>
      <c r="E29" s="126"/>
      <c r="F29" s="422">
        <v>4860</v>
      </c>
      <c r="G29" s="422">
        <v>5796</v>
      </c>
      <c r="H29" s="422">
        <v>6494</v>
      </c>
      <c r="I29" s="422">
        <v>7324</v>
      </c>
      <c r="J29" s="587">
        <f>I29*(1+J30)</f>
        <v>8108.4643125328985</v>
      </c>
      <c r="K29" s="216">
        <f t="shared" ref="K29:O29" si="0">J29*(1+K30)</f>
        <v>8976.9515985280741</v>
      </c>
      <c r="L29" s="216">
        <f t="shared" si="0"/>
        <v>9938.4614516657621</v>
      </c>
      <c r="M29" s="216">
        <f t="shared" si="0"/>
        <v>11002.957400643874</v>
      </c>
      <c r="N29" s="216">
        <f t="shared" si="0"/>
        <v>12181.470155030122</v>
      </c>
      <c r="O29" s="216">
        <f t="shared" si="0"/>
        <v>13486.211909645868</v>
      </c>
      <c r="P29" s="126"/>
      <c r="Q29" s="126"/>
      <c r="R29" s="126"/>
      <c r="S29" s="126"/>
      <c r="T29" s="126"/>
      <c r="U29" s="126"/>
      <c r="V29" s="126"/>
      <c r="W29" s="126"/>
      <c r="X29" s="126"/>
      <c r="Y29" s="126"/>
      <c r="Z29" s="1"/>
      <c r="AA29" s="1"/>
      <c r="AB29" s="1"/>
      <c r="AC29" s="1"/>
      <c r="AD29" s="1"/>
    </row>
    <row r="30" spans="1:30">
      <c r="A30" s="1"/>
      <c r="B30" s="698" t="s">
        <v>720</v>
      </c>
      <c r="C30" s="698"/>
      <c r="D30" s="126"/>
      <c r="E30" s="126"/>
      <c r="F30" s="893">
        <v>-1.2395854501117659E-2</v>
      </c>
      <c r="G30" s="893">
        <v>0.19259259259259259</v>
      </c>
      <c r="H30" s="893">
        <v>0.12042788129744651</v>
      </c>
      <c r="I30" s="893">
        <v>0.12781028641823222</v>
      </c>
      <c r="J30" s="887">
        <v>0.10710872645178841</v>
      </c>
      <c r="K30" s="888">
        <v>0.10710872645178841</v>
      </c>
      <c r="L30" s="888">
        <v>0.10710872645178841</v>
      </c>
      <c r="M30" s="888">
        <v>0.10710872645178841</v>
      </c>
      <c r="N30" s="888">
        <v>0.10710872645178841</v>
      </c>
      <c r="O30" s="888">
        <v>0.10710872645178841</v>
      </c>
      <c r="P30" s="126"/>
      <c r="Q30" s="126"/>
      <c r="R30" s="126"/>
      <c r="S30" s="126"/>
      <c r="T30" s="126"/>
      <c r="U30" s="126"/>
      <c r="V30" s="126"/>
      <c r="W30" s="126"/>
      <c r="X30" s="126"/>
      <c r="Y30" s="126"/>
      <c r="Z30" s="1"/>
      <c r="AA30" s="1"/>
      <c r="AB30" s="1"/>
      <c r="AC30" s="1"/>
      <c r="AD30" s="1"/>
    </row>
    <row r="31" spans="1:30">
      <c r="A31" s="1"/>
      <c r="B31" s="126"/>
      <c r="C31" s="126"/>
      <c r="D31" s="126"/>
      <c r="E31" s="126"/>
      <c r="F31" s="422"/>
      <c r="G31" s="422"/>
      <c r="H31" s="422"/>
      <c r="I31" s="422"/>
      <c r="J31" s="587"/>
      <c r="K31" s="216"/>
      <c r="L31" s="216"/>
      <c r="M31" s="216"/>
      <c r="N31" s="216"/>
      <c r="O31" s="126"/>
      <c r="P31" s="126"/>
      <c r="Q31" s="126"/>
      <c r="R31" s="126"/>
      <c r="S31" s="126"/>
      <c r="T31" s="126"/>
      <c r="U31" s="126"/>
      <c r="V31" s="126"/>
      <c r="W31" s="126"/>
      <c r="X31" s="126"/>
      <c r="Y31" s="126"/>
      <c r="Z31" s="1"/>
      <c r="AA31" s="1"/>
      <c r="AB31" s="1"/>
      <c r="AC31" s="1"/>
      <c r="AD31" s="1"/>
    </row>
    <row r="32" spans="1:30">
      <c r="A32" s="1"/>
      <c r="B32" s="580" t="s">
        <v>306</v>
      </c>
      <c r="C32" s="580"/>
      <c r="D32" s="580"/>
      <c r="E32" s="706"/>
      <c r="F32" s="706">
        <v>1162</v>
      </c>
      <c r="G32" s="706">
        <v>1199</v>
      </c>
      <c r="H32" s="706">
        <v>1231</v>
      </c>
      <c r="I32" s="706">
        <v>1234</v>
      </c>
      <c r="J32" s="707">
        <f>I32*(1+$E$13)</f>
        <v>1328.7679223492341</v>
      </c>
      <c r="K32" s="706">
        <f>J32*(1+$E$13)</f>
        <v>1430.8137694200166</v>
      </c>
      <c r="L32" s="706">
        <f>K32*(1+$E$13)</f>
        <v>1540.6964664999284</v>
      </c>
      <c r="M32" s="706">
        <f>L32*(1+$E$13)</f>
        <v>1659.017862854065</v>
      </c>
      <c r="N32" s="706">
        <f>M32*(1+$E$13)</f>
        <v>1786.426028172498</v>
      </c>
      <c r="O32" s="706">
        <f>N32*(1+C16)</f>
        <v>1865.7409713433572</v>
      </c>
      <c r="P32" s="126"/>
      <c r="Q32" s="126"/>
      <c r="R32" s="126"/>
      <c r="S32" s="126"/>
      <c r="T32" s="126"/>
      <c r="U32" s="126"/>
      <c r="V32" s="126"/>
      <c r="W32" s="126"/>
      <c r="X32" s="126"/>
      <c r="Y32" s="126"/>
      <c r="Z32" s="1"/>
      <c r="AA32" s="1"/>
      <c r="AB32" s="1"/>
      <c r="AC32" s="1"/>
      <c r="AD32" s="1"/>
    </row>
    <row r="33" spans="1:30">
      <c r="A33" s="1"/>
      <c r="B33" s="683"/>
      <c r="C33" s="684"/>
      <c r="D33" s="126"/>
      <c r="E33" s="126"/>
      <c r="F33" s="685">
        <v>0.10877862595419847</v>
      </c>
      <c r="G33" s="685">
        <f t="shared" ref="G33" si="1">(G32-F32)/F32</f>
        <v>3.1841652323580036E-2</v>
      </c>
      <c r="H33" s="685">
        <f t="shared" ref="H33" si="2">(H32-G32)/G32</f>
        <v>2.6688907422852376E-2</v>
      </c>
      <c r="I33" s="685">
        <f t="shared" ref="I33" si="3">(I32-H32)/H32</f>
        <v>2.437043054427295E-3</v>
      </c>
      <c r="J33" s="588">
        <v>7.6797343881065003E-2</v>
      </c>
      <c r="K33" s="420">
        <v>7.6797343881065003E-2</v>
      </c>
      <c r="L33" s="420">
        <v>7.6797343881065003E-2</v>
      </c>
      <c r="M33" s="420">
        <v>7.6797343881065003E-2</v>
      </c>
      <c r="N33" s="420">
        <v>7.6797343881065003E-2</v>
      </c>
      <c r="O33" s="420">
        <v>4.43986719405325E-2</v>
      </c>
      <c r="P33" s="126"/>
      <c r="Q33" s="126"/>
      <c r="R33" s="126"/>
      <c r="S33" s="126"/>
      <c r="T33" s="126"/>
      <c r="U33" s="126"/>
      <c r="V33" s="126"/>
      <c r="W33" s="126"/>
      <c r="X33" s="126"/>
      <c r="Y33" s="126"/>
      <c r="Z33" s="1"/>
      <c r="AA33" s="1"/>
      <c r="AB33" s="1"/>
      <c r="AC33" s="1"/>
      <c r="AD33" s="1"/>
    </row>
    <row r="34" spans="1:30">
      <c r="A34" s="1"/>
      <c r="B34" s="126" t="s">
        <v>456</v>
      </c>
      <c r="C34" s="1"/>
      <c r="D34" s="126"/>
      <c r="E34" s="422"/>
      <c r="F34" s="422">
        <v>-71</v>
      </c>
      <c r="G34" s="422">
        <v>-45</v>
      </c>
      <c r="H34" s="422">
        <v>-20</v>
      </c>
      <c r="I34" s="422">
        <v>-36</v>
      </c>
      <c r="J34" s="587">
        <f t="shared" ref="J34:O34" si="4">$G$20</f>
        <v>-43</v>
      </c>
      <c r="K34" s="216">
        <f t="shared" si="4"/>
        <v>-43</v>
      </c>
      <c r="L34" s="216">
        <f t="shared" si="4"/>
        <v>-43</v>
      </c>
      <c r="M34" s="216">
        <f t="shared" si="4"/>
        <v>-43</v>
      </c>
      <c r="N34" s="216">
        <f t="shared" si="4"/>
        <v>-43</v>
      </c>
      <c r="O34" s="216">
        <f t="shared" si="4"/>
        <v>-43</v>
      </c>
      <c r="P34" s="126"/>
      <c r="Q34" s="126"/>
      <c r="R34" s="126"/>
      <c r="S34" s="126"/>
      <c r="T34" s="126"/>
      <c r="U34" s="126"/>
      <c r="V34" s="126"/>
      <c r="W34" s="126"/>
      <c r="X34" s="126"/>
      <c r="Y34" s="126"/>
      <c r="Z34" s="1"/>
      <c r="AA34" s="1"/>
      <c r="AB34" s="1"/>
      <c r="AC34" s="1"/>
      <c r="AD34" s="1"/>
    </row>
    <row r="35" spans="1:30">
      <c r="A35" s="1"/>
      <c r="B35" s="126" t="s">
        <v>726</v>
      </c>
      <c r="C35" s="126"/>
      <c r="D35" s="126"/>
      <c r="E35" s="679"/>
      <c r="F35" s="679">
        <f t="shared" ref="F35:I35" si="5">F32+F34</f>
        <v>1091</v>
      </c>
      <c r="G35" s="679">
        <f t="shared" si="5"/>
        <v>1154</v>
      </c>
      <c r="H35" s="679">
        <f t="shared" si="5"/>
        <v>1211</v>
      </c>
      <c r="I35" s="679">
        <f t="shared" si="5"/>
        <v>1198</v>
      </c>
      <c r="J35" s="587">
        <f>J32+J34</f>
        <v>1285.7679223492341</v>
      </c>
      <c r="K35" s="216">
        <f t="shared" ref="K35:O35" si="6">K32+K34</f>
        <v>1387.8137694200166</v>
      </c>
      <c r="L35" s="216">
        <f t="shared" si="6"/>
        <v>1497.6964664999284</v>
      </c>
      <c r="M35" s="216">
        <f t="shared" si="6"/>
        <v>1616.017862854065</v>
      </c>
      <c r="N35" s="216">
        <f t="shared" si="6"/>
        <v>1743.426028172498</v>
      </c>
      <c r="O35" s="216">
        <f t="shared" si="6"/>
        <v>1822.7409713433572</v>
      </c>
      <c r="P35" s="1"/>
      <c r="Q35" s="1"/>
      <c r="R35" s="1"/>
      <c r="S35" s="1"/>
      <c r="T35" s="1"/>
      <c r="U35" s="1"/>
      <c r="V35" s="1"/>
      <c r="W35" s="1"/>
      <c r="X35" s="1"/>
      <c r="Y35" s="1"/>
      <c r="Z35" s="1"/>
      <c r="AA35" s="1"/>
      <c r="AB35" s="1"/>
      <c r="AC35" s="1"/>
      <c r="AD35" s="1"/>
    </row>
    <row r="36" spans="1:30">
      <c r="A36" s="1"/>
      <c r="B36" s="126"/>
      <c r="C36" s="1"/>
      <c r="D36" s="126"/>
      <c r="E36" s="126"/>
      <c r="F36" s="422"/>
      <c r="G36" s="422"/>
      <c r="H36" s="422"/>
      <c r="I36" s="422"/>
      <c r="J36" s="587"/>
      <c r="K36" s="216"/>
      <c r="L36" s="216"/>
      <c r="M36" s="216"/>
      <c r="N36" s="216"/>
      <c r="O36" s="126"/>
      <c r="P36" s="1"/>
      <c r="Q36" s="1"/>
      <c r="R36" s="1"/>
      <c r="S36" s="1"/>
      <c r="T36" s="1"/>
      <c r="U36" s="1"/>
      <c r="V36" s="1"/>
      <c r="W36" s="1"/>
      <c r="X36" s="1"/>
      <c r="Y36" s="1"/>
      <c r="Z36" s="1"/>
      <c r="AA36" s="1"/>
      <c r="AB36" s="1"/>
      <c r="AC36" s="1"/>
      <c r="AD36" s="1"/>
    </row>
    <row r="37" spans="1:30">
      <c r="A37" s="1"/>
      <c r="B37" s="126" t="s">
        <v>334</v>
      </c>
      <c r="C37" s="126"/>
      <c r="D37" s="126"/>
      <c r="E37" s="126"/>
      <c r="F37" s="422">
        <v>-648</v>
      </c>
      <c r="G37" s="422">
        <v>-444</v>
      </c>
      <c r="H37" s="422">
        <v>-623</v>
      </c>
      <c r="I37" s="422">
        <v>-511</v>
      </c>
      <c r="J37" s="587">
        <f>J44*J46</f>
        <v>-534.3826488430326</v>
      </c>
      <c r="K37" s="216">
        <f t="shared" ref="K37:O37" si="7">K44*K46</f>
        <v>-591.61969379854315</v>
      </c>
      <c r="L37" s="216">
        <f t="shared" si="7"/>
        <v>-654.98732574510211</v>
      </c>
      <c r="M37" s="216">
        <f t="shared" si="7"/>
        <v>-725.14218404772271</v>
      </c>
      <c r="N37" s="216">
        <f t="shared" si="7"/>
        <v>-802.81123987754279</v>
      </c>
      <c r="O37" s="216">
        <f t="shared" si="7"/>
        <v>-1036.4963799654774</v>
      </c>
      <c r="P37" s="1"/>
      <c r="Q37" s="1"/>
      <c r="R37" s="1"/>
      <c r="S37" s="1"/>
      <c r="T37" s="1"/>
      <c r="U37" s="1"/>
      <c r="V37" s="1"/>
      <c r="W37" s="1"/>
      <c r="X37" s="1"/>
      <c r="Y37" s="1"/>
      <c r="Z37" s="1"/>
      <c r="AA37" s="1"/>
      <c r="AB37" s="1"/>
      <c r="AC37" s="1"/>
      <c r="AD37" s="1"/>
    </row>
    <row r="38" spans="1:30">
      <c r="A38" s="1"/>
      <c r="B38" s="580" t="s">
        <v>303</v>
      </c>
      <c r="C38" s="580"/>
      <c r="D38" s="580"/>
      <c r="E38" s="580"/>
      <c r="F38" s="728">
        <v>443</v>
      </c>
      <c r="G38" s="728">
        <v>710</v>
      </c>
      <c r="H38" s="728">
        <v>588</v>
      </c>
      <c r="I38" s="728">
        <v>687</v>
      </c>
      <c r="J38" s="707">
        <f>J35+J37</f>
        <v>751.38527350620154</v>
      </c>
      <c r="K38" s="706">
        <f t="shared" ref="K38:O38" si="8">K35+K37</f>
        <v>796.19407562147342</v>
      </c>
      <c r="L38" s="706">
        <f t="shared" si="8"/>
        <v>842.70914075482631</v>
      </c>
      <c r="M38" s="706">
        <f t="shared" si="8"/>
        <v>890.87567880634231</v>
      </c>
      <c r="N38" s="706">
        <f t="shared" si="8"/>
        <v>940.61478829495525</v>
      </c>
      <c r="O38" s="706">
        <f t="shared" si="8"/>
        <v>786.24459137787971</v>
      </c>
      <c r="P38" s="126"/>
      <c r="Q38" s="126"/>
      <c r="R38" s="126"/>
      <c r="S38" s="126"/>
      <c r="T38" s="126"/>
      <c r="U38" s="126"/>
      <c r="V38" s="126"/>
      <c r="W38" s="126"/>
      <c r="X38" s="126"/>
      <c r="Y38" s="126"/>
      <c r="Z38" s="1"/>
      <c r="AA38" s="1"/>
      <c r="AB38" s="1"/>
      <c r="AC38" s="1"/>
      <c r="AD38" s="1"/>
    </row>
    <row r="39" spans="1:30">
      <c r="A39" s="1"/>
      <c r="B39" s="126"/>
      <c r="C39" s="126"/>
      <c r="D39" s="126"/>
      <c r="E39" s="126"/>
      <c r="F39" s="422"/>
      <c r="G39" s="422"/>
      <c r="H39" s="422"/>
      <c r="I39" s="422"/>
      <c r="J39" s="587"/>
      <c r="K39" s="216"/>
      <c r="L39" s="216"/>
      <c r="M39" s="216"/>
      <c r="N39" s="216"/>
      <c r="O39" s="126"/>
      <c r="P39" s="126"/>
      <c r="Q39" s="126"/>
      <c r="R39" s="126"/>
      <c r="S39" s="126"/>
      <c r="T39" s="126"/>
      <c r="U39" s="126"/>
      <c r="V39" s="126"/>
      <c r="W39" s="126"/>
      <c r="X39" s="126"/>
      <c r="Y39" s="126"/>
      <c r="Z39" s="1"/>
      <c r="AA39" s="1"/>
      <c r="AB39" s="1"/>
      <c r="AC39" s="1"/>
      <c r="AD39" s="1"/>
    </row>
    <row r="40" spans="1:30">
      <c r="A40" s="1"/>
      <c r="B40" s="126" t="s">
        <v>716</v>
      </c>
      <c r="C40" s="126"/>
      <c r="D40" s="126"/>
      <c r="E40" s="126"/>
      <c r="F40" s="216">
        <v>281.18562874251495</v>
      </c>
      <c r="G40" s="216">
        <v>473.33333333333331</v>
      </c>
      <c r="H40" s="216">
        <v>399.6</v>
      </c>
      <c r="I40" s="216">
        <v>463.51807228915663</v>
      </c>
      <c r="J40" s="587">
        <f>J38*(1-0.279)</f>
        <v>541.74878219797131</v>
      </c>
      <c r="K40" s="216">
        <f>J40*(1+$C$16)</f>
        <v>565.80170865296202</v>
      </c>
      <c r="L40" s="216">
        <f>K40*(1+$C$16)</f>
        <v>590.92255309883762</v>
      </c>
      <c r="M40" s="216">
        <f>L40*(1+$C$16)</f>
        <v>617.15872967613484</v>
      </c>
      <c r="N40" s="216">
        <f>M40*(1+$C$16)</f>
        <v>644.5597576502613</v>
      </c>
      <c r="O40" s="216">
        <f>N40*(1+$C$16)</f>
        <v>673.17735487624441</v>
      </c>
      <c r="P40" s="126"/>
      <c r="Q40" s="126"/>
      <c r="R40" s="126"/>
      <c r="S40" s="126"/>
      <c r="T40" s="126"/>
      <c r="U40" s="126"/>
      <c r="V40" s="126"/>
      <c r="W40" s="126"/>
      <c r="X40" s="126"/>
      <c r="Y40" s="126"/>
      <c r="Z40" s="1"/>
      <c r="AA40" s="1"/>
      <c r="AB40" s="1"/>
      <c r="AC40" s="1"/>
      <c r="AD40" s="1"/>
    </row>
    <row r="41" spans="1:30">
      <c r="B41" s="126" t="s">
        <v>719</v>
      </c>
      <c r="C41" s="1"/>
      <c r="D41" s="1"/>
      <c r="E41" s="126"/>
      <c r="F41" s="134">
        <v>-39.814371257485028</v>
      </c>
      <c r="G41" s="134">
        <v>-44.666666666666664</v>
      </c>
      <c r="H41" s="134">
        <v>-31.400000000000002</v>
      </c>
      <c r="I41" s="134">
        <v>-34.481927710843372</v>
      </c>
      <c r="J41" s="587">
        <v>-37.590741408748769</v>
      </c>
      <c r="K41" s="216">
        <v>-37.590741408748769</v>
      </c>
      <c r="L41" s="216">
        <v>-37.590741408748769</v>
      </c>
      <c r="M41" s="216">
        <v>-37.590741408748769</v>
      </c>
      <c r="N41" s="216">
        <v>-37.590741408748769</v>
      </c>
      <c r="O41" s="216">
        <v>-37.590741408748769</v>
      </c>
      <c r="P41" s="1"/>
      <c r="Q41" s="1"/>
      <c r="R41" s="1"/>
      <c r="S41" s="1"/>
      <c r="T41" s="1"/>
      <c r="U41" s="1"/>
      <c r="V41" s="1"/>
      <c r="W41" s="1"/>
      <c r="X41" s="1"/>
      <c r="Y41" s="1"/>
      <c r="Z41" s="1"/>
      <c r="AA41" s="1"/>
      <c r="AB41" s="1"/>
      <c r="AC41" s="1"/>
      <c r="AD41" s="1"/>
    </row>
    <row r="42" spans="1:30">
      <c r="B42" s="580" t="s">
        <v>718</v>
      </c>
      <c r="C42" s="708"/>
      <c r="D42" s="708"/>
      <c r="E42" s="580"/>
      <c r="F42" s="709">
        <v>281.18562874251495</v>
      </c>
      <c r="G42" s="709">
        <v>473.33333333333331</v>
      </c>
      <c r="H42" s="709">
        <v>399.6</v>
      </c>
      <c r="I42" s="709">
        <v>463.51807228915663</v>
      </c>
      <c r="J42" s="710">
        <f t="shared" ref="J42:O42" si="9">J40+J41</f>
        <v>504.15804078922253</v>
      </c>
      <c r="K42" s="711">
        <f t="shared" si="9"/>
        <v>528.21096724421329</v>
      </c>
      <c r="L42" s="711">
        <f t="shared" si="9"/>
        <v>553.3318116900889</v>
      </c>
      <c r="M42" s="711">
        <f t="shared" si="9"/>
        <v>579.56798826738611</v>
      </c>
      <c r="N42" s="711">
        <f t="shared" si="9"/>
        <v>606.96901624151258</v>
      </c>
      <c r="O42" s="711">
        <f t="shared" si="9"/>
        <v>635.58661346749568</v>
      </c>
      <c r="P42" s="126"/>
      <c r="Q42" s="126"/>
      <c r="R42" s="126"/>
      <c r="S42" s="126"/>
      <c r="T42" s="126"/>
      <c r="U42" s="126"/>
      <c r="V42" s="126"/>
      <c r="W42" s="126"/>
      <c r="X42" s="126"/>
      <c r="Y42" s="126"/>
      <c r="Z42" s="1"/>
      <c r="AA42" s="1"/>
      <c r="AB42" s="1"/>
      <c r="AC42" s="1"/>
      <c r="AD42" s="1"/>
    </row>
    <row r="43" spans="1:30">
      <c r="A43" s="1"/>
      <c r="B43" s="1"/>
      <c r="C43" s="1"/>
      <c r="D43" s="1"/>
      <c r="E43" s="126"/>
      <c r="F43" s="126"/>
      <c r="G43" s="126"/>
      <c r="H43" s="126"/>
      <c r="I43" s="126"/>
      <c r="J43" s="413"/>
      <c r="K43" s="2"/>
      <c r="L43" s="2"/>
      <c r="M43" s="2"/>
      <c r="N43" s="2"/>
      <c r="O43" s="544"/>
      <c r="P43" s="1"/>
      <c r="Q43" s="1"/>
      <c r="R43" s="1"/>
      <c r="S43" s="1"/>
      <c r="T43" s="1"/>
      <c r="U43" s="1"/>
      <c r="V43" s="1"/>
      <c r="W43" s="1"/>
      <c r="X43" s="1"/>
      <c r="Y43" s="1"/>
      <c r="Z43" s="1"/>
      <c r="AA43" s="1"/>
      <c r="AB43" s="1"/>
      <c r="AC43" s="1"/>
      <c r="AD43" s="1"/>
    </row>
    <row r="44" spans="1:30">
      <c r="A44" s="1"/>
      <c r="B44" s="126" t="s">
        <v>526</v>
      </c>
      <c r="C44" s="126"/>
      <c r="D44" s="126"/>
      <c r="E44" s="2"/>
      <c r="F44" s="422">
        <f>'Cash flows'!D19</f>
        <v>-1066</v>
      </c>
      <c r="G44" s="422">
        <f>'Cash flows'!E19</f>
        <v>-80</v>
      </c>
      <c r="H44" s="422">
        <f>'Cash flows'!F19</f>
        <v>-1076</v>
      </c>
      <c r="I44" s="422">
        <f>'Cash flows'!G19</f>
        <v>-837</v>
      </c>
      <c r="J44" s="587">
        <f t="shared" ref="J44:O44" si="10">-J29*J47</f>
        <v>-891.93107437861886</v>
      </c>
      <c r="K44" s="216">
        <f t="shared" si="10"/>
        <v>-987.46467583808817</v>
      </c>
      <c r="L44" s="216">
        <f t="shared" si="10"/>
        <v>-1093.2307596832338</v>
      </c>
      <c r="M44" s="216">
        <f t="shared" si="10"/>
        <v>-1210.3253140708262</v>
      </c>
      <c r="N44" s="216">
        <f t="shared" si="10"/>
        <v>-1339.9617170533134</v>
      </c>
      <c r="O44" s="713">
        <f t="shared" si="10"/>
        <v>-1730.002521177875</v>
      </c>
      <c r="P44" s="126"/>
      <c r="Q44" s="126"/>
      <c r="R44" s="126"/>
      <c r="S44" s="126"/>
      <c r="T44" s="126"/>
      <c r="U44" s="126"/>
      <c r="V44" s="126"/>
      <c r="W44" s="126"/>
      <c r="X44" s="126"/>
      <c r="Y44" s="126"/>
      <c r="Z44" s="1"/>
      <c r="AA44" s="1"/>
      <c r="AB44" s="1"/>
      <c r="AC44" s="1"/>
      <c r="AD44" s="1"/>
    </row>
    <row r="45" spans="1:30">
      <c r="A45" s="1"/>
      <c r="B45" s="126" t="s">
        <v>525</v>
      </c>
      <c r="C45" s="126"/>
      <c r="D45" s="126"/>
      <c r="E45" s="126"/>
      <c r="F45" s="422">
        <f>'Cash flows'!D20</f>
        <v>648</v>
      </c>
      <c r="G45" s="422">
        <f>'Cash flows'!E20</f>
        <v>444</v>
      </c>
      <c r="H45" s="422">
        <f>'Cash flows'!F20</f>
        <v>623</v>
      </c>
      <c r="I45" s="422">
        <f>'Cash flows'!G20</f>
        <v>511</v>
      </c>
      <c r="J45" s="587">
        <f>-J44*J46</f>
        <v>534.3826488430326</v>
      </c>
      <c r="K45" s="216">
        <f t="shared" ref="K45:O45" si="11">-K44*K46</f>
        <v>591.61969379854315</v>
      </c>
      <c r="L45" s="216">
        <f t="shared" si="11"/>
        <v>654.98732574510211</v>
      </c>
      <c r="M45" s="216">
        <f t="shared" si="11"/>
        <v>725.14218404772271</v>
      </c>
      <c r="N45" s="216">
        <f t="shared" si="11"/>
        <v>802.81123987754279</v>
      </c>
      <c r="O45" s="713">
        <f t="shared" si="11"/>
        <v>1036.4963799654774</v>
      </c>
      <c r="P45" s="1"/>
      <c r="Q45" s="1"/>
      <c r="R45" s="1"/>
      <c r="S45" s="1"/>
      <c r="T45" s="1"/>
      <c r="U45" s="1"/>
      <c r="V45" s="1"/>
      <c r="W45" s="1"/>
      <c r="X45" s="1"/>
      <c r="Y45" s="1"/>
      <c r="Z45" s="1"/>
      <c r="AA45" s="1"/>
      <c r="AB45" s="1"/>
      <c r="AC45" s="1"/>
      <c r="AD45" s="1"/>
    </row>
    <row r="46" spans="1:30">
      <c r="A46" s="1"/>
      <c r="B46" s="418" t="s">
        <v>527</v>
      </c>
      <c r="C46" s="416"/>
      <c r="D46" s="416"/>
      <c r="E46" s="416"/>
      <c r="F46" s="893">
        <f>-F45/F44</f>
        <v>0.60787992495309573</v>
      </c>
      <c r="G46" s="893">
        <f t="shared" ref="G46:I46" si="12">-G45/G44</f>
        <v>5.55</v>
      </c>
      <c r="H46" s="893">
        <f t="shared" si="12"/>
        <v>0.57899628252788105</v>
      </c>
      <c r="I46" s="893">
        <f t="shared" si="12"/>
        <v>0.61051373954599764</v>
      </c>
      <c r="J46" s="894">
        <v>0.59912998234232473</v>
      </c>
      <c r="K46" s="889">
        <v>0.59912998234232473</v>
      </c>
      <c r="L46" s="889">
        <v>0.59912998234232473</v>
      </c>
      <c r="M46" s="889">
        <v>0.59912998234232473</v>
      </c>
      <c r="N46" s="889">
        <v>0.59912998234232473</v>
      </c>
      <c r="O46" s="714">
        <v>0.59912998234232473</v>
      </c>
      <c r="P46" s="126"/>
      <c r="Q46" s="126"/>
      <c r="R46" s="126"/>
      <c r="S46" s="126"/>
      <c r="T46" s="126"/>
      <c r="U46" s="126"/>
      <c r="V46" s="126"/>
      <c r="W46" s="126"/>
      <c r="X46" s="126"/>
      <c r="Y46" s="126"/>
      <c r="Z46" s="1"/>
      <c r="AA46" s="1"/>
      <c r="AB46" s="1"/>
      <c r="AC46" s="1"/>
      <c r="AD46" s="1"/>
    </row>
    <row r="47" spans="1:30">
      <c r="A47" s="1"/>
      <c r="B47" s="418" t="s">
        <v>529</v>
      </c>
      <c r="C47" s="416"/>
      <c r="D47" s="416"/>
      <c r="E47" s="416"/>
      <c r="F47" s="893">
        <f>-F44/F29</f>
        <v>0.21934156378600822</v>
      </c>
      <c r="G47" s="893">
        <f>-G44/G29</f>
        <v>1.3802622498274672E-2</v>
      </c>
      <c r="H47" s="893">
        <f>-H44/H29</f>
        <v>0.16569140745303357</v>
      </c>
      <c r="I47" s="893">
        <f>-I44/I29</f>
        <v>0.1142818132168214</v>
      </c>
      <c r="J47" s="897">
        <v>0.11</v>
      </c>
      <c r="K47" s="898">
        <v>0.11</v>
      </c>
      <c r="L47" s="898">
        <v>0.11</v>
      </c>
      <c r="M47" s="898">
        <v>0.11</v>
      </c>
      <c r="N47" s="898">
        <v>0.11</v>
      </c>
      <c r="O47" s="715">
        <v>0.12827935173853447</v>
      </c>
      <c r="P47" s="1"/>
      <c r="Q47" s="1"/>
      <c r="R47" s="1"/>
      <c r="S47" s="1"/>
      <c r="T47" s="1"/>
      <c r="U47" s="1"/>
      <c r="V47" s="1"/>
      <c r="W47" s="1"/>
      <c r="X47" s="1"/>
      <c r="Y47" s="1"/>
      <c r="Z47" s="1"/>
      <c r="AA47" s="1"/>
      <c r="AB47" s="1"/>
      <c r="AC47" s="1"/>
      <c r="AD47" s="1"/>
    </row>
    <row r="48" spans="1:30">
      <c r="A48" s="1"/>
      <c r="B48" s="126" t="s">
        <v>354</v>
      </c>
      <c r="C48" s="126"/>
      <c r="D48" s="126"/>
      <c r="E48" s="126"/>
      <c r="F48" s="422">
        <v>95</v>
      </c>
      <c r="G48" s="422">
        <v>-46</v>
      </c>
      <c r="H48" s="422">
        <v>17</v>
      </c>
      <c r="I48" s="422">
        <v>34</v>
      </c>
      <c r="J48" s="587">
        <v>44.03</v>
      </c>
      <c r="K48" s="216">
        <v>44.03</v>
      </c>
      <c r="L48" s="216">
        <v>44.03</v>
      </c>
      <c r="M48" s="216">
        <v>44.03</v>
      </c>
      <c r="N48" s="216">
        <v>44.03</v>
      </c>
      <c r="O48" s="716">
        <v>44.03</v>
      </c>
      <c r="P48" s="126"/>
      <c r="Q48" s="126"/>
      <c r="R48" s="126"/>
      <c r="S48" s="126"/>
      <c r="T48" s="126"/>
      <c r="U48" s="126"/>
      <c r="V48" s="126"/>
      <c r="W48" s="126"/>
      <c r="X48" s="126"/>
      <c r="Y48" s="126"/>
      <c r="Z48" s="1"/>
      <c r="AA48" s="1"/>
      <c r="AB48" s="1"/>
      <c r="AC48" s="1"/>
      <c r="AD48" s="1"/>
    </row>
    <row r="49" spans="1:30">
      <c r="A49" s="1"/>
      <c r="B49" s="416" t="s">
        <v>531</v>
      </c>
      <c r="C49" s="416"/>
      <c r="D49" s="416"/>
      <c r="E49" s="416"/>
      <c r="F49" s="419"/>
      <c r="G49" s="893">
        <f>G48/F48-1</f>
        <v>-1.4842105263157894</v>
      </c>
      <c r="H49" s="893">
        <f>-(H48/G48-1)</f>
        <v>1.3695652173913042</v>
      </c>
      <c r="I49" s="893">
        <f t="shared" ref="I49" si="13">I48/H48-1</f>
        <v>1</v>
      </c>
      <c r="J49" s="894">
        <v>0.29511823035850493</v>
      </c>
      <c r="K49" s="889">
        <v>0.29511823035850493</v>
      </c>
      <c r="L49" s="889">
        <v>0.29511823035850493</v>
      </c>
      <c r="M49" s="889">
        <v>0.29511823035850493</v>
      </c>
      <c r="N49" s="889">
        <v>0.29511823035850493</v>
      </c>
      <c r="O49" s="714">
        <v>0.29511823035850493</v>
      </c>
      <c r="P49" s="1"/>
      <c r="Q49" s="1"/>
      <c r="R49" s="1"/>
      <c r="S49" s="1"/>
      <c r="T49" s="1"/>
      <c r="U49" s="1"/>
      <c r="V49" s="1"/>
      <c r="W49" s="1"/>
      <c r="X49" s="1"/>
      <c r="Y49" s="1"/>
      <c r="Z49" s="1"/>
      <c r="AA49" s="1"/>
      <c r="AB49" s="1"/>
      <c r="AC49" s="1"/>
      <c r="AD49" s="1"/>
    </row>
    <row r="50" spans="1:30">
      <c r="A50" s="1"/>
      <c r="B50" s="126" t="s">
        <v>660</v>
      </c>
      <c r="C50" s="126"/>
      <c r="D50" s="126"/>
      <c r="E50" s="126"/>
      <c r="F50" s="422">
        <v>33</v>
      </c>
      <c r="G50" s="422">
        <v>-46</v>
      </c>
      <c r="H50" s="422">
        <v>-5</v>
      </c>
      <c r="I50" s="422">
        <v>-7</v>
      </c>
      <c r="J50" s="587">
        <f>I50*(1-$F$22)</f>
        <v>-11.439481774264383</v>
      </c>
      <c r="K50" s="216">
        <v>-11.439481774264383</v>
      </c>
      <c r="L50" s="216">
        <v>-11.439481774264383</v>
      </c>
      <c r="M50" s="216">
        <v>-11.439481774264383</v>
      </c>
      <c r="N50" s="216">
        <v>-11.439481774264383</v>
      </c>
      <c r="O50" s="716">
        <v>-11.439481774264383</v>
      </c>
      <c r="P50" s="126"/>
      <c r="Q50" s="126"/>
      <c r="R50" s="126"/>
      <c r="S50" s="126"/>
      <c r="T50" s="126"/>
      <c r="U50" s="126"/>
      <c r="V50" s="126"/>
      <c r="W50" s="126"/>
      <c r="X50" s="126"/>
      <c r="Y50" s="126"/>
      <c r="Z50" s="1"/>
      <c r="AA50" s="1"/>
      <c r="AB50" s="1"/>
      <c r="AC50" s="1"/>
      <c r="AD50" s="1"/>
    </row>
    <row r="51" spans="1:30">
      <c r="A51" s="1"/>
      <c r="B51" s="416" t="s">
        <v>531</v>
      </c>
      <c r="C51" s="416"/>
      <c r="D51" s="416"/>
      <c r="E51" s="416"/>
      <c r="F51" s="419"/>
      <c r="G51" s="893">
        <f>G50/F50-1</f>
        <v>-2.393939393939394</v>
      </c>
      <c r="H51" s="893">
        <f>-(H50/G50-1)</f>
        <v>0.89130434782608692</v>
      </c>
      <c r="I51" s="893">
        <f>-(I50/H50-1)</f>
        <v>-0.39999999999999991</v>
      </c>
      <c r="J51" s="894">
        <v>-0.63421168203776901</v>
      </c>
      <c r="K51" s="889">
        <v>-0.63421168203776901</v>
      </c>
      <c r="L51" s="889">
        <v>-0.63421168203776901</v>
      </c>
      <c r="M51" s="889">
        <v>-0.63421168203776901</v>
      </c>
      <c r="N51" s="889">
        <v>-0.63421168203776901</v>
      </c>
      <c r="O51" s="714">
        <v>-0.63421168203776901</v>
      </c>
      <c r="P51" s="126"/>
      <c r="Q51" s="126"/>
      <c r="R51" s="126"/>
      <c r="S51" s="126"/>
      <c r="T51" s="126"/>
      <c r="U51" s="126"/>
      <c r="V51" s="126"/>
      <c r="W51" s="126"/>
      <c r="X51" s="126"/>
      <c r="Y51" s="126"/>
      <c r="Z51" s="1"/>
      <c r="AA51" s="1"/>
      <c r="AB51" s="1"/>
      <c r="AC51" s="1"/>
      <c r="AD51" s="1"/>
    </row>
    <row r="52" spans="1:30">
      <c r="A52" s="1"/>
      <c r="B52" s="126" t="s">
        <v>368</v>
      </c>
      <c r="C52" s="126"/>
      <c r="D52" s="126"/>
      <c r="E52" s="126"/>
      <c r="F52" s="422">
        <v>-33</v>
      </c>
      <c r="G52" s="422">
        <v>40</v>
      </c>
      <c r="H52" s="422">
        <v>37</v>
      </c>
      <c r="I52" s="422">
        <v>-13</v>
      </c>
      <c r="J52" s="587">
        <f>I52*(1+$F$23)</f>
        <v>-16.405002730002728</v>
      </c>
      <c r="K52" s="216">
        <v>-16.405002730002728</v>
      </c>
      <c r="L52" s="216">
        <v>-16.405002730002728</v>
      </c>
      <c r="M52" s="216">
        <v>-16.405002730002728</v>
      </c>
      <c r="N52" s="216">
        <v>-16.405002730002728</v>
      </c>
      <c r="O52" s="716">
        <v>-16.405002730002728</v>
      </c>
      <c r="P52" s="126"/>
      <c r="Q52" s="126"/>
      <c r="R52" s="126"/>
      <c r="S52" s="126"/>
      <c r="T52" s="126"/>
      <c r="U52" s="126"/>
      <c r="V52" s="126"/>
      <c r="W52" s="126"/>
      <c r="X52" s="126"/>
      <c r="Y52" s="126"/>
      <c r="Z52" s="1"/>
      <c r="AA52" s="1"/>
      <c r="AB52" s="1"/>
      <c r="AC52" s="1"/>
      <c r="AD52" s="1"/>
    </row>
    <row r="53" spans="1:30">
      <c r="A53" s="1"/>
      <c r="B53" s="416" t="s">
        <v>531</v>
      </c>
      <c r="C53" s="416"/>
      <c r="D53" s="416"/>
      <c r="E53" s="416"/>
      <c r="F53" s="419"/>
      <c r="G53" s="893">
        <f>-(G52/F52 -1)</f>
        <v>2.2121212121212119</v>
      </c>
      <c r="H53" s="893">
        <f t="shared" ref="H53:I53" si="14">H52/G52 -1</f>
        <v>-7.4999999999999956E-2</v>
      </c>
      <c r="I53" s="893">
        <f t="shared" si="14"/>
        <v>-1.3513513513513513</v>
      </c>
      <c r="J53" s="894">
        <v>0.26192328692328681</v>
      </c>
      <c r="K53" s="889">
        <v>0.26192328692328681</v>
      </c>
      <c r="L53" s="889">
        <v>0.26192328692328681</v>
      </c>
      <c r="M53" s="889">
        <v>0.26192328692328681</v>
      </c>
      <c r="N53" s="889">
        <v>0.26192328692328681</v>
      </c>
      <c r="O53" s="714">
        <v>0.26192328692328681</v>
      </c>
      <c r="P53" s="126"/>
      <c r="Q53" s="126"/>
      <c r="R53" s="126"/>
      <c r="S53" s="126"/>
      <c r="T53" s="126"/>
      <c r="U53" s="126"/>
      <c r="V53" s="126"/>
      <c r="W53" s="126"/>
      <c r="X53" s="126"/>
      <c r="Y53" s="126"/>
      <c r="Z53" s="1"/>
      <c r="AA53" s="1"/>
      <c r="AB53" s="1"/>
      <c r="AC53" s="1"/>
      <c r="AD53" s="1"/>
    </row>
    <row r="54" spans="1:30">
      <c r="A54" s="1"/>
      <c r="B54" s="126" t="s">
        <v>356</v>
      </c>
      <c r="C54" s="126"/>
      <c r="D54" s="126"/>
      <c r="E54" s="126"/>
      <c r="F54" s="422">
        <v>20</v>
      </c>
      <c r="G54" s="422">
        <v>-91</v>
      </c>
      <c r="H54" s="422">
        <v>11</v>
      </c>
      <c r="I54" s="422">
        <v>-3</v>
      </c>
      <c r="J54" s="587">
        <f t="shared" ref="J54:O54" si="15">I54*(1+$F$24)</f>
        <v>4.9436063936063945</v>
      </c>
      <c r="K54" s="216">
        <f t="shared" si="15"/>
        <v>-8.1464147249686736</v>
      </c>
      <c r="L54" s="216">
        <f t="shared" si="15"/>
        <v>13.424222639774802</v>
      </c>
      <c r="M54" s="216">
        <f t="shared" si="15"/>
        <v>-22.121357623728805</v>
      </c>
      <c r="N54" s="216">
        <f t="shared" si="15"/>
        <v>36.453094994639756</v>
      </c>
      <c r="O54" s="716">
        <f t="shared" si="15"/>
        <v>-60.069917827414109</v>
      </c>
      <c r="P54" s="126"/>
      <c r="Q54" s="126"/>
      <c r="R54" s="126"/>
      <c r="S54" s="126"/>
      <c r="T54" s="126"/>
      <c r="U54" s="126"/>
      <c r="V54" s="126"/>
      <c r="W54" s="126"/>
      <c r="X54" s="126"/>
      <c r="Y54" s="126"/>
      <c r="Z54" s="1"/>
      <c r="AA54" s="1"/>
      <c r="AB54" s="1"/>
      <c r="AC54" s="1"/>
      <c r="AD54" s="1"/>
    </row>
    <row r="55" spans="1:30">
      <c r="A55" s="1"/>
      <c r="B55" s="416" t="s">
        <v>531</v>
      </c>
      <c r="C55" s="416"/>
      <c r="D55" s="416"/>
      <c r="E55" s="416"/>
      <c r="F55" s="419"/>
      <c r="G55" s="893">
        <f>G54/F54 -1</f>
        <v>-5.55</v>
      </c>
      <c r="H55" s="893">
        <f>H54/G54 -1</f>
        <v>-1.1208791208791209</v>
      </c>
      <c r="I55" s="893">
        <f t="shared" ref="I55" si="16">I54/H54 -1</f>
        <v>-1.2727272727272727</v>
      </c>
      <c r="J55" s="894">
        <v>-2.647868797868798</v>
      </c>
      <c r="K55" s="889">
        <v>-2.647868797868798</v>
      </c>
      <c r="L55" s="889">
        <v>-2.647868797868798</v>
      </c>
      <c r="M55" s="889">
        <v>-2.647868797868798</v>
      </c>
      <c r="N55" s="889">
        <v>-2.647868797868798</v>
      </c>
      <c r="O55" s="714">
        <v>-1.9006160506160503</v>
      </c>
      <c r="P55" s="126"/>
      <c r="Q55" s="126"/>
      <c r="R55" s="126"/>
      <c r="S55" s="126"/>
      <c r="T55" s="126"/>
      <c r="U55" s="126"/>
      <c r="V55" s="126"/>
      <c r="W55" s="126"/>
      <c r="X55" s="126"/>
      <c r="Y55" s="126"/>
      <c r="Z55" s="1"/>
      <c r="AA55" s="1"/>
      <c r="AB55" s="1"/>
      <c r="AC55" s="1"/>
      <c r="AD55" s="1"/>
    </row>
    <row r="56" spans="1:30">
      <c r="A56" s="1"/>
      <c r="B56" s="126" t="s">
        <v>530</v>
      </c>
      <c r="C56" s="126"/>
      <c r="D56" s="126"/>
      <c r="E56" s="126"/>
      <c r="F56" s="422">
        <v>54</v>
      </c>
      <c r="G56" s="422">
        <v>71</v>
      </c>
      <c r="H56" s="422">
        <v>25</v>
      </c>
      <c r="I56" s="422">
        <v>81</v>
      </c>
      <c r="J56" s="587">
        <f t="shared" ref="J56:O56" si="17">J29*J57</f>
        <v>73.406103647372149</v>
      </c>
      <c r="K56" s="216">
        <f t="shared" si="17"/>
        <v>81.268537922830163</v>
      </c>
      <c r="L56" s="216">
        <f t="shared" si="17"/>
        <v>89.973107520343362</v>
      </c>
      <c r="M56" s="216">
        <f t="shared" si="17"/>
        <v>99.610012481757181</v>
      </c>
      <c r="N56" s="216">
        <f t="shared" si="17"/>
        <v>110.27911406052495</v>
      </c>
      <c r="O56" s="716">
        <f t="shared" si="17"/>
        <v>122.0909695217793</v>
      </c>
      <c r="P56" s="126"/>
      <c r="Q56" s="126"/>
      <c r="R56" s="126"/>
      <c r="S56" s="126"/>
      <c r="T56" s="126"/>
      <c r="U56" s="126"/>
      <c r="V56" s="126"/>
      <c r="W56" s="126"/>
      <c r="X56" s="126"/>
      <c r="Y56" s="126"/>
      <c r="Z56" s="1"/>
      <c r="AA56" s="1"/>
      <c r="AB56" s="1"/>
      <c r="AC56" s="1"/>
      <c r="AD56" s="1"/>
    </row>
    <row r="57" spans="1:30">
      <c r="A57" s="1"/>
      <c r="B57" s="416" t="s">
        <v>659</v>
      </c>
      <c r="C57" s="416"/>
      <c r="D57" s="416"/>
      <c r="E57" s="416"/>
      <c r="F57" s="886">
        <f>F56/F29</f>
        <v>1.1111111111111112E-2</v>
      </c>
      <c r="G57" s="886">
        <f>G56/G29</f>
        <v>1.2249827467218772E-2</v>
      </c>
      <c r="H57" s="886">
        <f>H56/H29</f>
        <v>3.8497074222359103E-3</v>
      </c>
      <c r="I57" s="886">
        <f>I56/I29</f>
        <v>1.1059530311305297E-2</v>
      </c>
      <c r="J57" s="887">
        <v>9.0530217335866598E-3</v>
      </c>
      <c r="K57" s="886">
        <v>9.0530217335866598E-3</v>
      </c>
      <c r="L57" s="886">
        <v>9.0530217335866598E-3</v>
      </c>
      <c r="M57" s="886">
        <v>9.0530217335866598E-3</v>
      </c>
      <c r="N57" s="886">
        <v>9.0530217335866598E-3</v>
      </c>
      <c r="O57" s="717">
        <v>9.0530217335866598E-3</v>
      </c>
      <c r="P57" s="1"/>
      <c r="Q57" s="1"/>
      <c r="R57" s="126"/>
      <c r="S57" s="126"/>
      <c r="T57" s="126"/>
      <c r="U57" s="126"/>
      <c r="V57" s="126"/>
      <c r="W57" s="126"/>
      <c r="X57" s="126"/>
      <c r="Y57" s="126"/>
      <c r="Z57" s="1"/>
      <c r="AA57" s="1"/>
      <c r="AB57" s="1"/>
      <c r="AC57" s="1"/>
      <c r="AD57" s="1"/>
    </row>
    <row r="58" spans="1:30">
      <c r="A58" s="1"/>
      <c r="B58" s="421" t="s">
        <v>357</v>
      </c>
      <c r="C58" s="421"/>
      <c r="D58" s="421"/>
      <c r="E58" s="421"/>
      <c r="F58" s="423">
        <f>F40+F44+F45+F48+F50+F52+F54+F56</f>
        <v>32.18562874251495</v>
      </c>
      <c r="G58" s="423">
        <f>G40+G44+G45+G48+G50+G52+G54+G56</f>
        <v>765.33333333333326</v>
      </c>
      <c r="H58" s="423">
        <f>H40+H44+H45+H48+H50+H52+H54+H56</f>
        <v>31.600000000000023</v>
      </c>
      <c r="I58" s="423">
        <f>I40+I44+I45+I48+I50+I52+I54+I56</f>
        <v>229.51807228915663</v>
      </c>
      <c r="J58" s="589">
        <f>J42+J44+J45+J48+J50+J52+J54+J56</f>
        <v>241.1448407903477</v>
      </c>
      <c r="K58" s="424">
        <f t="shared" ref="K58:O58" si="18">K42+K44+K45+K48+K50+K52+K54+K56</f>
        <v>221.67362389826263</v>
      </c>
      <c r="L58" s="424">
        <f t="shared" si="18"/>
        <v>234.67122340780821</v>
      </c>
      <c r="M58" s="424">
        <f t="shared" si="18"/>
        <v>188.05902859804394</v>
      </c>
      <c r="N58" s="424">
        <f t="shared" si="18"/>
        <v>232.7362636166396</v>
      </c>
      <c r="O58" s="713">
        <f t="shared" si="18"/>
        <v>20.2870394451962</v>
      </c>
      <c r="P58" s="126"/>
      <c r="Q58" s="126"/>
      <c r="R58" s="126"/>
      <c r="S58" s="126"/>
      <c r="T58" s="126"/>
      <c r="U58" s="126"/>
      <c r="V58" s="126"/>
      <c r="W58" s="126"/>
      <c r="X58" s="126"/>
      <c r="Y58" s="126"/>
      <c r="Z58" s="1"/>
      <c r="AA58" s="1"/>
      <c r="AB58" s="1"/>
      <c r="AC58" s="1"/>
      <c r="AD58" s="1"/>
    </row>
    <row r="59" spans="1:30">
      <c r="A59" s="1"/>
      <c r="B59" s="416" t="s">
        <v>532</v>
      </c>
      <c r="C59" s="416"/>
      <c r="D59" s="416"/>
      <c r="E59" s="416"/>
      <c r="F59" s="419"/>
      <c r="G59" s="419"/>
      <c r="H59" s="419"/>
      <c r="I59" s="419"/>
      <c r="J59" s="899">
        <v>1.0469999999999999</v>
      </c>
      <c r="K59" s="900">
        <f>1.047^2</f>
        <v>1.0962089999999998</v>
      </c>
      <c r="L59" s="900">
        <f>1.047^3</f>
        <v>1.1477308229999996</v>
      </c>
      <c r="M59" s="900">
        <f>1.047^4</f>
        <v>1.2016741716809995</v>
      </c>
      <c r="N59" s="900">
        <f>1.047^5</f>
        <v>1.2581528577500065</v>
      </c>
      <c r="O59" s="544"/>
      <c r="P59" s="126"/>
      <c r="Q59" s="126"/>
      <c r="R59" s="126"/>
      <c r="S59" s="126"/>
      <c r="T59" s="126"/>
      <c r="U59" s="126"/>
      <c r="V59" s="126"/>
      <c r="W59" s="126"/>
      <c r="X59" s="126"/>
      <c r="Y59" s="126"/>
      <c r="Z59" s="1"/>
      <c r="AA59" s="1"/>
      <c r="AB59" s="1"/>
      <c r="AC59" s="1"/>
      <c r="AD59" s="1"/>
    </row>
    <row r="60" spans="1:30">
      <c r="A60" s="1"/>
      <c r="B60" s="126" t="s">
        <v>524</v>
      </c>
      <c r="C60" s="126"/>
      <c r="D60" s="126"/>
      <c r="E60" s="126"/>
      <c r="F60" s="126"/>
      <c r="G60" s="126"/>
      <c r="H60" s="126"/>
      <c r="I60" s="126"/>
      <c r="J60" s="686">
        <f>J58/J59</f>
        <v>230.31980973290135</v>
      </c>
      <c r="K60" s="644">
        <f t="shared" ref="K60:N60" si="19">K58/K59</f>
        <v>202.21839439218496</v>
      </c>
      <c r="L60" s="644">
        <f t="shared" si="19"/>
        <v>204.46538396033674</v>
      </c>
      <c r="M60" s="644">
        <f>M58/M59</f>
        <v>156.49752073390383</v>
      </c>
      <c r="N60" s="644">
        <f t="shared" si="19"/>
        <v>184.98250207279983</v>
      </c>
      <c r="O60" s="126"/>
      <c r="P60" s="126"/>
      <c r="Q60" s="126"/>
      <c r="R60" s="126"/>
      <c r="S60" s="126"/>
      <c r="T60" s="126"/>
      <c r="U60" s="126"/>
      <c r="V60" s="126"/>
      <c r="W60" s="126"/>
      <c r="X60" s="126"/>
      <c r="Y60" s="126"/>
      <c r="Z60" s="1"/>
      <c r="AA60" s="1"/>
      <c r="AB60" s="1"/>
      <c r="AC60" s="1"/>
      <c r="AD60" s="1"/>
    </row>
    <row r="61" spans="1:30">
      <c r="A61" s="1"/>
      <c r="B61" s="1"/>
      <c r="C61" s="126"/>
      <c r="D61" s="126"/>
      <c r="E61" s="126"/>
      <c r="F61" s="126"/>
      <c r="G61" s="126"/>
      <c r="H61" s="126"/>
      <c r="I61" s="126"/>
      <c r="J61" s="2"/>
      <c r="K61" s="2"/>
      <c r="L61" s="2"/>
      <c r="M61" s="2"/>
      <c r="N61" s="2"/>
      <c r="O61" s="126"/>
      <c r="P61" s="126"/>
      <c r="Q61" s="126"/>
      <c r="R61" s="126"/>
      <c r="S61" s="126"/>
      <c r="T61" s="126"/>
      <c r="U61" s="126"/>
      <c r="V61" s="126"/>
      <c r="W61" s="126"/>
      <c r="X61" s="126"/>
      <c r="Y61" s="126"/>
      <c r="Z61" s="1"/>
      <c r="AA61" s="1"/>
      <c r="AB61" s="1"/>
      <c r="AC61" s="1"/>
      <c r="AD61" s="1"/>
    </row>
    <row r="62" spans="1:30">
      <c r="A62" s="1"/>
      <c r="B62" s="1"/>
      <c r="C62" s="1"/>
      <c r="D62" s="1"/>
      <c r="E62" s="1"/>
      <c r="F62" s="1"/>
      <c r="G62" s="1"/>
      <c r="H62" s="126"/>
      <c r="I62" s="126"/>
      <c r="J62" s="2"/>
      <c r="K62" s="2"/>
      <c r="L62" s="2"/>
      <c r="M62" s="2"/>
      <c r="O62" s="126"/>
      <c r="P62" s="126"/>
      <c r="Q62" s="126"/>
      <c r="R62" s="126"/>
      <c r="S62" s="126"/>
      <c r="T62" s="126"/>
      <c r="U62" s="126"/>
      <c r="V62" s="126"/>
      <c r="W62" s="126"/>
      <c r="X62" s="126"/>
      <c r="Y62" s="126"/>
      <c r="Z62" s="1"/>
      <c r="AA62" s="1"/>
      <c r="AB62" s="1"/>
      <c r="AC62" s="1"/>
      <c r="AD62" s="1"/>
    </row>
    <row r="63" spans="1:30">
      <c r="A63" s="1"/>
      <c r="B63" s="411" t="s">
        <v>670</v>
      </c>
      <c r="C63" s="1"/>
      <c r="D63" s="1"/>
      <c r="E63" s="1"/>
      <c r="F63" s="1"/>
      <c r="G63" s="1"/>
      <c r="H63" s="126"/>
      <c r="I63" s="126"/>
      <c r="J63" s="2"/>
      <c r="K63" s="2"/>
      <c r="L63" s="2"/>
      <c r="M63" s="2"/>
      <c r="N63" s="1"/>
      <c r="O63" s="1"/>
      <c r="P63" s="126"/>
      <c r="Q63" s="126"/>
      <c r="R63" s="126"/>
      <c r="S63" s="126"/>
      <c r="T63" s="126"/>
      <c r="U63" s="126"/>
      <c r="V63" s="126"/>
      <c r="W63" s="126"/>
      <c r="X63" s="126"/>
      <c r="Y63" s="126"/>
      <c r="Z63" s="1"/>
      <c r="AA63" s="1"/>
      <c r="AB63" s="1"/>
      <c r="AC63" s="1"/>
      <c r="AD63" s="1"/>
    </row>
    <row r="64" spans="1:30">
      <c r="A64" s="1"/>
      <c r="B64" s="1"/>
      <c r="C64" s="1"/>
      <c r="D64" s="1"/>
      <c r="E64" s="1"/>
      <c r="F64" s="1"/>
      <c r="G64" s="1"/>
      <c r="H64" s="126"/>
      <c r="I64" s="126"/>
      <c r="J64" s="2"/>
      <c r="K64" s="2"/>
      <c r="L64" s="2"/>
      <c r="M64" s="2"/>
      <c r="N64" s="2"/>
      <c r="O64" s="126"/>
      <c r="P64" s="126"/>
      <c r="Q64" s="126"/>
      <c r="R64" s="126"/>
      <c r="S64" s="126"/>
      <c r="T64" s="126"/>
      <c r="U64" s="126"/>
      <c r="V64" s="126"/>
      <c r="W64" s="126"/>
      <c r="X64" s="126"/>
      <c r="Y64" s="126"/>
      <c r="Z64" s="1"/>
      <c r="AA64" s="1"/>
      <c r="AB64" s="1"/>
      <c r="AC64" s="1"/>
      <c r="AD64" s="1"/>
    </row>
    <row r="65" spans="1:30">
      <c r="A65" s="1"/>
      <c r="B65" s="126" t="s">
        <v>534</v>
      </c>
      <c r="C65" s="126"/>
      <c r="D65" s="432">
        <f>O40*(((1-E67))*(1+C16))/C17-C16</f>
        <v>2118.1296714837795</v>
      </c>
      <c r="E65" s="1"/>
      <c r="G65" s="1"/>
      <c r="H65" s="697"/>
      <c r="I65" s="126"/>
      <c r="J65" s="2"/>
      <c r="K65" s="2"/>
      <c r="L65" s="2"/>
      <c r="M65" s="2"/>
      <c r="N65" s="2"/>
      <c r="O65" s="126"/>
      <c r="P65" s="126"/>
      <c r="Q65" s="126"/>
      <c r="R65" s="126"/>
      <c r="S65" s="126"/>
      <c r="T65" s="126"/>
      <c r="U65" s="126"/>
      <c r="V65" s="126"/>
      <c r="W65" s="126"/>
      <c r="X65" s="126"/>
      <c r="Y65" s="126"/>
      <c r="Z65" s="1"/>
      <c r="AA65" s="1"/>
      <c r="AB65" s="1"/>
      <c r="AC65" s="1"/>
      <c r="AD65" s="1"/>
    </row>
    <row r="66" spans="1:30">
      <c r="A66" s="1"/>
      <c r="B66" s="126" t="s">
        <v>671</v>
      </c>
      <c r="D66" s="425">
        <f>D65/(1+0.0528)^5</f>
        <v>1637.657817385892</v>
      </c>
      <c r="E66" s="126"/>
      <c r="F66" s="126"/>
      <c r="G66" s="126"/>
      <c r="H66" s="126"/>
      <c r="I66" s="126"/>
      <c r="J66" s="2"/>
      <c r="K66" s="2"/>
      <c r="L66" s="2"/>
      <c r="M66" s="2"/>
      <c r="N66" s="2"/>
      <c r="O66" s="126"/>
      <c r="P66" s="126"/>
      <c r="Q66" s="126"/>
      <c r="R66" s="126"/>
      <c r="S66" s="126"/>
      <c r="T66" s="126"/>
      <c r="U66" s="126"/>
      <c r="V66" s="126"/>
      <c r="W66" s="126"/>
      <c r="X66" s="126"/>
      <c r="Y66" s="126"/>
      <c r="Z66" s="1"/>
      <c r="AA66" s="1"/>
      <c r="AB66" s="1"/>
      <c r="AC66" s="1"/>
      <c r="AD66" s="1"/>
    </row>
    <row r="67" spans="1:30">
      <c r="A67" s="1"/>
      <c r="B67" s="2" t="s">
        <v>668</v>
      </c>
      <c r="C67" s="126"/>
      <c r="D67" s="126"/>
      <c r="E67" s="404">
        <f>C16/C17</f>
        <v>0.84093556028584993</v>
      </c>
      <c r="F67" s="126"/>
      <c r="G67" s="126"/>
      <c r="H67" s="126"/>
      <c r="I67" s="126"/>
      <c r="J67" s="2"/>
      <c r="K67" s="2"/>
      <c r="L67" s="2"/>
      <c r="M67" s="2"/>
      <c r="N67" s="2"/>
      <c r="O67" s="126"/>
      <c r="P67" s="126"/>
      <c r="Q67" s="126"/>
      <c r="R67" s="126"/>
      <c r="S67" s="126"/>
      <c r="T67" s="126"/>
      <c r="U67" s="126"/>
      <c r="V67" s="126"/>
      <c r="W67" s="126"/>
      <c r="X67" s="126"/>
      <c r="Y67" s="126"/>
      <c r="Z67" s="1"/>
      <c r="AA67" s="1"/>
      <c r="AB67" s="1"/>
      <c r="AC67" s="1"/>
      <c r="AD67" s="1"/>
    </row>
    <row r="68" spans="1:30">
      <c r="A68" s="1"/>
      <c r="B68" s="1"/>
      <c r="C68" s="1"/>
      <c r="D68" s="1"/>
      <c r="E68" s="1"/>
      <c r="F68" s="126"/>
      <c r="G68" s="126"/>
      <c r="H68" s="126"/>
      <c r="I68" s="126"/>
      <c r="J68" s="2"/>
      <c r="K68" s="2"/>
      <c r="L68" s="2"/>
      <c r="M68" s="2"/>
      <c r="N68" s="2"/>
      <c r="O68" s="126"/>
      <c r="P68" s="126"/>
      <c r="Q68" s="126"/>
      <c r="R68" s="126"/>
      <c r="S68" s="126"/>
      <c r="T68" s="126"/>
      <c r="U68" s="126"/>
      <c r="V68" s="126"/>
      <c r="W68" s="126"/>
      <c r="X68" s="126"/>
      <c r="Y68" s="126"/>
      <c r="Z68" s="1"/>
      <c r="AA68" s="1"/>
      <c r="AB68" s="1"/>
      <c r="AC68" s="1"/>
      <c r="AD68" s="1"/>
    </row>
    <row r="69" spans="1:30">
      <c r="A69" s="1"/>
      <c r="B69" s="126" t="s">
        <v>533</v>
      </c>
      <c r="C69" s="126"/>
      <c r="E69" s="432">
        <f>SUM(J60:N60,D66)</f>
        <v>2616.1414282780188</v>
      </c>
      <c r="F69" s="126"/>
      <c r="G69" s="126"/>
      <c r="H69" s="126"/>
      <c r="I69" s="126"/>
      <c r="J69" s="2"/>
      <c r="K69" s="2"/>
      <c r="L69" s="2"/>
      <c r="M69" s="2"/>
      <c r="N69" s="2"/>
      <c r="O69" s="126"/>
      <c r="P69" s="126"/>
      <c r="Q69" s="126"/>
      <c r="R69" s="126"/>
      <c r="S69" s="126"/>
      <c r="T69" s="126"/>
      <c r="U69" s="126"/>
      <c r="V69" s="126"/>
      <c r="W69" s="126"/>
      <c r="X69" s="126"/>
      <c r="Y69" s="126"/>
      <c r="Z69" s="1"/>
      <c r="AA69" s="1"/>
      <c r="AB69" s="1"/>
      <c r="AC69" s="1"/>
      <c r="AD69" s="1"/>
    </row>
    <row r="70" spans="1:30">
      <c r="A70" s="1"/>
      <c r="B70" s="126" t="s">
        <v>731</v>
      </c>
      <c r="C70" s="126"/>
      <c r="D70" s="126"/>
      <c r="E70" s="126">
        <f>'Reorganised Statements'!H41</f>
        <v>434</v>
      </c>
      <c r="F70" s="126"/>
      <c r="G70" s="126"/>
      <c r="H70" s="126"/>
      <c r="I70" s="126"/>
      <c r="J70" s="2"/>
      <c r="K70" s="2"/>
      <c r="L70" s="2"/>
      <c r="M70" s="2"/>
      <c r="N70" s="2"/>
      <c r="O70" s="126"/>
      <c r="P70" s="1"/>
      <c r="Q70" s="1"/>
      <c r="R70" s="126"/>
      <c r="S70" s="126"/>
      <c r="T70" s="126"/>
      <c r="U70" s="126"/>
      <c r="V70" s="126"/>
      <c r="W70" s="126"/>
      <c r="X70" s="126"/>
      <c r="Y70" s="126"/>
      <c r="Z70" s="1"/>
      <c r="AA70" s="1"/>
      <c r="AB70" s="1"/>
      <c r="AC70" s="1"/>
      <c r="AD70" s="1"/>
    </row>
    <row r="71" spans="1:30">
      <c r="A71" s="1"/>
      <c r="B71" s="126" t="s">
        <v>540</v>
      </c>
      <c r="C71" s="126"/>
      <c r="D71" s="126"/>
      <c r="E71" s="126">
        <f>'Reorganised Statements'!H39 +'Reorganised Statements'!H8</f>
        <v>3702</v>
      </c>
      <c r="F71" s="126"/>
      <c r="G71" s="126"/>
      <c r="H71" s="126"/>
      <c r="I71" s="126"/>
      <c r="J71" s="2"/>
      <c r="K71" s="2"/>
      <c r="L71" s="2"/>
      <c r="M71" s="2"/>
      <c r="N71" s="2"/>
      <c r="O71" s="126"/>
      <c r="P71" s="1"/>
      <c r="Q71" s="1"/>
      <c r="R71" s="126"/>
      <c r="S71" s="126"/>
      <c r="T71" s="126"/>
      <c r="U71" s="126"/>
      <c r="V71" s="126"/>
      <c r="W71" s="126"/>
      <c r="X71" s="126"/>
      <c r="Y71" s="126"/>
      <c r="Z71" s="1"/>
      <c r="AA71" s="1"/>
      <c r="AB71" s="1"/>
      <c r="AC71" s="1"/>
      <c r="AD71" s="1"/>
    </row>
    <row r="72" spans="1:30">
      <c r="A72" s="1"/>
      <c r="B72" s="126" t="s">
        <v>541</v>
      </c>
      <c r="C72" s="126"/>
      <c r="D72" s="126"/>
      <c r="E72" s="126">
        <f>'Financial statements'!J111</f>
        <v>362</v>
      </c>
      <c r="F72" s="126"/>
      <c r="G72" s="126"/>
      <c r="H72" s="126"/>
      <c r="I72" s="126"/>
      <c r="J72" s="2"/>
      <c r="K72" s="2"/>
      <c r="L72" s="2"/>
      <c r="M72" s="2"/>
      <c r="N72" s="2"/>
      <c r="O72" s="126"/>
      <c r="P72" s="1"/>
      <c r="Q72" s="1"/>
      <c r="R72" s="126"/>
      <c r="S72" s="126"/>
      <c r="T72" s="126"/>
      <c r="U72" s="126"/>
      <c r="V72" s="126"/>
      <c r="W72" s="126"/>
      <c r="X72" s="126"/>
      <c r="Y72" s="126"/>
      <c r="Z72" s="1"/>
      <c r="AA72" s="1"/>
      <c r="AB72" s="1"/>
      <c r="AC72" s="1"/>
      <c r="AD72" s="1"/>
    </row>
    <row r="73" spans="1:30">
      <c r="A73" s="1"/>
      <c r="B73" s="126" t="s">
        <v>535</v>
      </c>
      <c r="C73" s="126"/>
      <c r="D73" s="126"/>
      <c r="E73" s="432">
        <f>E69+E70+E71-E72</f>
        <v>6390.1414282780188</v>
      </c>
      <c r="F73" s="126"/>
      <c r="G73" s="126"/>
      <c r="H73" s="126"/>
      <c r="I73" s="126"/>
      <c r="J73" s="2"/>
      <c r="K73" s="2"/>
      <c r="L73" s="2"/>
      <c r="M73" s="2"/>
      <c r="N73" s="2"/>
      <c r="O73" s="126"/>
      <c r="P73" s="1"/>
      <c r="Q73" s="1"/>
      <c r="R73" s="126"/>
      <c r="S73" s="126"/>
      <c r="T73" s="126"/>
      <c r="U73" s="126"/>
      <c r="V73" s="126"/>
      <c r="W73" s="126"/>
      <c r="X73" s="126"/>
      <c r="Y73" s="126"/>
      <c r="Z73" s="1"/>
      <c r="AA73" s="1"/>
      <c r="AB73" s="1"/>
      <c r="AC73" s="1"/>
      <c r="AD73" s="1"/>
    </row>
    <row r="74" spans="1:30">
      <c r="A74" s="1"/>
      <c r="B74" s="126" t="s">
        <v>730</v>
      </c>
      <c r="C74" s="126"/>
      <c r="D74" s="126"/>
      <c r="E74" s="433">
        <f>E73/'Forecasts Simone'!G139</f>
        <v>2.055247204486327</v>
      </c>
      <c r="F74" s="126"/>
      <c r="G74" s="126"/>
      <c r="H74" s="126"/>
      <c r="I74" s="126"/>
      <c r="J74" s="2"/>
      <c r="K74" s="2"/>
      <c r="L74" s="2"/>
      <c r="M74" s="2"/>
      <c r="N74" s="2"/>
      <c r="O74" s="126"/>
      <c r="P74" s="1"/>
      <c r="Q74" s="1"/>
      <c r="R74" s="126"/>
      <c r="S74" s="126"/>
      <c r="T74" s="126"/>
      <c r="U74" s="126"/>
      <c r="V74" s="126"/>
      <c r="W74" s="126"/>
      <c r="X74" s="126"/>
      <c r="Y74" s="126"/>
      <c r="Z74" s="1"/>
      <c r="AA74" s="1"/>
      <c r="AB74" s="1"/>
      <c r="AC74" s="1"/>
      <c r="AD74" s="1"/>
    </row>
    <row r="75" spans="1:30">
      <c r="A75" s="1"/>
      <c r="B75" s="1"/>
      <c r="C75" s="1"/>
      <c r="D75" s="1"/>
      <c r="E75" s="1"/>
      <c r="F75" s="1"/>
      <c r="G75" s="1"/>
      <c r="H75" s="1"/>
      <c r="I75" s="1"/>
      <c r="J75" s="1"/>
      <c r="K75" s="1"/>
      <c r="L75" s="1"/>
      <c r="M75" s="1"/>
      <c r="N75" s="2"/>
      <c r="O75" s="126"/>
      <c r="P75" s="1"/>
      <c r="Q75" s="1"/>
      <c r="R75" s="126"/>
      <c r="S75" s="126"/>
      <c r="T75" s="126"/>
      <c r="U75" s="126"/>
      <c r="V75" s="126"/>
      <c r="W75" s="126"/>
      <c r="X75" s="126"/>
      <c r="Y75" s="126"/>
      <c r="Z75" s="1"/>
      <c r="AA75" s="1"/>
      <c r="AB75" s="1"/>
      <c r="AC75" s="1"/>
      <c r="AD75" s="1"/>
    </row>
    <row r="76" spans="1:30">
      <c r="A76" s="1"/>
      <c r="B76" s="1"/>
      <c r="C76" s="1"/>
      <c r="D76" s="1"/>
      <c r="E76" s="1"/>
      <c r="F76" s="1"/>
      <c r="G76" s="1"/>
      <c r="H76" s="1"/>
      <c r="I76" s="1"/>
      <c r="J76" s="1"/>
      <c r="K76" s="1"/>
      <c r="L76" s="1"/>
      <c r="M76" s="1"/>
      <c r="N76" s="1"/>
      <c r="O76" s="1"/>
      <c r="P76" s="1"/>
      <c r="Q76" s="1"/>
      <c r="R76" s="126"/>
      <c r="S76" s="126"/>
      <c r="T76" s="126"/>
      <c r="U76" s="126"/>
      <c r="V76" s="126"/>
      <c r="W76" s="126"/>
      <c r="X76" s="126"/>
      <c r="Y76" s="126"/>
      <c r="Z76" s="1"/>
      <c r="AA76" s="1"/>
      <c r="AB76" s="1"/>
      <c r="AC76" s="1"/>
      <c r="AD76" s="1"/>
    </row>
    <row r="77" spans="1:30">
      <c r="A77" s="1"/>
      <c r="B77" s="126"/>
      <c r="C77" s="126"/>
      <c r="D77" s="126"/>
      <c r="E77" s="126"/>
      <c r="F77" s="126"/>
      <c r="G77" s="126"/>
      <c r="H77" s="126"/>
      <c r="I77" s="126"/>
      <c r="J77" s="126"/>
      <c r="K77" s="126"/>
      <c r="L77" s="126"/>
      <c r="M77" s="1"/>
      <c r="N77" s="1"/>
      <c r="O77" s="1"/>
      <c r="P77" s="1"/>
      <c r="Q77" s="1"/>
      <c r="R77" s="126"/>
      <c r="S77" s="126"/>
      <c r="T77" s="126"/>
      <c r="U77" s="126"/>
      <c r="V77" s="126"/>
      <c r="W77" s="126"/>
      <c r="X77" s="126"/>
      <c r="Y77" s="126"/>
      <c r="Z77" s="1"/>
      <c r="AA77" s="1"/>
      <c r="AB77" s="1"/>
      <c r="AC77" s="1"/>
      <c r="AD77" s="1"/>
    </row>
    <row r="78" spans="1:30">
      <c r="A78" s="1"/>
      <c r="B78" s="126"/>
      <c r="C78" s="126"/>
      <c r="D78" s="126"/>
      <c r="E78" s="126"/>
      <c r="F78" s="126"/>
      <c r="G78" s="126"/>
      <c r="H78" s="126"/>
      <c r="I78" s="126"/>
      <c r="J78" s="126"/>
      <c r="K78" s="126"/>
      <c r="L78" s="126"/>
      <c r="M78" s="1"/>
      <c r="N78" s="1"/>
      <c r="O78" s="1"/>
      <c r="P78" s="1"/>
      <c r="Q78" s="1"/>
      <c r="R78" s="126"/>
      <c r="S78" s="126"/>
      <c r="T78" s="126"/>
      <c r="U78" s="126"/>
      <c r="V78" s="126"/>
      <c r="W78" s="126"/>
      <c r="X78" s="126"/>
      <c r="Y78" s="126"/>
      <c r="Z78" s="1"/>
      <c r="AA78" s="1"/>
      <c r="AB78" s="1"/>
      <c r="AC78" s="1"/>
      <c r="AD78" s="1"/>
    </row>
    <row r="79" spans="1:30">
      <c r="A79" s="1"/>
      <c r="B79" s="126"/>
      <c r="C79" s="126"/>
      <c r="D79" s="126"/>
      <c r="E79" s="126"/>
      <c r="F79" s="126"/>
      <c r="G79" s="126"/>
      <c r="H79" s="126"/>
      <c r="I79" s="126"/>
      <c r="J79" s="126"/>
      <c r="K79" s="126"/>
      <c r="L79" s="126"/>
      <c r="M79" s="1"/>
      <c r="N79" s="1"/>
      <c r="O79" s="1"/>
      <c r="P79" s="1"/>
      <c r="Q79" s="1"/>
      <c r="R79" s="126"/>
      <c r="S79" s="126"/>
      <c r="T79" s="126"/>
      <c r="U79" s="126"/>
      <c r="V79" s="126"/>
      <c r="W79" s="126"/>
      <c r="X79" s="126"/>
      <c r="Y79" s="126"/>
      <c r="Z79" s="1"/>
      <c r="AA79" s="1"/>
      <c r="AB79" s="1"/>
      <c r="AC79" s="1"/>
      <c r="AD79" s="1"/>
    </row>
    <row r="80" spans="1:30">
      <c r="A80" s="1"/>
      <c r="B80" s="126"/>
      <c r="C80" s="126"/>
      <c r="D80" s="126"/>
      <c r="E80" s="126"/>
      <c r="F80" s="126"/>
      <c r="G80" s="126"/>
      <c r="H80" s="126"/>
      <c r="I80" s="126"/>
      <c r="J80" s="126"/>
      <c r="K80" s="126"/>
      <c r="L80" s="126"/>
      <c r="M80" s="1"/>
      <c r="N80" s="1"/>
      <c r="O80" s="1"/>
      <c r="P80" s="1"/>
      <c r="Q80" s="1"/>
      <c r="R80" s="126"/>
      <c r="S80" s="126"/>
      <c r="T80" s="126"/>
      <c r="U80" s="126"/>
      <c r="V80" s="126"/>
      <c r="W80" s="126"/>
      <c r="X80" s="126"/>
      <c r="Y80" s="126"/>
      <c r="Z80" s="1"/>
      <c r="AA80" s="1"/>
      <c r="AB80" s="1"/>
      <c r="AC80" s="1"/>
      <c r="AD80" s="1"/>
    </row>
    <row r="81" spans="1:30" ht="34.799999999999997">
      <c r="A81" s="680" t="s">
        <v>732</v>
      </c>
      <c r="B81" s="14"/>
      <c r="C81" s="126"/>
      <c r="D81" s="126"/>
      <c r="E81" s="126"/>
      <c r="F81" s="126"/>
      <c r="G81" s="126"/>
      <c r="H81" s="126"/>
      <c r="I81" s="126"/>
      <c r="J81" s="126"/>
      <c r="K81" s="126"/>
      <c r="L81" s="126"/>
      <c r="M81" s="1"/>
      <c r="N81" s="2"/>
      <c r="O81" s="126"/>
      <c r="P81" s="126"/>
      <c r="Q81" s="126"/>
      <c r="R81" s="126"/>
      <c r="S81" s="126"/>
      <c r="T81" s="126"/>
      <c r="U81" s="126"/>
      <c r="V81" s="126"/>
      <c r="W81" s="126"/>
      <c r="X81" s="126"/>
      <c r="Y81" s="126"/>
      <c r="Z81" s="1"/>
      <c r="AA81" s="1"/>
      <c r="AB81" s="1"/>
      <c r="AC81" s="1"/>
      <c r="AD81" s="1"/>
    </row>
    <row r="82" spans="1:30" ht="19.2">
      <c r="A82" s="1"/>
      <c r="B82" s="400" t="s">
        <v>721</v>
      </c>
      <c r="C82" s="126"/>
      <c r="D82" s="126"/>
      <c r="E82" s="126"/>
      <c r="F82" s="126"/>
      <c r="G82" s="126"/>
      <c r="H82" s="126"/>
      <c r="I82" s="126"/>
      <c r="J82" s="126"/>
      <c r="K82" s="126"/>
      <c r="L82" s="126"/>
      <c r="M82" s="1"/>
      <c r="N82" s="1"/>
      <c r="O82" s="1"/>
      <c r="P82" s="1"/>
      <c r="Q82" s="1"/>
      <c r="R82" s="126"/>
      <c r="S82" s="126"/>
      <c r="T82" s="126"/>
      <c r="U82" s="126"/>
      <c r="V82" s="126"/>
      <c r="W82" s="126"/>
      <c r="X82" s="126"/>
      <c r="Y82" s="126"/>
      <c r="Z82" s="1"/>
      <c r="AA82" s="1"/>
      <c r="AB82" s="1"/>
      <c r="AC82" s="1"/>
      <c r="AD82" s="1"/>
    </row>
    <row r="83" spans="1:30">
      <c r="A83" s="1"/>
      <c r="B83" s="126" t="s">
        <v>736</v>
      </c>
      <c r="C83" s="404"/>
      <c r="D83" s="126"/>
      <c r="E83" s="404"/>
      <c r="F83" s="126"/>
      <c r="G83" s="126"/>
      <c r="H83" s="126"/>
      <c r="I83" s="126"/>
      <c r="J83" s="126"/>
      <c r="K83" s="126"/>
      <c r="L83" s="126"/>
      <c r="M83" s="126"/>
      <c r="N83" s="126"/>
      <c r="O83" s="126"/>
      <c r="P83" s="126"/>
      <c r="Q83" s="126"/>
      <c r="R83" s="126"/>
      <c r="S83" s="126"/>
      <c r="T83" s="126"/>
      <c r="U83" s="126"/>
      <c r="V83" s="126"/>
      <c r="W83" s="126"/>
      <c r="X83" s="126"/>
      <c r="Y83" s="126"/>
      <c r="Z83" s="1"/>
      <c r="AA83" s="1"/>
      <c r="AB83" s="1"/>
      <c r="AC83" s="1"/>
      <c r="AD83" s="1"/>
    </row>
    <row r="84" spans="1:30">
      <c r="A84" s="1"/>
      <c r="B84" s="126" t="s">
        <v>722</v>
      </c>
      <c r="C84" s="126"/>
      <c r="D84" s="126"/>
      <c r="E84" s="126"/>
      <c r="F84" s="126"/>
      <c r="G84" s="126"/>
      <c r="H84" s="409">
        <v>6.4000000000000001E-2</v>
      </c>
      <c r="I84" s="126"/>
      <c r="J84" s="126"/>
      <c r="K84" s="126"/>
      <c r="L84" s="126"/>
      <c r="M84" s="126"/>
      <c r="N84" s="126"/>
      <c r="O84" s="126"/>
      <c r="P84" s="126"/>
      <c r="Q84" s="126"/>
      <c r="R84" s="126"/>
      <c r="S84" s="126"/>
      <c r="T84" s="126"/>
      <c r="U84" s="126"/>
      <c r="V84" s="126"/>
      <c r="W84" s="126"/>
      <c r="X84" s="126"/>
      <c r="Y84" s="126"/>
      <c r="Z84" s="1"/>
      <c r="AA84" s="1"/>
      <c r="AB84" s="1"/>
      <c r="AC84" s="1"/>
      <c r="AD84" s="1"/>
    </row>
    <row r="85" spans="1:30">
      <c r="A85" s="1"/>
      <c r="B85" s="753" t="s">
        <v>737</v>
      </c>
      <c r="C85" s="753"/>
      <c r="D85" s="753"/>
      <c r="E85" s="753"/>
      <c r="F85" s="753"/>
      <c r="G85" s="754">
        <v>1.2E-2</v>
      </c>
      <c r="H85" s="14"/>
      <c r="I85" s="126"/>
      <c r="J85" s="126"/>
      <c r="K85" s="14"/>
      <c r="L85" s="126"/>
      <c r="M85" s="697"/>
      <c r="N85" s="126"/>
      <c r="O85" s="126"/>
      <c r="P85" s="126"/>
      <c r="Q85" s="126"/>
      <c r="R85" s="126"/>
      <c r="S85" s="126"/>
      <c r="T85" s="126"/>
      <c r="U85" s="126"/>
      <c r="V85" s="126"/>
      <c r="W85" s="126"/>
      <c r="X85" s="126"/>
      <c r="Y85" s="126"/>
      <c r="Z85" s="1"/>
      <c r="AA85" s="1"/>
      <c r="AB85" s="1"/>
      <c r="AC85" s="1"/>
      <c r="AD85" s="1"/>
    </row>
    <row r="86" spans="1:30">
      <c r="A86" s="1"/>
      <c r="B86" s="126" t="s">
        <v>806</v>
      </c>
      <c r="C86" s="126"/>
      <c r="D86" s="126"/>
      <c r="E86" s="126"/>
      <c r="G86" s="409">
        <v>0.1071</v>
      </c>
      <c r="H86" s="675"/>
      <c r="I86" s="675"/>
      <c r="J86" s="675"/>
      <c r="K86" s="675"/>
      <c r="L86" s="425"/>
      <c r="M86" s="126"/>
      <c r="N86" s="126"/>
      <c r="O86" s="126"/>
      <c r="P86" s="126"/>
      <c r="Q86" s="126"/>
      <c r="R86" s="126"/>
      <c r="S86" s="126"/>
      <c r="T86" s="126"/>
      <c r="U86" s="126"/>
      <c r="V86" s="126"/>
      <c r="W86" s="126"/>
      <c r="X86" s="126"/>
      <c r="Y86" s="126"/>
      <c r="Z86" s="1"/>
      <c r="AA86" s="1"/>
      <c r="AB86" s="1"/>
      <c r="AC86" s="1"/>
      <c r="AD86" s="1"/>
    </row>
    <row r="87" spans="1:30" ht="17.25" customHeight="1">
      <c r="A87" s="1"/>
      <c r="B87" s="126" t="s">
        <v>739</v>
      </c>
      <c r="C87" s="126"/>
      <c r="D87" s="126"/>
      <c r="E87" s="126"/>
      <c r="F87" s="902">
        <f>4476/(1+(1+G86)+(1+G86)^2+(1+G86)^3+(1+G86)^4)</f>
        <v>722.87077665416166</v>
      </c>
      <c r="G87" s="126"/>
      <c r="H87" s="126"/>
      <c r="I87" s="126"/>
      <c r="J87" s="126"/>
      <c r="K87" s="126"/>
      <c r="L87" s="126"/>
      <c r="M87" s="1"/>
      <c r="N87" s="1"/>
      <c r="O87" s="1"/>
      <c r="P87" s="1"/>
      <c r="Q87" s="1"/>
      <c r="R87" s="1"/>
      <c r="S87" s="1"/>
      <c r="T87" s="1"/>
      <c r="U87" s="1"/>
      <c r="V87" s="1"/>
      <c r="W87" s="1"/>
      <c r="X87" s="126"/>
      <c r="Y87" s="126"/>
      <c r="Z87" s="1"/>
      <c r="AA87" s="1"/>
      <c r="AB87" s="1"/>
      <c r="AC87" s="1"/>
      <c r="AD87" s="1"/>
    </row>
    <row r="88" spans="1:30">
      <c r="A88" s="1"/>
      <c r="B88" s="14"/>
      <c r="C88" s="390"/>
      <c r="D88" s="126"/>
      <c r="E88" s="404"/>
      <c r="F88" s="126"/>
      <c r="G88" s="126"/>
      <c r="H88" s="126"/>
      <c r="I88" s="126"/>
      <c r="J88" s="14"/>
      <c r="K88" s="126"/>
      <c r="L88" s="126"/>
      <c r="M88" s="1"/>
      <c r="N88" s="1"/>
      <c r="O88" s="1"/>
      <c r="P88" s="1"/>
      <c r="Q88" s="126"/>
      <c r="R88" s="126"/>
      <c r="S88" s="126"/>
      <c r="T88" s="126"/>
      <c r="U88" s="126"/>
      <c r="V88" s="126"/>
      <c r="W88" s="126"/>
      <c r="X88" s="126"/>
      <c r="Y88" s="126"/>
      <c r="Z88" s="126"/>
      <c r="AA88" s="126"/>
      <c r="AB88" s="126"/>
      <c r="AC88" s="126"/>
      <c r="AD88" s="1"/>
    </row>
    <row r="89" spans="1:30">
      <c r="A89" s="1"/>
      <c r="B89" s="126" t="s">
        <v>742</v>
      </c>
      <c r="C89" s="390"/>
      <c r="D89" s="126"/>
      <c r="E89" s="126"/>
      <c r="F89" s="126"/>
      <c r="G89" s="14"/>
      <c r="H89" s="126"/>
      <c r="I89" s="126"/>
      <c r="J89" s="1"/>
      <c r="K89" s="409">
        <f>AVERAGE(F96:J96)</f>
        <v>4.6749245751011637E-2</v>
      </c>
      <c r="L89" s="126"/>
      <c r="M89" s="1"/>
      <c r="N89" s="1"/>
      <c r="O89" s="1"/>
      <c r="P89" s="1"/>
      <c r="Q89" s="126"/>
      <c r="R89" s="126"/>
      <c r="S89" s="639"/>
      <c r="T89" s="126"/>
      <c r="U89" s="2"/>
      <c r="V89" s="687"/>
      <c r="W89" s="2"/>
      <c r="X89" s="126"/>
      <c r="Y89" s="404"/>
      <c r="Z89" s="126"/>
      <c r="AA89" s="126"/>
      <c r="AB89" s="126"/>
      <c r="AC89" s="126"/>
      <c r="AD89" s="1"/>
    </row>
    <row r="90" spans="1:30">
      <c r="A90" s="1"/>
      <c r="B90" s="126"/>
      <c r="C90" s="126"/>
      <c r="D90" s="126"/>
      <c r="E90" s="923" t="s">
        <v>158</v>
      </c>
      <c r="F90" s="923"/>
      <c r="G90" s="923"/>
      <c r="H90" s="923"/>
      <c r="I90" s="924"/>
      <c r="J90" s="925" t="s">
        <v>528</v>
      </c>
      <c r="K90" s="926"/>
      <c r="L90" s="926"/>
      <c r="M90" s="926"/>
      <c r="N90" s="926"/>
      <c r="O90" s="739" t="s">
        <v>658</v>
      </c>
      <c r="P90" s="739" t="s">
        <v>741</v>
      </c>
      <c r="Q90" s="126"/>
      <c r="R90" s="126"/>
      <c r="S90" s="682"/>
      <c r="T90" s="126"/>
      <c r="U90" s="2"/>
      <c r="V90" s="687"/>
      <c r="W90" s="2"/>
      <c r="X90" s="2"/>
      <c r="Y90" s="126"/>
      <c r="Z90" s="126"/>
      <c r="AA90" s="126"/>
      <c r="AB90" s="126"/>
      <c r="AC90" s="126"/>
      <c r="AD90" s="1"/>
    </row>
    <row r="91" spans="1:30">
      <c r="A91" s="1"/>
      <c r="B91" s="383"/>
      <c r="C91" s="383"/>
      <c r="D91" s="411"/>
      <c r="E91" s="746" t="s">
        <v>1</v>
      </c>
      <c r="F91" s="729">
        <v>42735</v>
      </c>
      <c r="G91" s="729">
        <v>43100</v>
      </c>
      <c r="H91" s="729">
        <v>43465</v>
      </c>
      <c r="I91" s="729">
        <v>43830</v>
      </c>
      <c r="J91" s="730">
        <v>44196</v>
      </c>
      <c r="K91" s="731">
        <v>44561</v>
      </c>
      <c r="L91" s="731">
        <v>44926</v>
      </c>
      <c r="M91" s="731">
        <v>45291</v>
      </c>
      <c r="N91" s="731">
        <v>45657</v>
      </c>
      <c r="O91" s="1"/>
      <c r="P91" s="1"/>
      <c r="Q91" s="126"/>
      <c r="R91" s="126"/>
      <c r="S91" s="126"/>
      <c r="T91" s="126"/>
      <c r="U91" s="126"/>
      <c r="V91" s="126"/>
      <c r="W91" s="126"/>
      <c r="X91" s="126"/>
      <c r="Y91" s="126"/>
      <c r="Z91" s="126"/>
      <c r="AA91" s="126"/>
      <c r="AB91" s="126"/>
      <c r="AC91" s="126"/>
      <c r="AD91" s="1"/>
    </row>
    <row r="92" spans="1:30">
      <c r="A92" s="1"/>
      <c r="B92" s="126" t="s">
        <v>457</v>
      </c>
      <c r="C92" s="126"/>
      <c r="D92" s="2"/>
      <c r="E92" s="732">
        <v>4921</v>
      </c>
      <c r="F92" s="216">
        <v>4860</v>
      </c>
      <c r="G92" s="216">
        <v>5796</v>
      </c>
      <c r="H92" s="216">
        <v>6494</v>
      </c>
      <c r="I92" s="216">
        <v>7324</v>
      </c>
      <c r="J92" s="587">
        <f>I92*(1+J93)</f>
        <v>8108.4643125328985</v>
      </c>
      <c r="K92" s="216">
        <f t="shared" ref="K92:O92" si="20">J92*(1+K93)</f>
        <v>8976.9515985280741</v>
      </c>
      <c r="L92" s="216">
        <f t="shared" si="20"/>
        <v>9938.4614516657621</v>
      </c>
      <c r="M92" s="216">
        <f t="shared" si="20"/>
        <v>11002.957400643874</v>
      </c>
      <c r="N92" s="216">
        <f t="shared" si="20"/>
        <v>12181.470155030122</v>
      </c>
      <c r="O92" s="216">
        <f t="shared" si="20"/>
        <v>13486.211909645868</v>
      </c>
      <c r="P92" s="216">
        <f>N92*(1+P93)</f>
        <v>13486.211909645868</v>
      </c>
      <c r="Q92" s="126"/>
      <c r="R92" s="126"/>
      <c r="S92" s="126"/>
      <c r="T92" s="126"/>
      <c r="U92" s="126"/>
      <c r="V92" s="126"/>
      <c r="W92" s="126"/>
      <c r="Y92" s="126"/>
      <c r="Z92" s="126"/>
      <c r="AA92" s="126"/>
      <c r="AB92" s="126"/>
      <c r="AC92" s="126"/>
      <c r="AD92" s="1"/>
    </row>
    <row r="93" spans="1:30">
      <c r="A93" s="1"/>
      <c r="B93" s="698" t="s">
        <v>720</v>
      </c>
      <c r="C93" s="698"/>
      <c r="D93" s="700"/>
      <c r="E93" s="398"/>
      <c r="F93" s="889">
        <f>(F92-E92)/E92</f>
        <v>-1.2395854501117659E-2</v>
      </c>
      <c r="G93" s="889">
        <f t="shared" ref="G93:I93" si="21">(G92-F92)/F92</f>
        <v>0.19259259259259259</v>
      </c>
      <c r="H93" s="889">
        <f t="shared" si="21"/>
        <v>0.12042788129744651</v>
      </c>
      <c r="I93" s="889">
        <f t="shared" si="21"/>
        <v>0.12781028641823222</v>
      </c>
      <c r="J93" s="887">
        <v>0.10710872645178841</v>
      </c>
      <c r="K93" s="888">
        <v>0.10710872645178841</v>
      </c>
      <c r="L93" s="888">
        <v>0.10710872645178841</v>
      </c>
      <c r="M93" s="888">
        <v>0.10710872645178841</v>
      </c>
      <c r="N93" s="888">
        <v>0.10710872645178841</v>
      </c>
      <c r="O93" s="888">
        <v>0.10710872645178841</v>
      </c>
      <c r="P93" s="888">
        <v>0.10710872645178841</v>
      </c>
      <c r="Q93" s="1"/>
      <c r="R93" s="126"/>
      <c r="S93" s="126"/>
      <c r="T93" s="126"/>
      <c r="U93" s="126"/>
      <c r="V93" s="126"/>
      <c r="W93" s="126"/>
      <c r="X93" s="126"/>
      <c r="Y93" s="126"/>
      <c r="Z93" s="1"/>
      <c r="AA93" s="1"/>
      <c r="AB93" s="1"/>
      <c r="AC93" s="1"/>
      <c r="AD93" s="1"/>
    </row>
    <row r="94" spans="1:30">
      <c r="A94" s="1"/>
      <c r="B94" s="126"/>
      <c r="C94" s="126"/>
      <c r="D94" s="2"/>
      <c r="E94" s="398"/>
      <c r="F94" s="216"/>
      <c r="G94" s="216"/>
      <c r="H94" s="216"/>
      <c r="I94" s="216"/>
      <c r="J94" s="587"/>
      <c r="K94" s="216"/>
      <c r="L94" s="216"/>
      <c r="M94" s="216"/>
      <c r="N94" s="216"/>
      <c r="O94" s="126"/>
      <c r="P94" s="1"/>
      <c r="Q94" s="1"/>
      <c r="R94" s="126"/>
      <c r="S94" s="126"/>
      <c r="T94" s="126"/>
      <c r="U94" s="126"/>
      <c r="V94" s="126"/>
      <c r="W94" s="126"/>
      <c r="X94" s="126"/>
      <c r="Y94" s="126"/>
      <c r="Z94" s="1"/>
      <c r="AA94" s="1"/>
      <c r="AB94" s="1"/>
      <c r="AC94" s="1"/>
      <c r="AD94" s="1"/>
    </row>
    <row r="95" spans="1:30">
      <c r="A95" s="1"/>
      <c r="B95" s="126" t="s">
        <v>306</v>
      </c>
      <c r="C95" s="126"/>
      <c r="D95" s="2"/>
      <c r="E95" s="713">
        <v>1048</v>
      </c>
      <c r="F95" s="216">
        <v>1162</v>
      </c>
      <c r="G95" s="216">
        <v>1199</v>
      </c>
      <c r="H95" s="216">
        <v>1231</v>
      </c>
      <c r="I95" s="216">
        <v>1234</v>
      </c>
      <c r="J95" s="737">
        <f>I95*(1+J96)</f>
        <v>1312.9760000000001</v>
      </c>
      <c r="K95" s="738">
        <f>J95*(1+K96)</f>
        <v>1397.0064640000003</v>
      </c>
      <c r="L95" s="738">
        <f t="shared" ref="L95:M95" si="22">K95*(1+L96)</f>
        <v>1486.4148776960003</v>
      </c>
      <c r="M95" s="738">
        <f t="shared" si="22"/>
        <v>1581.5454298685445</v>
      </c>
      <c r="N95" s="738">
        <f>M95*(1+N96)</f>
        <v>1682.7643373801313</v>
      </c>
      <c r="O95" s="425">
        <f>N95*(1+O96)</f>
        <v>1702.9575094286929</v>
      </c>
      <c r="P95" s="752">
        <f>N95*(1+P96)</f>
        <v>1761.4323009293535</v>
      </c>
      <c r="Q95" s="1"/>
      <c r="R95" s="126"/>
      <c r="S95" s="126"/>
      <c r="T95" s="126"/>
      <c r="U95" s="126"/>
      <c r="V95" s="126"/>
      <c r="W95" s="126"/>
      <c r="X95" s="126"/>
      <c r="Y95" s="126"/>
      <c r="Z95" s="1"/>
      <c r="AA95" s="1"/>
      <c r="AB95" s="1"/>
      <c r="AC95" s="1"/>
      <c r="AD95" s="1"/>
    </row>
    <row r="96" spans="1:30">
      <c r="A96" s="1"/>
      <c r="B96" s="683"/>
      <c r="C96" s="684"/>
      <c r="D96" s="684"/>
      <c r="E96" s="428"/>
      <c r="F96" s="886">
        <f t="shared" ref="F96:I96" si="23">(F95-E95)/E95</f>
        <v>0.10877862595419847</v>
      </c>
      <c r="G96" s="886">
        <f t="shared" si="23"/>
        <v>3.1841652323580036E-2</v>
      </c>
      <c r="H96" s="886">
        <f t="shared" si="23"/>
        <v>2.6688907422852376E-2</v>
      </c>
      <c r="I96" s="886">
        <f t="shared" si="23"/>
        <v>2.437043054427295E-3</v>
      </c>
      <c r="J96" s="887">
        <f>$H$84</f>
        <v>6.4000000000000001E-2</v>
      </c>
      <c r="K96" s="888">
        <f t="shared" ref="K96:N96" si="24">$H$84</f>
        <v>6.4000000000000001E-2</v>
      </c>
      <c r="L96" s="888">
        <f t="shared" si="24"/>
        <v>6.4000000000000001E-2</v>
      </c>
      <c r="M96" s="888">
        <f t="shared" si="24"/>
        <v>6.4000000000000001E-2</v>
      </c>
      <c r="N96" s="888">
        <f t="shared" si="24"/>
        <v>6.4000000000000001E-2</v>
      </c>
      <c r="O96" s="736">
        <f>G85</f>
        <v>1.2E-2</v>
      </c>
      <c r="P96" s="901">
        <f>K89</f>
        <v>4.6749245751011637E-2</v>
      </c>
      <c r="Q96" s="1"/>
      <c r="R96" s="126"/>
      <c r="S96" s="126"/>
      <c r="T96" s="126"/>
      <c r="U96" s="126"/>
      <c r="V96" s="126"/>
      <c r="W96" s="126"/>
      <c r="X96" s="126"/>
      <c r="Y96" s="126"/>
      <c r="Z96" s="1"/>
      <c r="AA96" s="1"/>
      <c r="AB96" s="1"/>
      <c r="AC96" s="1"/>
      <c r="AD96" s="1"/>
    </row>
    <row r="97" spans="1:30">
      <c r="A97" s="1"/>
      <c r="B97" s="167" t="s">
        <v>456</v>
      </c>
      <c r="C97" s="1"/>
      <c r="D97" s="1"/>
      <c r="E97" s="733">
        <v>-79</v>
      </c>
      <c r="F97" s="678">
        <v>-71</v>
      </c>
      <c r="G97" s="678">
        <v>-45</v>
      </c>
      <c r="H97" s="678">
        <v>-20</v>
      </c>
      <c r="I97" s="678">
        <v>-36</v>
      </c>
      <c r="J97" s="702">
        <f>$G$20</f>
        <v>-43</v>
      </c>
      <c r="K97" s="703">
        <f t="shared" ref="K97:P97" si="25">$G$20</f>
        <v>-43</v>
      </c>
      <c r="L97" s="703">
        <f t="shared" si="25"/>
        <v>-43</v>
      </c>
      <c r="M97" s="703">
        <f t="shared" si="25"/>
        <v>-43</v>
      </c>
      <c r="N97" s="703">
        <f t="shared" si="25"/>
        <v>-43</v>
      </c>
      <c r="O97" s="703">
        <f t="shared" si="25"/>
        <v>-43</v>
      </c>
      <c r="P97" s="703">
        <f t="shared" si="25"/>
        <v>-43</v>
      </c>
      <c r="Q97" s="1"/>
      <c r="R97" s="126"/>
      <c r="S97" s="126"/>
      <c r="T97" s="126"/>
      <c r="U97" s="126"/>
      <c r="V97" s="126"/>
      <c r="W97" s="126"/>
      <c r="X97" s="126"/>
      <c r="Y97" s="126"/>
      <c r="Z97" s="1"/>
      <c r="AA97" s="1"/>
      <c r="AB97" s="1"/>
      <c r="AC97" s="1"/>
      <c r="AD97" s="1"/>
    </row>
    <row r="98" spans="1:30">
      <c r="A98" s="1"/>
      <c r="B98" s="580" t="s">
        <v>738</v>
      </c>
      <c r="C98" s="580"/>
      <c r="D98" s="580"/>
      <c r="E98" s="745">
        <f t="shared" ref="E98:J98" si="26">E95+E97</f>
        <v>969</v>
      </c>
      <c r="F98" s="706">
        <f t="shared" si="26"/>
        <v>1091</v>
      </c>
      <c r="G98" s="706">
        <f t="shared" si="26"/>
        <v>1154</v>
      </c>
      <c r="H98" s="706">
        <f t="shared" si="26"/>
        <v>1211</v>
      </c>
      <c r="I98" s="706">
        <f t="shared" si="26"/>
        <v>1198</v>
      </c>
      <c r="J98" s="707">
        <f t="shared" si="26"/>
        <v>1269.9760000000001</v>
      </c>
      <c r="K98" s="706">
        <f t="shared" ref="K98:P98" si="27">K95+K97</f>
        <v>1354.0064640000003</v>
      </c>
      <c r="L98" s="706">
        <f t="shared" si="27"/>
        <v>1443.4148776960003</v>
      </c>
      <c r="M98" s="706">
        <f t="shared" si="27"/>
        <v>1538.5454298685445</v>
      </c>
      <c r="N98" s="706">
        <f t="shared" si="27"/>
        <v>1639.7643373801313</v>
      </c>
      <c r="O98" s="706">
        <f t="shared" si="27"/>
        <v>1659.9575094286929</v>
      </c>
      <c r="P98" s="706">
        <f t="shared" si="27"/>
        <v>1718.4323009293535</v>
      </c>
      <c r="Q98" s="126"/>
      <c r="R98" s="126"/>
      <c r="S98" s="126"/>
      <c r="T98" s="126"/>
      <c r="U98" s="126"/>
      <c r="V98" s="126"/>
      <c r="W98" s="126"/>
      <c r="X98" s="126"/>
      <c r="Y98" s="126"/>
      <c r="Z98" s="1"/>
      <c r="AA98" s="1"/>
      <c r="AB98" s="1"/>
      <c r="AC98" s="1"/>
      <c r="AD98" s="1"/>
    </row>
    <row r="99" spans="1:30">
      <c r="A99" s="1"/>
      <c r="B99" s="1"/>
      <c r="C99" s="1"/>
      <c r="D99" s="1"/>
      <c r="E99" s="428"/>
      <c r="F99" s="890">
        <f>(F98-E98)/E98</f>
        <v>0.12590299277605779</v>
      </c>
      <c r="G99" s="890">
        <f t="shared" ref="G99:I99" si="28">(G98-F98)/F98</f>
        <v>5.7745187901008251E-2</v>
      </c>
      <c r="H99" s="890">
        <f t="shared" si="28"/>
        <v>4.9393414211438474E-2</v>
      </c>
      <c r="I99" s="890">
        <f t="shared" si="28"/>
        <v>-1.0734929810074319E-2</v>
      </c>
      <c r="J99" s="891">
        <v>6.4000000000000001E-2</v>
      </c>
      <c r="K99" s="892">
        <v>6.4000000000000001E-2</v>
      </c>
      <c r="L99" s="892">
        <v>6.4000000000000001E-2</v>
      </c>
      <c r="M99" s="892">
        <v>6.4000000000000001E-2</v>
      </c>
      <c r="N99" s="892">
        <v>6.4000000000000001E-2</v>
      </c>
      <c r="O99" s="415"/>
      <c r="P99" s="1"/>
      <c r="Q99" s="126"/>
      <c r="R99" s="126"/>
      <c r="S99" s="126"/>
      <c r="T99" s="126"/>
      <c r="U99" s="126"/>
      <c r="V99" s="126"/>
      <c r="W99" s="126"/>
      <c r="X99" s="126"/>
      <c r="Y99" s="126"/>
      <c r="Z99" s="1"/>
      <c r="AA99" s="1"/>
      <c r="AB99" s="1"/>
      <c r="AC99" s="1"/>
      <c r="AD99" s="1"/>
    </row>
    <row r="100" spans="1:30">
      <c r="A100" s="1"/>
      <c r="B100" s="1"/>
      <c r="C100" s="1"/>
      <c r="D100" s="1"/>
      <c r="E100" s="428"/>
      <c r="F100" s="1"/>
      <c r="G100" s="1"/>
      <c r="H100" s="1"/>
      <c r="I100" s="1"/>
      <c r="J100" s="701"/>
      <c r="K100" s="52"/>
      <c r="L100" s="52"/>
      <c r="M100" s="52"/>
      <c r="N100" s="1"/>
      <c r="O100" s="1"/>
      <c r="P100" s="126"/>
      <c r="Q100" s="1"/>
      <c r="R100" s="126"/>
      <c r="S100" s="126"/>
      <c r="T100" s="126"/>
      <c r="U100" s="126"/>
      <c r="V100" s="126"/>
      <c r="W100" s="126"/>
      <c r="X100" s="126"/>
      <c r="Y100" s="126"/>
      <c r="Z100" s="1"/>
      <c r="AA100" s="1"/>
      <c r="AB100" s="1"/>
      <c r="AC100" s="1"/>
      <c r="AD100" s="1"/>
    </row>
    <row r="101" spans="1:30">
      <c r="A101" s="1"/>
      <c r="B101" s="1" t="s">
        <v>334</v>
      </c>
      <c r="C101" s="126"/>
      <c r="D101" s="1"/>
      <c r="E101" s="734">
        <v>-754</v>
      </c>
      <c r="F101" s="422">
        <v>-648</v>
      </c>
      <c r="G101" s="422">
        <v>-444</v>
      </c>
      <c r="H101" s="422">
        <v>-623</v>
      </c>
      <c r="I101" s="422">
        <v>-511</v>
      </c>
      <c r="J101" s="688">
        <f t="shared" ref="J101:O101" si="29">-J109</f>
        <v>-433.09355565259045</v>
      </c>
      <c r="K101" s="689">
        <f t="shared" si="29"/>
        <v>-479.47787546298287</v>
      </c>
      <c r="L101" s="689">
        <f t="shared" si="29"/>
        <v>-530.82995592506836</v>
      </c>
      <c r="M101" s="689">
        <f t="shared" si="29"/>
        <v>-587.68184420464308</v>
      </c>
      <c r="N101" s="689">
        <f t="shared" si="29"/>
        <v>-650.62256971896045</v>
      </c>
      <c r="O101" s="689">
        <f t="shared" si="29"/>
        <v>-650.62256971896045</v>
      </c>
      <c r="P101" s="689">
        <f>-O109</f>
        <v>-650.62256971896045</v>
      </c>
      <c r="Q101" s="126"/>
      <c r="R101" s="126"/>
      <c r="S101" s="126"/>
      <c r="T101" s="126"/>
      <c r="U101" s="126"/>
      <c r="V101" s="126"/>
      <c r="W101" s="126"/>
      <c r="X101" s="126"/>
      <c r="Y101" s="126"/>
      <c r="Z101" s="1"/>
      <c r="AA101" s="1"/>
      <c r="AB101" s="1"/>
      <c r="AC101" s="1"/>
      <c r="AD101" s="1"/>
    </row>
    <row r="102" spans="1:30">
      <c r="A102" s="1"/>
      <c r="B102" s="580" t="s">
        <v>303</v>
      </c>
      <c r="C102" s="580"/>
      <c r="D102" s="580"/>
      <c r="E102" s="741">
        <f>SUM(E95,E101,E97)</f>
        <v>215</v>
      </c>
      <c r="F102" s="740">
        <f>SUM(F95,F101,F97)</f>
        <v>443</v>
      </c>
      <c r="G102" s="740">
        <f>SUM(G95,G101,G97)</f>
        <v>710</v>
      </c>
      <c r="H102" s="740">
        <f>SUM(H95,H101,H97)</f>
        <v>588</v>
      </c>
      <c r="I102" s="740">
        <f>SUM(I95,I101,I97)</f>
        <v>687</v>
      </c>
      <c r="J102" s="707">
        <f t="shared" ref="J102:P102" si="30">J98+J101</f>
        <v>836.88244434740966</v>
      </c>
      <c r="K102" s="706">
        <f t="shared" si="30"/>
        <v>874.52858853701741</v>
      </c>
      <c r="L102" s="706">
        <f t="shared" si="30"/>
        <v>912.58492177093194</v>
      </c>
      <c r="M102" s="706">
        <f t="shared" si="30"/>
        <v>950.8635856639014</v>
      </c>
      <c r="N102" s="706">
        <f t="shared" si="30"/>
        <v>989.14176766117089</v>
      </c>
      <c r="O102" s="706">
        <f t="shared" si="30"/>
        <v>1009.3349397097325</v>
      </c>
      <c r="P102" s="706">
        <f t="shared" si="30"/>
        <v>1067.809731210393</v>
      </c>
      <c r="Q102" s="126"/>
      <c r="R102" s="126"/>
      <c r="S102" s="126"/>
      <c r="T102" s="126"/>
      <c r="U102" s="126"/>
      <c r="V102" s="126"/>
      <c r="W102" s="126"/>
      <c r="X102" s="126"/>
      <c r="Y102" s="126"/>
      <c r="Z102" s="1"/>
      <c r="AA102" s="1"/>
      <c r="AB102" s="1"/>
      <c r="AC102" s="1"/>
      <c r="AD102" s="1"/>
    </row>
    <row r="103" spans="1:30">
      <c r="A103" s="1"/>
      <c r="B103" s="1"/>
      <c r="C103" s="1"/>
      <c r="D103" s="1"/>
      <c r="E103" s="428"/>
      <c r="F103" s="1"/>
      <c r="G103" s="1"/>
      <c r="H103" s="1"/>
      <c r="I103" s="1"/>
      <c r="J103" s="701"/>
      <c r="K103" s="52"/>
      <c r="L103" s="52"/>
      <c r="M103" s="52"/>
      <c r="N103" s="52"/>
      <c r="O103" s="126"/>
      <c r="P103" s="126"/>
      <c r="Q103" s="126"/>
      <c r="R103" s="126"/>
      <c r="S103" s="126"/>
      <c r="T103" s="126"/>
      <c r="U103" s="126"/>
      <c r="V103" s="126"/>
      <c r="W103" s="126"/>
      <c r="X103" s="126"/>
      <c r="Y103" s="126"/>
      <c r="Z103" s="1"/>
      <c r="AA103" s="1"/>
      <c r="AB103" s="1"/>
      <c r="AC103" s="1"/>
      <c r="AD103" s="1"/>
    </row>
    <row r="104" spans="1:30">
      <c r="A104" s="1"/>
      <c r="B104" s="126" t="s">
        <v>717</v>
      </c>
      <c r="C104" s="126"/>
      <c r="D104" s="126"/>
      <c r="E104" s="2"/>
      <c r="F104" s="422">
        <f t="shared" ref="F104:P104" si="31">F102*(1-0.279)</f>
        <v>319.40299999999996</v>
      </c>
      <c r="G104" s="422">
        <f t="shared" si="31"/>
        <v>511.90999999999997</v>
      </c>
      <c r="H104" s="422">
        <f t="shared" si="31"/>
        <v>423.94799999999998</v>
      </c>
      <c r="I104" s="422">
        <f t="shared" si="31"/>
        <v>495.327</v>
      </c>
      <c r="J104" s="587">
        <f t="shared" si="31"/>
        <v>603.39224237448229</v>
      </c>
      <c r="K104" s="216">
        <f t="shared" si="31"/>
        <v>630.53511233518952</v>
      </c>
      <c r="L104" s="216">
        <f t="shared" si="31"/>
        <v>657.97372859684185</v>
      </c>
      <c r="M104" s="216">
        <f t="shared" si="31"/>
        <v>685.57264526367294</v>
      </c>
      <c r="N104" s="216">
        <f t="shared" si="31"/>
        <v>713.17121448370415</v>
      </c>
      <c r="O104" s="422">
        <f t="shared" si="31"/>
        <v>727.73049153071702</v>
      </c>
      <c r="P104" s="422">
        <f t="shared" si="31"/>
        <v>769.89081620269337</v>
      </c>
      <c r="Q104" s="126"/>
      <c r="R104" s="126"/>
      <c r="S104" s="126"/>
      <c r="T104" s="126"/>
      <c r="U104" s="126"/>
      <c r="V104" s="126"/>
      <c r="W104" s="126"/>
      <c r="X104" s="126"/>
      <c r="Y104" s="126"/>
      <c r="Z104" s="1"/>
      <c r="AA104" s="1"/>
      <c r="AB104" s="1"/>
      <c r="AC104" s="1"/>
      <c r="AD104" s="1"/>
    </row>
    <row r="105" spans="1:30">
      <c r="A105" s="1"/>
      <c r="B105" s="126" t="s">
        <v>719</v>
      </c>
      <c r="C105" s="126"/>
      <c r="D105" s="126"/>
      <c r="E105" s="2"/>
      <c r="F105" s="696">
        <v>-39.814371257485028</v>
      </c>
      <c r="G105" s="696">
        <v>-44.666666666666664</v>
      </c>
      <c r="H105" s="696">
        <v>-31.400000000000002</v>
      </c>
      <c r="I105" s="696">
        <v>-34.481927710843372</v>
      </c>
      <c r="J105" s="587">
        <v>-37.590741408748769</v>
      </c>
      <c r="K105" s="216">
        <v>-37.590741408748769</v>
      </c>
      <c r="L105" s="216">
        <v>-37.590741408748769</v>
      </c>
      <c r="M105" s="216">
        <v>-37.590741408748769</v>
      </c>
      <c r="N105" s="216">
        <v>-37.590741408748769</v>
      </c>
      <c r="O105" s="422">
        <v>-37.590741408748769</v>
      </c>
      <c r="P105" s="422">
        <v>-37.590741408748769</v>
      </c>
      <c r="Q105" s="1"/>
      <c r="R105" s="126"/>
      <c r="S105" s="126"/>
      <c r="T105" s="126"/>
      <c r="U105" s="126"/>
      <c r="V105" s="126"/>
      <c r="W105" s="126"/>
      <c r="X105" s="126"/>
      <c r="Y105" s="126"/>
      <c r="Z105" s="1"/>
      <c r="AA105" s="1"/>
      <c r="AB105" s="1"/>
      <c r="AC105" s="1"/>
      <c r="AD105" s="1"/>
    </row>
    <row r="106" spans="1:30">
      <c r="A106" s="1"/>
      <c r="B106" s="580" t="s">
        <v>718</v>
      </c>
      <c r="C106" s="580"/>
      <c r="D106" s="580"/>
      <c r="E106" s="580"/>
      <c r="F106" s="742">
        <v>281.18562874251495</v>
      </c>
      <c r="G106" s="742">
        <v>473.33333333333331</v>
      </c>
      <c r="H106" s="742">
        <v>399.6</v>
      </c>
      <c r="I106" s="742">
        <v>463.51807228915663</v>
      </c>
      <c r="J106" s="743">
        <f t="shared" ref="J106:P106" si="32">J104+J105</f>
        <v>565.80150096573357</v>
      </c>
      <c r="K106" s="744">
        <f t="shared" si="32"/>
        <v>592.9443709264408</v>
      </c>
      <c r="L106" s="744">
        <f t="shared" si="32"/>
        <v>620.38298718809313</v>
      </c>
      <c r="M106" s="744">
        <f t="shared" si="32"/>
        <v>647.98190385492421</v>
      </c>
      <c r="N106" s="744">
        <f t="shared" si="32"/>
        <v>675.58047307495542</v>
      </c>
      <c r="O106" s="744">
        <f t="shared" si="32"/>
        <v>690.13975012196829</v>
      </c>
      <c r="P106" s="744">
        <f t="shared" si="32"/>
        <v>732.30007479394465</v>
      </c>
      <c r="Q106" s="126"/>
      <c r="R106" s="126"/>
      <c r="S106" s="126"/>
      <c r="T106" s="126"/>
      <c r="U106" s="126"/>
      <c r="V106" s="126"/>
      <c r="W106" s="126"/>
      <c r="X106" s="126"/>
      <c r="Y106" s="126"/>
      <c r="Z106" s="1"/>
      <c r="AA106" s="1"/>
      <c r="AB106" s="1"/>
      <c r="AC106" s="1"/>
      <c r="AD106" s="1"/>
    </row>
    <row r="107" spans="1:30">
      <c r="A107" s="1"/>
      <c r="B107" s="1"/>
      <c r="C107" s="1"/>
      <c r="D107" s="1"/>
      <c r="E107" s="1"/>
      <c r="F107" s="1"/>
      <c r="G107" s="1"/>
      <c r="H107" s="1"/>
      <c r="I107" s="1"/>
      <c r="J107" s="701"/>
      <c r="K107" s="52"/>
      <c r="L107" s="52"/>
      <c r="M107" s="52"/>
      <c r="N107" s="52"/>
      <c r="O107" s="126"/>
      <c r="P107" s="126"/>
      <c r="Q107" s="126"/>
      <c r="R107" s="126"/>
      <c r="S107" s="126"/>
      <c r="T107" s="126"/>
      <c r="U107" s="126"/>
      <c r="V107" s="126"/>
      <c r="W107" s="126"/>
      <c r="X107" s="126"/>
      <c r="Y107" s="126"/>
      <c r="Z107" s="1"/>
      <c r="AA107" s="1"/>
      <c r="AB107" s="1"/>
      <c r="AC107" s="1"/>
      <c r="AD107" s="1"/>
    </row>
    <row r="108" spans="1:30">
      <c r="A108" s="1"/>
      <c r="B108" s="675" t="s">
        <v>526</v>
      </c>
      <c r="C108" s="416"/>
      <c r="D108" s="416"/>
      <c r="E108" s="416"/>
      <c r="F108" s="422">
        <v>-1066</v>
      </c>
      <c r="G108" s="422">
        <v>-80</v>
      </c>
      <c r="H108" s="422">
        <v>-1076</v>
      </c>
      <c r="I108" s="422">
        <v>-837</v>
      </c>
      <c r="J108" s="587">
        <f>-F87</f>
        <v>-722.87077665416166</v>
      </c>
      <c r="K108" s="216">
        <f>-$F$87*(1+$G$86)</f>
        <v>-800.29023683382241</v>
      </c>
      <c r="L108" s="216">
        <f>-$F$87*(1+$G$86)^2</f>
        <v>-886.00132119872478</v>
      </c>
      <c r="M108" s="216">
        <f>-$F$87*(1+$G$86)^3</f>
        <v>-980.89206269910812</v>
      </c>
      <c r="N108" s="216">
        <f>-$F$87*(1+$G$86)^4</f>
        <v>-1085.9456026141827</v>
      </c>
      <c r="O108" s="713">
        <v>-1085.9456026141827</v>
      </c>
      <c r="P108" s="751"/>
      <c r="Q108" s="1"/>
      <c r="R108" s="126"/>
      <c r="S108" s="126"/>
      <c r="T108" s="126"/>
      <c r="U108" s="126"/>
      <c r="V108" s="126"/>
      <c r="W108" s="126"/>
      <c r="X108" s="126"/>
      <c r="Y108" s="126"/>
      <c r="Z108" s="1"/>
      <c r="AA108" s="1"/>
      <c r="AB108" s="1"/>
      <c r="AC108" s="1"/>
      <c r="AD108" s="1"/>
    </row>
    <row r="109" spans="1:30">
      <c r="A109" s="1"/>
      <c r="B109" s="675" t="s">
        <v>525</v>
      </c>
      <c r="C109" s="416"/>
      <c r="D109" s="416"/>
      <c r="E109" s="416"/>
      <c r="F109" s="678">
        <v>648</v>
      </c>
      <c r="G109" s="678">
        <v>444</v>
      </c>
      <c r="H109" s="678">
        <v>623</v>
      </c>
      <c r="I109" s="678">
        <v>511</v>
      </c>
      <c r="J109" s="688">
        <f>-J108*J110</f>
        <v>433.09355565259045</v>
      </c>
      <c r="K109" s="689">
        <f t="shared" ref="K109:N109" si="33">-K108*K110</f>
        <v>479.47787546298287</v>
      </c>
      <c r="L109" s="689">
        <f t="shared" si="33"/>
        <v>530.82995592506836</v>
      </c>
      <c r="M109" s="689">
        <f t="shared" si="33"/>
        <v>587.68184420464308</v>
      </c>
      <c r="N109" s="689">
        <f t="shared" si="33"/>
        <v>650.62256971896045</v>
      </c>
      <c r="O109" s="747">
        <f t="shared" ref="O109" si="34">-O108*O110</f>
        <v>650.62256971896045</v>
      </c>
      <c r="P109" s="1"/>
      <c r="Q109" s="1"/>
      <c r="R109" s="126"/>
      <c r="S109" s="126"/>
      <c r="T109" s="126"/>
      <c r="U109" s="126"/>
      <c r="V109" s="126"/>
      <c r="W109" s="126"/>
      <c r="X109" s="126"/>
      <c r="Y109" s="126"/>
      <c r="Z109" s="1"/>
      <c r="AA109" s="1"/>
      <c r="AB109" s="1"/>
      <c r="AC109" s="1"/>
      <c r="AD109" s="1"/>
    </row>
    <row r="110" spans="1:30">
      <c r="A110" s="1"/>
      <c r="B110" s="681" t="s">
        <v>527</v>
      </c>
      <c r="C110" s="126"/>
      <c r="D110" s="126"/>
      <c r="E110" s="126"/>
      <c r="F110" s="893">
        <v>0.60787992495309573</v>
      </c>
      <c r="G110" s="893">
        <v>5.55</v>
      </c>
      <c r="H110" s="893">
        <v>0.57899628252788105</v>
      </c>
      <c r="I110" s="893">
        <v>0.61051373954599764</v>
      </c>
      <c r="J110" s="894">
        <v>0.59912998234232473</v>
      </c>
      <c r="K110" s="889">
        <v>0.59912998234232473</v>
      </c>
      <c r="L110" s="889">
        <v>0.59912998234232473</v>
      </c>
      <c r="M110" s="889">
        <v>0.59912998234232473</v>
      </c>
      <c r="N110" s="889">
        <v>0.59912998234232473</v>
      </c>
      <c r="O110" s="714">
        <v>0.59912998234232473</v>
      </c>
      <c r="P110" s="126"/>
      <c r="Q110" s="126"/>
      <c r="R110" s="126"/>
      <c r="S110" s="126"/>
      <c r="T110" s="126"/>
      <c r="U110" s="126"/>
      <c r="V110" s="126"/>
      <c r="W110" s="126"/>
      <c r="X110" s="126"/>
      <c r="Y110" s="126"/>
      <c r="Z110" s="1"/>
      <c r="AA110" s="1"/>
      <c r="AB110" s="1"/>
      <c r="AC110" s="1"/>
      <c r="AD110" s="1"/>
    </row>
    <row r="111" spans="1:30">
      <c r="A111" s="1"/>
      <c r="B111" s="416"/>
      <c r="C111" s="416"/>
      <c r="D111" s="416"/>
      <c r="E111" s="416"/>
      <c r="F111" s="699"/>
      <c r="G111" s="699"/>
      <c r="H111" s="699"/>
      <c r="I111" s="699"/>
      <c r="J111" s="694"/>
      <c r="K111" s="695"/>
      <c r="L111" s="695"/>
      <c r="M111" s="695"/>
      <c r="N111" s="695"/>
      <c r="O111" s="544"/>
      <c r="P111" s="126"/>
      <c r="Q111" s="126"/>
      <c r="R111" s="126"/>
      <c r="S111" s="126"/>
      <c r="T111" s="126"/>
      <c r="U111" s="126"/>
      <c r="V111" s="126"/>
      <c r="W111" s="126"/>
      <c r="X111" s="126"/>
      <c r="Y111" s="126"/>
      <c r="Z111" s="1"/>
      <c r="AA111" s="1"/>
      <c r="AB111" s="1"/>
      <c r="AC111" s="1"/>
      <c r="AD111" s="1"/>
    </row>
    <row r="112" spans="1:30">
      <c r="A112" s="1"/>
      <c r="B112" s="126" t="s">
        <v>354</v>
      </c>
      <c r="C112" s="126"/>
      <c r="D112" s="126"/>
      <c r="E112" s="126"/>
      <c r="F112" s="422">
        <v>95</v>
      </c>
      <c r="G112" s="422">
        <v>-46</v>
      </c>
      <c r="H112" s="422">
        <v>17</v>
      </c>
      <c r="I112" s="422">
        <v>34</v>
      </c>
      <c r="J112" s="587">
        <v>44.034019832189166</v>
      </c>
      <c r="K112" s="216">
        <v>44.03</v>
      </c>
      <c r="L112" s="216">
        <v>44.03</v>
      </c>
      <c r="M112" s="216">
        <v>44.03</v>
      </c>
      <c r="N112" s="216">
        <v>44.03</v>
      </c>
      <c r="O112" s="713">
        <v>44.03</v>
      </c>
      <c r="P112" s="126"/>
      <c r="Q112" s="126"/>
      <c r="R112" s="126"/>
      <c r="S112" s="126"/>
      <c r="T112" s="126"/>
      <c r="U112" s="126"/>
      <c r="V112" s="126"/>
      <c r="W112" s="126"/>
      <c r="X112" s="126"/>
      <c r="Y112" s="126"/>
      <c r="Z112" s="1"/>
      <c r="AA112" s="1"/>
      <c r="AB112" s="1"/>
      <c r="AC112" s="1"/>
      <c r="AD112" s="1"/>
    </row>
    <row r="113" spans="1:30">
      <c r="A113" s="1"/>
      <c r="B113" s="416" t="s">
        <v>531</v>
      </c>
      <c r="C113" s="416"/>
      <c r="D113" s="416"/>
      <c r="E113" s="416"/>
      <c r="F113" s="895"/>
      <c r="G113" s="886">
        <v>-1.4842105263157894</v>
      </c>
      <c r="H113" s="886">
        <v>1.3695652173913042</v>
      </c>
      <c r="I113" s="886">
        <v>1</v>
      </c>
      <c r="J113" s="894">
        <v>0.29511823035850493</v>
      </c>
      <c r="K113" s="889">
        <v>0.29511823035850493</v>
      </c>
      <c r="L113" s="889">
        <v>0.29511823035850493</v>
      </c>
      <c r="M113" s="889">
        <v>0.29511823035850493</v>
      </c>
      <c r="N113" s="889">
        <v>0.29511823035850493</v>
      </c>
      <c r="O113" s="735"/>
      <c r="P113" s="126"/>
      <c r="Q113" s="126"/>
      <c r="R113" s="126"/>
      <c r="S113" s="126"/>
      <c r="T113" s="126"/>
      <c r="U113" s="126"/>
      <c r="V113" s="126"/>
      <c r="W113" s="126"/>
      <c r="X113" s="126"/>
      <c r="Y113" s="126"/>
      <c r="Z113" s="1"/>
      <c r="AA113" s="1"/>
      <c r="AB113" s="1"/>
      <c r="AC113" s="1"/>
      <c r="AD113" s="1"/>
    </row>
    <row r="114" spans="1:30">
      <c r="A114" s="1"/>
      <c r="B114" s="126" t="s">
        <v>660</v>
      </c>
      <c r="C114" s="126"/>
      <c r="D114" s="126"/>
      <c r="E114" s="126"/>
      <c r="F114" s="422">
        <v>33</v>
      </c>
      <c r="G114" s="422">
        <v>-46</v>
      </c>
      <c r="H114" s="422">
        <v>-5</v>
      </c>
      <c r="I114" s="422">
        <v>-7</v>
      </c>
      <c r="J114" s="587">
        <v>-11.439481774264383</v>
      </c>
      <c r="K114" s="216">
        <v>-11.439481774264383</v>
      </c>
      <c r="L114" s="216">
        <v>-11.439481774264383</v>
      </c>
      <c r="M114" s="216">
        <v>-11.439481774264383</v>
      </c>
      <c r="N114" s="216">
        <v>-11.439481774264383</v>
      </c>
      <c r="O114" s="713">
        <v>-11.439481774264383</v>
      </c>
      <c r="P114" s="126"/>
      <c r="Q114" s="126"/>
      <c r="R114" s="126"/>
      <c r="S114" s="126"/>
      <c r="T114" s="126"/>
      <c r="U114" s="126"/>
      <c r="V114" s="126"/>
      <c r="W114" s="126"/>
      <c r="X114" s="126"/>
      <c r="Y114" s="126"/>
      <c r="Z114" s="1"/>
      <c r="AA114" s="1"/>
      <c r="AB114" s="1"/>
      <c r="AC114" s="1"/>
      <c r="AD114" s="1"/>
    </row>
    <row r="115" spans="1:30">
      <c r="A115" s="1"/>
      <c r="B115" s="416" t="s">
        <v>531</v>
      </c>
      <c r="C115" s="416"/>
      <c r="D115" s="416"/>
      <c r="E115" s="416"/>
      <c r="F115" s="419"/>
      <c r="G115" s="886">
        <v>-2.393939393939394</v>
      </c>
      <c r="H115" s="886">
        <v>0.89130434782608692</v>
      </c>
      <c r="I115" s="886">
        <v>-0.39999999999999991</v>
      </c>
      <c r="J115" s="894">
        <v>-0.63421168203776901</v>
      </c>
      <c r="K115" s="889">
        <v>-0.63421168203776901</v>
      </c>
      <c r="L115" s="889">
        <v>-0.63421168203776901</v>
      </c>
      <c r="M115" s="889">
        <v>-0.63421168203776901</v>
      </c>
      <c r="N115" s="889">
        <v>-0.63421168203776901</v>
      </c>
      <c r="O115" s="735"/>
      <c r="P115" s="126"/>
      <c r="Q115" s="126"/>
      <c r="R115" s="126"/>
      <c r="S115" s="126"/>
      <c r="T115" s="126"/>
      <c r="U115" s="126"/>
      <c r="V115" s="126"/>
      <c r="W115" s="126"/>
      <c r="X115" s="126"/>
      <c r="Y115" s="126"/>
      <c r="Z115" s="1"/>
      <c r="AA115" s="1"/>
      <c r="AB115" s="1"/>
      <c r="AC115" s="1"/>
      <c r="AD115" s="1"/>
    </row>
    <row r="116" spans="1:30">
      <c r="A116" s="1"/>
      <c r="B116" s="126" t="s">
        <v>368</v>
      </c>
      <c r="C116" s="126"/>
      <c r="D116" s="126"/>
      <c r="E116" s="126"/>
      <c r="F116" s="422">
        <v>-33</v>
      </c>
      <c r="G116" s="422">
        <v>40</v>
      </c>
      <c r="H116" s="422">
        <v>37</v>
      </c>
      <c r="I116" s="422">
        <v>-13</v>
      </c>
      <c r="J116" s="587">
        <v>-16.405002730002728</v>
      </c>
      <c r="K116" s="216">
        <v>-16.405002730002728</v>
      </c>
      <c r="L116" s="216">
        <v>-16.405002730002728</v>
      </c>
      <c r="M116" s="216">
        <v>-16.405002730002728</v>
      </c>
      <c r="N116" s="216">
        <v>-16.405002730002728</v>
      </c>
      <c r="O116" s="713">
        <v>-16.405002730002728</v>
      </c>
      <c r="P116" s="126"/>
      <c r="Q116" s="126"/>
      <c r="R116" s="126"/>
      <c r="S116" s="126"/>
      <c r="T116" s="126"/>
      <c r="U116" s="126"/>
      <c r="V116" s="126"/>
      <c r="W116" s="126"/>
      <c r="X116" s="126"/>
      <c r="Y116" s="126"/>
      <c r="Z116" s="1"/>
      <c r="AA116" s="1"/>
      <c r="AB116" s="1"/>
      <c r="AC116" s="1"/>
      <c r="AD116" s="1"/>
    </row>
    <row r="117" spans="1:30">
      <c r="A117" s="1"/>
      <c r="B117" s="416" t="s">
        <v>531</v>
      </c>
      <c r="C117" s="416"/>
      <c r="D117" s="416"/>
      <c r="E117" s="416"/>
      <c r="F117" s="419"/>
      <c r="G117" s="886">
        <v>2.2121212121212119</v>
      </c>
      <c r="H117" s="886">
        <v>-7.4999999999999956E-2</v>
      </c>
      <c r="I117" s="886">
        <v>-1.3513513513513513</v>
      </c>
      <c r="J117" s="894">
        <v>0.26192328692328681</v>
      </c>
      <c r="K117" s="889">
        <v>0.26192328692328681</v>
      </c>
      <c r="L117" s="889">
        <v>0.26192328692328681</v>
      </c>
      <c r="M117" s="889">
        <v>0.26192328692328681</v>
      </c>
      <c r="N117" s="889">
        <v>0.26192328692328681</v>
      </c>
      <c r="O117" s="735"/>
      <c r="P117" s="126"/>
      <c r="Q117" s="126"/>
      <c r="R117" s="126"/>
      <c r="S117" s="126"/>
      <c r="T117" s="126"/>
      <c r="U117" s="126"/>
      <c r="V117" s="126"/>
      <c r="W117" s="126"/>
      <c r="X117" s="126"/>
      <c r="Y117" s="126"/>
      <c r="Z117" s="1"/>
      <c r="AA117" s="1"/>
      <c r="AB117" s="1"/>
      <c r="AC117" s="1"/>
      <c r="AD117" s="1"/>
    </row>
    <row r="118" spans="1:30">
      <c r="A118" s="1"/>
      <c r="B118" s="126" t="s">
        <v>356</v>
      </c>
      <c r="C118" s="126"/>
      <c r="D118" s="126"/>
      <c r="E118" s="126"/>
      <c r="F118" s="422">
        <v>20</v>
      </c>
      <c r="G118" s="422">
        <v>-91</v>
      </c>
      <c r="H118" s="422">
        <v>11</v>
      </c>
      <c r="I118" s="422">
        <v>-3</v>
      </c>
      <c r="J118" s="587">
        <v>2.701848151848151</v>
      </c>
      <c r="K118" s="216">
        <v>-2.4333278118817563</v>
      </c>
      <c r="L118" s="216">
        <v>2.191494083791143</v>
      </c>
      <c r="M118" s="216">
        <v>-1.9736947466924188</v>
      </c>
      <c r="N118" s="216">
        <v>1.7775411678877722</v>
      </c>
      <c r="O118" s="713">
        <v>1.7775411678877722</v>
      </c>
      <c r="P118" s="126"/>
      <c r="Q118" s="126"/>
      <c r="R118" s="126"/>
      <c r="S118" s="126"/>
      <c r="T118" s="126"/>
      <c r="U118" s="126"/>
      <c r="V118" s="126"/>
      <c r="W118" s="126"/>
      <c r="X118" s="126"/>
      <c r="Y118" s="126"/>
      <c r="Z118" s="1"/>
      <c r="AA118" s="1"/>
      <c r="AB118" s="1"/>
      <c r="AC118" s="1"/>
      <c r="AD118" s="1"/>
    </row>
    <row r="119" spans="1:30">
      <c r="A119" s="1"/>
      <c r="B119" s="416" t="s">
        <v>531</v>
      </c>
      <c r="C119" s="416"/>
      <c r="D119" s="416"/>
      <c r="E119" s="416"/>
      <c r="F119" s="417"/>
      <c r="G119" s="886">
        <v>-5.55</v>
      </c>
      <c r="H119" s="886">
        <v>1.1208791208791209</v>
      </c>
      <c r="I119" s="886">
        <v>-1.2727272727272727</v>
      </c>
      <c r="J119" s="894">
        <v>-2.647868797868798</v>
      </c>
      <c r="K119" s="889">
        <v>-2.647868797868798</v>
      </c>
      <c r="L119" s="889">
        <v>-2.647868797868798</v>
      </c>
      <c r="M119" s="889">
        <v>-2.647868797868798</v>
      </c>
      <c r="N119" s="889">
        <v>-2.647868797868798</v>
      </c>
      <c r="O119" s="544"/>
      <c r="P119" s="126"/>
      <c r="Q119" s="126"/>
      <c r="R119" s="126"/>
      <c r="S119" s="126"/>
      <c r="T119" s="126"/>
      <c r="U119" s="126"/>
      <c r="V119" s="126"/>
      <c r="W119" s="126"/>
      <c r="X119" s="126"/>
      <c r="Y119" s="126"/>
      <c r="Z119" s="1"/>
      <c r="AA119" s="1"/>
      <c r="AB119" s="1"/>
      <c r="AC119" s="1"/>
      <c r="AD119" s="1"/>
    </row>
    <row r="120" spans="1:30">
      <c r="A120" s="1"/>
      <c r="B120" s="126" t="s">
        <v>530</v>
      </c>
      <c r="C120" s="126"/>
      <c r="D120" s="126"/>
      <c r="E120" s="126"/>
      <c r="F120" s="422">
        <v>54</v>
      </c>
      <c r="G120" s="422">
        <v>71</v>
      </c>
      <c r="H120" s="422">
        <v>25</v>
      </c>
      <c r="I120" s="422">
        <v>81</v>
      </c>
      <c r="J120" s="587">
        <v>74.778706735263384</v>
      </c>
      <c r="K120" s="216">
        <v>84.336194661082388</v>
      </c>
      <c r="L120" s="216">
        <v>95.115227856139114</v>
      </c>
      <c r="M120" s="216">
        <v>107.27193237116767</v>
      </c>
      <c r="N120" s="216">
        <v>120.98238877216383</v>
      </c>
      <c r="O120" s="713">
        <v>120.98238877216383</v>
      </c>
      <c r="P120" s="126"/>
      <c r="Q120" s="126"/>
      <c r="R120" s="126"/>
      <c r="S120" s="126"/>
      <c r="T120" s="126"/>
      <c r="U120" s="126"/>
      <c r="V120" s="126"/>
      <c r="W120" s="126"/>
      <c r="X120" s="126"/>
      <c r="Y120" s="126"/>
      <c r="Z120" s="1"/>
      <c r="AA120" s="1"/>
      <c r="AB120" s="1"/>
      <c r="AC120" s="1"/>
      <c r="AD120" s="1"/>
    </row>
    <row r="121" spans="1:30">
      <c r="A121" s="1"/>
      <c r="B121" s="416" t="s">
        <v>659</v>
      </c>
      <c r="C121" s="416"/>
      <c r="D121" s="416"/>
      <c r="E121" s="416"/>
      <c r="F121" s="886">
        <v>1.1111111111111112E-2</v>
      </c>
      <c r="G121" s="886">
        <v>1.2249827467218772E-2</v>
      </c>
      <c r="H121" s="886">
        <v>3.8497074222359103E-3</v>
      </c>
      <c r="I121" s="886">
        <v>1.1059530311305297E-2</v>
      </c>
      <c r="J121" s="887">
        <v>9.0530217335866598E-3</v>
      </c>
      <c r="K121" s="888">
        <v>9.0530217335866598E-3</v>
      </c>
      <c r="L121" s="888">
        <v>9.0530217335866598E-3</v>
      </c>
      <c r="M121" s="888">
        <v>9.0530217335866598E-3</v>
      </c>
      <c r="N121" s="888">
        <v>9.0530217335866598E-3</v>
      </c>
      <c r="O121" s="748">
        <v>9.0530217335866598E-3</v>
      </c>
      <c r="P121" s="126"/>
      <c r="Q121" s="126"/>
      <c r="R121" s="126"/>
      <c r="S121" s="126"/>
      <c r="T121" s="126"/>
      <c r="U121" s="126"/>
      <c r="V121" s="126"/>
      <c r="W121" s="126"/>
      <c r="X121" s="126"/>
      <c r="Y121" s="126"/>
      <c r="Z121" s="1"/>
      <c r="AA121" s="1"/>
      <c r="AB121" s="1"/>
      <c r="AC121" s="1"/>
      <c r="AD121" s="1"/>
    </row>
    <row r="122" spans="1:30">
      <c r="A122" s="1"/>
      <c r="B122" s="690" t="s">
        <v>357</v>
      </c>
      <c r="C122" s="690"/>
      <c r="D122" s="690"/>
      <c r="E122" s="690"/>
      <c r="F122" s="691">
        <v>32.18562874251495</v>
      </c>
      <c r="G122" s="691">
        <v>765.33333333333326</v>
      </c>
      <c r="H122" s="691">
        <v>31.600000000000023</v>
      </c>
      <c r="I122" s="691">
        <v>229.51807228915663</v>
      </c>
      <c r="J122" s="692">
        <f>J106+J108+J109+J112+J114+J116+J118+J120</f>
        <v>369.69437017919597</v>
      </c>
      <c r="K122" s="693">
        <f t="shared" ref="K122:M122" si="35">K106+K108+K109+K112+K114+K116+K118+K120</f>
        <v>370.22039190053476</v>
      </c>
      <c r="L122" s="693">
        <f t="shared" si="35"/>
        <v>378.70385935009983</v>
      </c>
      <c r="M122" s="693">
        <f t="shared" si="35"/>
        <v>376.25543848066729</v>
      </c>
      <c r="N122" s="693">
        <f>N106+N108+N109+N112+N114+N116+N118+N120</f>
        <v>379.20288561551763</v>
      </c>
      <c r="O122" s="750">
        <f>O106+O108+O109+O112+O114+O116+O118+O120</f>
        <v>393.7621626625305</v>
      </c>
      <c r="P122" s="126"/>
      <c r="Q122" s="126"/>
      <c r="R122" s="126"/>
      <c r="S122" s="126"/>
      <c r="T122" s="126"/>
      <c r="U122" s="126"/>
      <c r="V122" s="126"/>
      <c r="W122" s="126"/>
      <c r="X122" s="126"/>
      <c r="Y122" s="126"/>
      <c r="Z122" s="1"/>
      <c r="AA122" s="1"/>
      <c r="AB122" s="1"/>
      <c r="AC122" s="1"/>
      <c r="AD122" s="1"/>
    </row>
    <row r="123" spans="1:30">
      <c r="A123" s="1"/>
      <c r="B123" s="126" t="s">
        <v>532</v>
      </c>
      <c r="C123" s="126"/>
      <c r="D123" s="126"/>
      <c r="E123" s="126"/>
      <c r="F123" s="126"/>
      <c r="G123" s="126"/>
      <c r="H123" s="126"/>
      <c r="I123" s="126"/>
      <c r="J123" s="413">
        <v>1.0469999999999999</v>
      </c>
      <c r="K123" s="2">
        <v>1.0962089999999998</v>
      </c>
      <c r="L123" s="2">
        <v>1.1477308229999996</v>
      </c>
      <c r="M123" s="2">
        <v>1.2016741716809995</v>
      </c>
      <c r="N123" s="2">
        <v>1.2581528577500065</v>
      </c>
      <c r="O123" s="544">
        <f>(1+E83)^6</f>
        <v>1</v>
      </c>
      <c r="P123" s="126"/>
      <c r="Q123" s="126"/>
      <c r="R123" s="126"/>
      <c r="S123" s="126"/>
      <c r="T123" s="126"/>
      <c r="U123" s="126"/>
      <c r="V123" s="126"/>
      <c r="W123" s="126"/>
      <c r="X123" s="126"/>
      <c r="Y123" s="126"/>
      <c r="Z123" s="1"/>
      <c r="AA123" s="1"/>
      <c r="AB123" s="1"/>
      <c r="AC123" s="1"/>
      <c r="AD123" s="1"/>
    </row>
    <row r="124" spans="1:30">
      <c r="A124" s="1"/>
      <c r="B124" s="126" t="s">
        <v>524</v>
      </c>
      <c r="C124" s="126"/>
      <c r="D124" s="126"/>
      <c r="E124" s="126"/>
      <c r="F124" s="126"/>
      <c r="G124" s="126"/>
      <c r="H124" s="126"/>
      <c r="I124" s="126"/>
      <c r="J124" s="686">
        <f t="shared" ref="J124:O124" si="36">J122/J123</f>
        <v>353.09872987506782</v>
      </c>
      <c r="K124" s="644">
        <f t="shared" si="36"/>
        <v>337.72792587958577</v>
      </c>
      <c r="L124" s="644">
        <f t="shared" si="36"/>
        <v>329.9587775818581</v>
      </c>
      <c r="M124" s="644">
        <f t="shared" si="36"/>
        <v>313.10936637202627</v>
      </c>
      <c r="N124" s="644">
        <f t="shared" si="36"/>
        <v>301.39651416733085</v>
      </c>
      <c r="O124" s="749">
        <f t="shared" si="36"/>
        <v>393.7621626625305</v>
      </c>
      <c r="P124" s="126"/>
      <c r="Q124" s="126"/>
      <c r="R124" s="126"/>
      <c r="S124" s="126"/>
      <c r="T124" s="126"/>
      <c r="U124" s="126"/>
      <c r="V124" s="126"/>
      <c r="W124" s="126"/>
      <c r="X124" s="126"/>
      <c r="Y124" s="126"/>
      <c r="Z124" s="1"/>
      <c r="AA124" s="1"/>
      <c r="AB124" s="1"/>
      <c r="AC124" s="1"/>
      <c r="AD124" s="1"/>
    </row>
    <row r="125" spans="1:30">
      <c r="A125" s="1"/>
      <c r="B125" s="126"/>
      <c r="C125" s="126"/>
      <c r="D125" s="126"/>
      <c r="E125" s="126"/>
      <c r="F125" s="126"/>
      <c r="G125" s="126"/>
      <c r="H125" s="126"/>
      <c r="I125" s="126"/>
      <c r="J125" s="2"/>
      <c r="K125" s="126"/>
      <c r="L125" s="126"/>
      <c r="M125" s="126"/>
      <c r="N125" s="126"/>
      <c r="O125" s="126"/>
      <c r="P125" s="126"/>
      <c r="Q125" s="126"/>
      <c r="R125" s="126"/>
      <c r="S125" s="126"/>
      <c r="T125" s="126"/>
      <c r="U125" s="126"/>
      <c r="V125" s="126"/>
      <c r="W125" s="126"/>
      <c r="X125" s="126"/>
      <c r="Y125" s="126"/>
      <c r="Z125" s="1"/>
      <c r="AA125" s="1"/>
      <c r="AB125" s="1"/>
      <c r="AC125" s="1"/>
      <c r="AD125" s="1"/>
    </row>
    <row r="126" spans="1:30">
      <c r="A126" s="1"/>
      <c r="B126" s="126"/>
      <c r="C126" s="126"/>
      <c r="D126" s="126"/>
      <c r="E126" s="126"/>
      <c r="F126" s="126"/>
      <c r="G126" s="126"/>
      <c r="H126" s="126"/>
      <c r="I126" s="126"/>
      <c r="J126" s="2"/>
      <c r="K126" s="126"/>
      <c r="L126" s="126"/>
      <c r="M126" s="126"/>
      <c r="N126" s="126"/>
      <c r="O126" s="126"/>
      <c r="P126" s="126"/>
      <c r="Q126" s="126"/>
      <c r="R126" s="126"/>
      <c r="S126" s="126"/>
      <c r="T126" s="126"/>
      <c r="U126" s="126"/>
      <c r="V126" s="126"/>
      <c r="W126" s="126"/>
      <c r="X126" s="126"/>
      <c r="Y126" s="126"/>
      <c r="Z126" s="1"/>
      <c r="AA126" s="1"/>
      <c r="AB126" s="1"/>
      <c r="AC126" s="1"/>
      <c r="AD126" s="1"/>
    </row>
    <row r="127" spans="1:30">
      <c r="A127" s="1"/>
      <c r="B127" s="411" t="s">
        <v>670</v>
      </c>
      <c r="C127" s="126"/>
      <c r="D127" s="126"/>
      <c r="E127" s="126"/>
      <c r="F127" s="126"/>
      <c r="G127" s="411" t="s">
        <v>740</v>
      </c>
      <c r="H127" s="126"/>
      <c r="I127" s="126"/>
      <c r="J127" s="126"/>
      <c r="K127" s="126"/>
      <c r="L127" s="126"/>
      <c r="M127" s="126"/>
      <c r="N127" s="126"/>
      <c r="O127" s="126"/>
      <c r="P127" s="126"/>
      <c r="Q127" s="126"/>
      <c r="R127" s="126"/>
      <c r="S127" s="126"/>
      <c r="T127" s="126"/>
      <c r="U127" s="126"/>
      <c r="V127" s="126"/>
      <c r="W127" s="126"/>
      <c r="X127" s="126"/>
      <c r="Y127" s="126"/>
      <c r="Z127" s="1"/>
      <c r="AA127" s="1"/>
      <c r="AB127" s="1"/>
      <c r="AC127" s="1"/>
      <c r="AD127" s="1"/>
    </row>
    <row r="128" spans="1:30">
      <c r="A128" s="1"/>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
      <c r="AA128" s="1"/>
      <c r="AB128" s="1"/>
      <c r="AC128" s="1"/>
      <c r="AD128" s="1"/>
    </row>
    <row r="129" spans="1:30">
      <c r="A129" s="1"/>
      <c r="B129" s="126" t="s">
        <v>534</v>
      </c>
      <c r="C129" s="126"/>
      <c r="D129" s="432">
        <f>O104*(((1-E131))*(1+G85))/C17-G85</f>
        <v>10778.584678529181</v>
      </c>
      <c r="E129" s="126"/>
      <c r="F129" s="126"/>
      <c r="G129" s="126" t="s">
        <v>534</v>
      </c>
      <c r="H129" s="126"/>
      <c r="I129" s="432">
        <f>P104*(((1-J131))*(1+J86))/C17-K89</f>
        <v>1670.2415129689664</v>
      </c>
      <c r="J129" s="126"/>
      <c r="K129" s="126"/>
      <c r="L129" s="126"/>
      <c r="M129" s="126"/>
      <c r="N129" s="126"/>
      <c r="O129" s="126"/>
      <c r="P129" s="126"/>
      <c r="Q129" s="126"/>
      <c r="R129" s="126"/>
      <c r="S129" s="126"/>
      <c r="T129" s="126"/>
      <c r="U129" s="126"/>
      <c r="V129" s="126"/>
      <c r="W129" s="126"/>
      <c r="X129" s="126"/>
      <c r="Y129" s="126"/>
      <c r="Z129" s="1"/>
      <c r="AA129" s="1"/>
      <c r="AB129" s="1"/>
      <c r="AC129" s="1"/>
      <c r="AD129" s="1"/>
    </row>
    <row r="130" spans="1:30">
      <c r="A130" s="1"/>
      <c r="B130" s="126" t="s">
        <v>671</v>
      </c>
      <c r="C130" s="14"/>
      <c r="D130" s="425">
        <f>D129/(1+0.0528)^5</f>
        <v>8333.5943482553175</v>
      </c>
      <c r="E130" s="126"/>
      <c r="F130" s="126"/>
      <c r="G130" s="126" t="s">
        <v>671</v>
      </c>
      <c r="H130" s="14"/>
      <c r="I130" s="425">
        <f>I129/(1+0.0528)^5</f>
        <v>1291.3676190183214</v>
      </c>
      <c r="J130" s="126"/>
      <c r="K130" s="126"/>
      <c r="L130" s="126"/>
      <c r="M130" s="126"/>
      <c r="N130" s="126"/>
      <c r="O130" s="126"/>
      <c r="P130" s="126"/>
      <c r="Q130" s="126"/>
      <c r="R130" s="126"/>
      <c r="S130" s="126"/>
      <c r="T130" s="126"/>
      <c r="U130" s="126"/>
      <c r="V130" s="126"/>
      <c r="W130" s="126"/>
      <c r="X130" s="126"/>
      <c r="Y130" s="126"/>
      <c r="Z130" s="1"/>
      <c r="AA130" s="1"/>
      <c r="AB130" s="1"/>
      <c r="AC130" s="1"/>
      <c r="AD130" s="1"/>
    </row>
    <row r="131" spans="1:30">
      <c r="A131" s="1"/>
      <c r="B131" s="2" t="s">
        <v>668</v>
      </c>
      <c r="C131" s="126"/>
      <c r="D131" s="126"/>
      <c r="E131" s="404">
        <f>O96/C17</f>
        <v>0.22728667958686624</v>
      </c>
      <c r="F131" s="126"/>
      <c r="G131" s="2" t="s">
        <v>668</v>
      </c>
      <c r="H131" s="126"/>
      <c r="I131" s="126"/>
      <c r="J131" s="404">
        <f>K89/C17</f>
        <v>0.8854567366614875</v>
      </c>
      <c r="K131" s="126"/>
      <c r="L131" s="126"/>
      <c r="M131" s="126"/>
      <c r="N131" s="126"/>
      <c r="O131" s="126"/>
      <c r="P131" s="126"/>
      <c r="Q131" s="126"/>
      <c r="R131" s="126"/>
      <c r="S131" s="126"/>
      <c r="T131" s="126"/>
      <c r="U131" s="126"/>
      <c r="V131" s="126"/>
      <c r="W131" s="126"/>
      <c r="X131" s="126"/>
      <c r="Y131" s="126"/>
      <c r="Z131" s="1"/>
      <c r="AA131" s="1"/>
      <c r="AB131" s="1"/>
      <c r="AC131" s="1"/>
      <c r="AD131" s="1"/>
    </row>
    <row r="132" spans="1:30">
      <c r="A132" s="1"/>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
      <c r="AA132" s="1"/>
      <c r="AB132" s="1"/>
      <c r="AC132" s="1"/>
      <c r="AD132" s="1"/>
    </row>
    <row r="133" spans="1:30">
      <c r="A133" s="1"/>
      <c r="B133" s="126" t="s">
        <v>533</v>
      </c>
      <c r="C133" s="126"/>
      <c r="D133" s="14"/>
      <c r="E133" s="432">
        <f>SUM(J124:M124,D130)</f>
        <v>9667.4891479638554</v>
      </c>
      <c r="F133" s="126"/>
      <c r="G133" s="126" t="s">
        <v>533</v>
      </c>
      <c r="H133" s="126"/>
      <c r="I133" s="14"/>
      <c r="J133" s="432">
        <f>SUM(O124:R124,I130)</f>
        <v>1685.1297816808519</v>
      </c>
      <c r="K133" s="126"/>
      <c r="L133" s="126"/>
      <c r="M133" s="126"/>
      <c r="N133" s="126"/>
      <c r="O133" s="126"/>
      <c r="P133" s="126"/>
      <c r="Q133" s="126"/>
      <c r="R133" s="126"/>
      <c r="S133" s="126"/>
      <c r="T133" s="126"/>
      <c r="U133" s="126"/>
      <c r="V133" s="126"/>
      <c r="W133" s="126"/>
      <c r="X133" s="126"/>
      <c r="Y133" s="126"/>
      <c r="Z133" s="1"/>
      <c r="AA133" s="1"/>
      <c r="AB133" s="1"/>
      <c r="AC133" s="1"/>
      <c r="AD133" s="1"/>
    </row>
    <row r="134" spans="1:30">
      <c r="A134" s="1"/>
      <c r="B134" s="126" t="s">
        <v>539</v>
      </c>
      <c r="C134" s="126"/>
      <c r="D134" s="126"/>
      <c r="E134" s="126">
        <v>434</v>
      </c>
      <c r="F134" s="126"/>
      <c r="G134" s="126" t="s">
        <v>539</v>
      </c>
      <c r="H134" s="126"/>
      <c r="I134" s="126"/>
      <c r="J134" s="126">
        <v>434</v>
      </c>
      <c r="K134" s="126"/>
      <c r="L134" s="126"/>
      <c r="M134" s="126"/>
      <c r="N134" s="126"/>
      <c r="O134" s="126"/>
      <c r="P134" s="126"/>
      <c r="Q134" s="126"/>
      <c r="R134" s="126"/>
      <c r="S134" s="126"/>
      <c r="T134" s="126"/>
      <c r="U134" s="126"/>
      <c r="V134" s="126"/>
      <c r="W134" s="126"/>
      <c r="X134" s="126"/>
      <c r="Y134" s="126"/>
      <c r="Z134" s="1"/>
      <c r="AA134" s="1"/>
      <c r="AB134" s="1"/>
      <c r="AC134" s="1"/>
      <c r="AD134" s="1"/>
    </row>
    <row r="135" spans="1:30">
      <c r="A135" s="1"/>
      <c r="B135" s="126" t="s">
        <v>540</v>
      </c>
      <c r="C135" s="126"/>
      <c r="D135" s="126"/>
      <c r="E135" s="126">
        <v>3702</v>
      </c>
      <c r="F135" s="126"/>
      <c r="G135" s="126" t="s">
        <v>540</v>
      </c>
      <c r="H135" s="126"/>
      <c r="I135" s="126"/>
      <c r="J135" s="126">
        <v>3702</v>
      </c>
      <c r="K135" s="126"/>
      <c r="L135" s="126"/>
      <c r="M135" s="126"/>
      <c r="N135" s="126"/>
      <c r="O135" s="126"/>
      <c r="P135" s="126"/>
      <c r="Q135" s="126"/>
      <c r="R135" s="126"/>
      <c r="S135" s="126"/>
      <c r="T135" s="126"/>
      <c r="U135" s="126"/>
      <c r="V135" s="126"/>
      <c r="W135" s="126"/>
      <c r="X135" s="126"/>
      <c r="Y135" s="126"/>
      <c r="Z135" s="1"/>
      <c r="AA135" s="1"/>
      <c r="AB135" s="1"/>
      <c r="AC135" s="1"/>
      <c r="AD135" s="1"/>
    </row>
    <row r="136" spans="1:30">
      <c r="A136" s="1"/>
      <c r="B136" s="126" t="s">
        <v>541</v>
      </c>
      <c r="C136" s="126"/>
      <c r="D136" s="126"/>
      <c r="E136" s="126">
        <v>362</v>
      </c>
      <c r="F136" s="126"/>
      <c r="G136" s="126" t="s">
        <v>541</v>
      </c>
      <c r="H136" s="126"/>
      <c r="I136" s="126"/>
      <c r="J136" s="126">
        <v>362</v>
      </c>
      <c r="K136" s="126"/>
      <c r="L136" s="126"/>
      <c r="M136" s="126"/>
      <c r="N136" s="126"/>
      <c r="O136" s="126"/>
      <c r="P136" s="126"/>
      <c r="Q136" s="126"/>
      <c r="R136" s="126"/>
      <c r="S136" s="126"/>
      <c r="T136" s="126"/>
      <c r="U136" s="126"/>
      <c r="V136" s="126"/>
      <c r="W136" s="126"/>
      <c r="X136" s="126"/>
      <c r="Y136" s="126"/>
      <c r="Z136" s="1"/>
      <c r="AA136" s="1"/>
      <c r="AB136" s="1"/>
      <c r="AC136" s="1"/>
      <c r="AD136" s="1"/>
    </row>
    <row r="137" spans="1:30">
      <c r="A137" s="1"/>
      <c r="B137" s="126" t="s">
        <v>535</v>
      </c>
      <c r="C137" s="126"/>
      <c r="D137" s="126"/>
      <c r="E137" s="432">
        <f>E133+E134+E135-E136</f>
        <v>13441.489147963855</v>
      </c>
      <c r="F137" s="126"/>
      <c r="G137" s="126" t="s">
        <v>535</v>
      </c>
      <c r="H137" s="126"/>
      <c r="I137" s="126"/>
      <c r="J137" s="432">
        <f>J133+J134+J135-J136</f>
        <v>5459.1297816808519</v>
      </c>
      <c r="K137" s="126"/>
      <c r="L137" s="126"/>
      <c r="M137" s="126"/>
      <c r="N137" s="126"/>
      <c r="O137" s="126"/>
      <c r="P137" s="126"/>
      <c r="Q137" s="126"/>
      <c r="R137" s="126"/>
      <c r="S137" s="126"/>
      <c r="T137" s="126"/>
      <c r="U137" s="126"/>
      <c r="V137" s="126"/>
      <c r="W137" s="126"/>
      <c r="X137" s="126"/>
      <c r="Y137" s="126"/>
      <c r="Z137" s="1"/>
      <c r="AA137" s="1"/>
      <c r="AB137" s="1"/>
      <c r="AC137" s="1"/>
      <c r="AD137" s="1"/>
    </row>
    <row r="138" spans="1:30">
      <c r="A138" s="1"/>
      <c r="B138" s="126" t="s">
        <v>730</v>
      </c>
      <c r="C138" s="126"/>
      <c r="D138" s="126"/>
      <c r="E138" s="433">
        <f>E137/'Forecasts Simone'!G139</f>
        <v>4.3231567416075816</v>
      </c>
      <c r="F138" s="126"/>
      <c r="G138" s="126" t="s">
        <v>730</v>
      </c>
      <c r="H138" s="126"/>
      <c r="I138" s="126"/>
      <c r="J138" s="433">
        <f>J137/'Forecasts Simone'!G139</f>
        <v>1.7558079658576651</v>
      </c>
      <c r="K138" s="126"/>
      <c r="L138" s="126"/>
      <c r="M138" s="126"/>
      <c r="N138" s="126"/>
      <c r="O138" s="126"/>
      <c r="P138" s="126"/>
      <c r="Q138" s="126"/>
      <c r="R138" s="126"/>
      <c r="S138" s="126"/>
      <c r="T138" s="126"/>
      <c r="U138" s="126"/>
      <c r="V138" s="126"/>
      <c r="W138" s="126"/>
      <c r="X138" s="126"/>
      <c r="Y138" s="126"/>
      <c r="Z138" s="1"/>
      <c r="AA138" s="1"/>
      <c r="AB138" s="1"/>
      <c r="AC138" s="1"/>
      <c r="AD138" s="1"/>
    </row>
    <row r="139" spans="1:30">
      <c r="A139" s="1"/>
      <c r="B139" s="126"/>
      <c r="C139" s="126"/>
      <c r="D139" s="126"/>
      <c r="E139" s="126"/>
      <c r="F139" s="126"/>
      <c r="G139" s="126"/>
      <c r="H139" s="126"/>
      <c r="I139" s="126"/>
      <c r="J139" s="126"/>
      <c r="K139" s="126"/>
      <c r="L139" s="1"/>
      <c r="M139" s="1"/>
      <c r="N139" s="1"/>
      <c r="O139" s="1"/>
      <c r="P139" s="126"/>
      <c r="Q139" s="126"/>
      <c r="R139" s="126"/>
      <c r="S139" s="126"/>
      <c r="T139" s="126"/>
      <c r="U139" s="126"/>
      <c r="V139" s="126"/>
      <c r="W139" s="126"/>
      <c r="X139" s="126"/>
      <c r="Y139" s="126"/>
      <c r="Z139" s="1"/>
      <c r="AA139" s="1"/>
      <c r="AB139" s="1"/>
      <c r="AC139" s="1"/>
      <c r="AD139" s="1"/>
    </row>
    <row r="140" spans="1:30">
      <c r="A140" s="1"/>
      <c r="B140" s="126"/>
      <c r="C140" s="126"/>
      <c r="D140" s="126"/>
      <c r="E140" s="126"/>
      <c r="F140" s="126"/>
      <c r="G140" s="126"/>
      <c r="H140" s="126"/>
      <c r="I140" s="126"/>
      <c r="J140" s="126"/>
      <c r="K140" s="126"/>
      <c r="L140" s="1"/>
      <c r="M140" s="1"/>
      <c r="N140" s="1"/>
      <c r="O140" s="1"/>
      <c r="P140" s="126"/>
      <c r="Q140" s="126"/>
      <c r="R140" s="126"/>
      <c r="S140" s="126"/>
      <c r="T140" s="126"/>
      <c r="U140" s="126"/>
      <c r="V140" s="126"/>
      <c r="W140" s="126"/>
      <c r="X140" s="126"/>
      <c r="Y140" s="126"/>
      <c r="Z140" s="1"/>
      <c r="AA140" s="1"/>
      <c r="AB140" s="1"/>
      <c r="AC140" s="1"/>
      <c r="AD140" s="1"/>
    </row>
    <row r="141" spans="1:30">
      <c r="A141" s="1"/>
      <c r="B141" s="126"/>
      <c r="C141" s="126"/>
      <c r="D141" s="126"/>
      <c r="E141" s="126"/>
      <c r="F141" s="126"/>
      <c r="G141" s="126"/>
      <c r="H141" s="126"/>
      <c r="I141" s="126"/>
      <c r="J141" s="126"/>
      <c r="K141" s="126"/>
      <c r="L141" s="1"/>
      <c r="M141" s="1"/>
      <c r="N141" s="1"/>
      <c r="O141" s="1"/>
      <c r="P141" s="126"/>
      <c r="Q141" s="126"/>
      <c r="R141" s="126"/>
      <c r="S141" s="126"/>
      <c r="T141" s="126"/>
      <c r="U141" s="126"/>
      <c r="V141" s="126"/>
      <c r="W141" s="126"/>
      <c r="X141" s="126"/>
      <c r="Y141" s="126"/>
      <c r="Z141" s="1"/>
      <c r="AA141" s="1"/>
      <c r="AB141" s="1"/>
      <c r="AC141" s="1"/>
      <c r="AD141" s="1"/>
    </row>
    <row r="142" spans="1:30">
      <c r="A142" s="1"/>
      <c r="B142" s="1"/>
      <c r="C142" s="1"/>
      <c r="D142" s="1"/>
      <c r="E142" s="1"/>
      <c r="F142" s="1"/>
      <c r="G142" s="1"/>
      <c r="H142" s="1"/>
      <c r="I142" s="1"/>
      <c r="J142" s="1"/>
      <c r="K142" s="1"/>
      <c r="L142" s="1"/>
      <c r="M142" s="1"/>
      <c r="N142" s="1"/>
      <c r="O142" s="1"/>
      <c r="P142" s="126"/>
      <c r="Q142" s="126"/>
      <c r="R142" s="126"/>
      <c r="S142" s="126"/>
      <c r="T142" s="126"/>
      <c r="U142" s="126"/>
      <c r="V142" s="126"/>
      <c r="W142" s="126"/>
      <c r="X142" s="126"/>
      <c r="Y142" s="126"/>
      <c r="Z142" s="1"/>
      <c r="AA142" s="1"/>
      <c r="AB142" s="1"/>
      <c r="AC142" s="1"/>
      <c r="AD142" s="1"/>
    </row>
    <row r="143" spans="1:30">
      <c r="A143" s="1"/>
      <c r="B143" s="1"/>
      <c r="C143" s="1"/>
      <c r="D143" s="1"/>
      <c r="E143" s="1"/>
      <c r="F143" s="1"/>
      <c r="G143" s="1"/>
      <c r="H143" s="1"/>
      <c r="I143" s="1"/>
      <c r="J143" s="1"/>
      <c r="K143" s="1"/>
      <c r="L143" s="1"/>
      <c r="M143" s="1"/>
      <c r="N143" s="1"/>
      <c r="O143" s="1"/>
      <c r="P143" s="126"/>
      <c r="Q143" s="126"/>
      <c r="R143" s="126"/>
      <c r="S143" s="126"/>
      <c r="T143" s="126"/>
      <c r="U143" s="126"/>
      <c r="V143" s="126"/>
      <c r="W143" s="126"/>
      <c r="X143" s="126"/>
      <c r="Y143" s="126"/>
      <c r="Z143" s="1"/>
      <c r="AA143" s="1"/>
      <c r="AB143" s="1"/>
      <c r="AC143" s="1"/>
      <c r="AD143" s="1"/>
    </row>
    <row r="144" spans="1:30">
      <c r="A144" s="1"/>
      <c r="B144" s="1"/>
      <c r="C144" s="1"/>
      <c r="D144" s="1"/>
      <c r="E144" s="1"/>
      <c r="F144" s="1"/>
      <c r="G144" s="1"/>
      <c r="H144" s="1"/>
      <c r="I144" s="1"/>
      <c r="J144" s="1"/>
      <c r="K144" s="1"/>
      <c r="L144" s="1"/>
      <c r="M144" s="1"/>
      <c r="N144" s="1"/>
      <c r="O144" s="1"/>
      <c r="P144" s="126"/>
      <c r="Q144" s="126"/>
      <c r="R144" s="126"/>
      <c r="S144" s="126"/>
      <c r="T144" s="126"/>
      <c r="U144" s="126"/>
      <c r="V144" s="126"/>
      <c r="W144" s="126"/>
      <c r="X144" s="126"/>
      <c r="Y144" s="126"/>
      <c r="Z144" s="1"/>
      <c r="AA144" s="1"/>
      <c r="AB144" s="1"/>
      <c r="AC144" s="1"/>
      <c r="AD144" s="1"/>
    </row>
    <row r="145" spans="1:30">
      <c r="A145" s="1"/>
      <c r="B145" s="1"/>
      <c r="C145" s="1"/>
      <c r="D145" s="1"/>
      <c r="E145" s="1"/>
      <c r="F145" s="1"/>
      <c r="G145" s="1"/>
      <c r="H145" s="1"/>
      <c r="I145" s="1"/>
      <c r="J145" s="1"/>
      <c r="K145" s="1"/>
      <c r="L145" s="1"/>
      <c r="M145" s="1"/>
      <c r="N145" s="1"/>
      <c r="O145" s="1"/>
      <c r="P145" s="126"/>
      <c r="Q145" s="126"/>
      <c r="R145" s="126"/>
      <c r="S145" s="126"/>
      <c r="T145" s="126"/>
      <c r="U145" s="126"/>
      <c r="V145" s="126"/>
      <c r="W145" s="126"/>
      <c r="X145" s="126"/>
      <c r="Y145" s="126"/>
      <c r="Z145" s="1"/>
      <c r="AA145" s="1"/>
      <c r="AB145" s="1"/>
      <c r="AC145" s="1"/>
      <c r="AD145" s="1"/>
    </row>
    <row r="146" spans="1:30">
      <c r="A146" s="1"/>
      <c r="B146" s="1"/>
      <c r="C146" s="1"/>
      <c r="D146" s="1"/>
      <c r="E146" s="1"/>
      <c r="F146" s="1"/>
      <c r="G146" s="1"/>
      <c r="H146" s="1"/>
      <c r="I146" s="1"/>
      <c r="J146" s="1"/>
      <c r="K146" s="1"/>
      <c r="L146" s="1"/>
      <c r="M146" s="1"/>
      <c r="N146" s="1"/>
      <c r="O146" s="1"/>
      <c r="P146" s="126"/>
      <c r="Q146" s="126"/>
      <c r="R146" s="126"/>
      <c r="S146" s="126"/>
      <c r="T146" s="126"/>
      <c r="U146" s="126"/>
      <c r="V146" s="126"/>
      <c r="W146" s="126"/>
      <c r="X146" s="126"/>
      <c r="Y146" s="126"/>
      <c r="Z146" s="1"/>
      <c r="AA146" s="1"/>
      <c r="AB146" s="1"/>
      <c r="AC146" s="1"/>
      <c r="AD146" s="1"/>
    </row>
    <row r="147" spans="1:30">
      <c r="A147" s="1"/>
      <c r="B147" s="1"/>
      <c r="C147" s="1"/>
      <c r="D147" s="1"/>
      <c r="E147" s="1"/>
      <c r="F147" s="1"/>
      <c r="G147" s="1"/>
      <c r="H147" s="1"/>
      <c r="I147" s="1"/>
      <c r="J147" s="1"/>
      <c r="K147" s="1"/>
      <c r="L147" s="1"/>
      <c r="M147" s="1"/>
      <c r="N147" s="1"/>
      <c r="O147" s="1"/>
      <c r="P147" s="126"/>
      <c r="Q147" s="126"/>
      <c r="R147" s="126"/>
      <c r="S147" s="126"/>
      <c r="T147" s="126"/>
      <c r="U147" s="126"/>
      <c r="V147" s="126"/>
      <c r="W147" s="126"/>
      <c r="X147" s="126"/>
      <c r="Y147" s="126"/>
      <c r="Z147" s="1"/>
      <c r="AA147" s="1"/>
      <c r="AB147" s="1"/>
      <c r="AC147" s="1"/>
      <c r="AD147" s="1"/>
    </row>
    <row r="148" spans="1:30">
      <c r="A148" s="1"/>
      <c r="B148" s="1"/>
      <c r="C148" s="1"/>
      <c r="D148" s="1"/>
      <c r="E148" s="1"/>
      <c r="F148" s="1"/>
      <c r="G148" s="1"/>
      <c r="H148" s="1"/>
      <c r="I148" s="1"/>
      <c r="J148" s="1"/>
      <c r="K148" s="1"/>
      <c r="L148" s="1"/>
      <c r="M148" s="1"/>
      <c r="N148" s="1"/>
      <c r="O148" s="1"/>
      <c r="P148" s="1"/>
      <c r="Q148" s="1"/>
      <c r="R148" s="1"/>
      <c r="S148" s="126"/>
      <c r="T148" s="126"/>
      <c r="U148" s="126"/>
      <c r="V148" s="126"/>
      <c r="W148" s="126"/>
      <c r="X148" s="126"/>
      <c r="Y148" s="126"/>
      <c r="Z148" s="1"/>
      <c r="AA148" s="1"/>
      <c r="AB148" s="1"/>
      <c r="AC148" s="1"/>
      <c r="AD148" s="1"/>
    </row>
    <row r="149" spans="1:30">
      <c r="A149" s="1"/>
      <c r="B149" s="1"/>
      <c r="C149" s="1"/>
      <c r="D149" s="1"/>
      <c r="E149" s="1"/>
      <c r="F149" s="1"/>
      <c r="G149" s="1"/>
      <c r="H149" s="1"/>
      <c r="I149" s="1"/>
      <c r="J149" s="1"/>
      <c r="K149" s="1"/>
      <c r="L149" s="1"/>
      <c r="M149" s="1"/>
      <c r="N149" s="1"/>
      <c r="O149" s="1"/>
      <c r="P149" s="1"/>
      <c r="Q149" s="1"/>
      <c r="R149" s="1"/>
      <c r="S149" s="126"/>
      <c r="T149" s="126"/>
      <c r="U149" s="126"/>
      <c r="V149" s="126"/>
      <c r="W149" s="126"/>
      <c r="X149" s="126"/>
      <c r="Y149" s="126"/>
      <c r="Z149" s="1"/>
      <c r="AA149" s="1"/>
      <c r="AB149" s="1"/>
      <c r="AC149" s="1"/>
      <c r="AD149" s="1"/>
    </row>
    <row r="150" spans="1:30">
      <c r="A150" s="1"/>
      <c r="B150" s="1"/>
      <c r="C150" s="1"/>
      <c r="D150" s="1"/>
      <c r="E150" s="1"/>
      <c r="F150" s="1"/>
      <c r="G150" s="1"/>
      <c r="H150" s="1"/>
      <c r="I150" s="1"/>
      <c r="J150" s="1"/>
      <c r="K150" s="1"/>
      <c r="L150" s="1"/>
      <c r="M150" s="1"/>
      <c r="N150" s="1"/>
      <c r="O150" s="1"/>
      <c r="P150" s="1"/>
      <c r="Q150" s="1"/>
      <c r="R150" s="1"/>
      <c r="S150" s="126"/>
      <c r="T150" s="126"/>
      <c r="U150" s="126"/>
      <c r="V150" s="126"/>
      <c r="W150" s="126"/>
      <c r="X150" s="126"/>
      <c r="Y150" s="126"/>
      <c r="Z150" s="1"/>
      <c r="AA150" s="1"/>
      <c r="AB150" s="1"/>
      <c r="AC150" s="1"/>
      <c r="AD150" s="1"/>
    </row>
    <row r="151" spans="1:30">
      <c r="A151" s="1"/>
      <c r="B151" s="1"/>
      <c r="C151" s="1"/>
      <c r="D151" s="1"/>
      <c r="E151" s="1"/>
      <c r="F151" s="1"/>
      <c r="G151" s="1"/>
      <c r="H151" s="1"/>
      <c r="I151" s="1"/>
      <c r="J151" s="1"/>
      <c r="K151" s="1"/>
      <c r="L151" s="1"/>
      <c r="M151" s="1"/>
      <c r="N151" s="1"/>
      <c r="O151" s="1"/>
      <c r="P151" s="1"/>
      <c r="Q151" s="1"/>
      <c r="R151" s="1"/>
      <c r="S151" s="126"/>
      <c r="T151" s="126"/>
      <c r="U151" s="126"/>
      <c r="V151" s="126"/>
      <c r="W151" s="126"/>
      <c r="X151" s="126"/>
      <c r="Y151" s="126"/>
      <c r="Z151" s="1"/>
      <c r="AA151" s="1"/>
      <c r="AB151" s="1"/>
      <c r="AC151" s="1"/>
      <c r="AD151" s="1"/>
    </row>
    <row r="152" spans="1:30">
      <c r="A152" s="1"/>
      <c r="B152" s="1"/>
      <c r="C152" s="1"/>
      <c r="D152" s="1"/>
      <c r="E152" s="1"/>
      <c r="F152" s="1"/>
      <c r="G152" s="1"/>
      <c r="H152" s="1"/>
      <c r="I152" s="1"/>
      <c r="J152" s="1"/>
      <c r="K152" s="1"/>
      <c r="L152" s="1"/>
      <c r="M152" s="1"/>
      <c r="N152" s="1"/>
      <c r="O152" s="1"/>
      <c r="P152" s="1"/>
      <c r="Q152" s="1"/>
      <c r="R152" s="1"/>
      <c r="S152" s="126"/>
      <c r="T152" s="126"/>
      <c r="U152" s="126"/>
      <c r="V152" s="126"/>
      <c r="W152" s="126"/>
      <c r="X152" s="126"/>
      <c r="Y152" s="126"/>
      <c r="Z152" s="1"/>
      <c r="AA152" s="1"/>
      <c r="AB152" s="1"/>
      <c r="AC152" s="1"/>
      <c r="AD152" s="1"/>
    </row>
    <row r="153" spans="1:30">
      <c r="A153" s="1"/>
      <c r="B153" s="126"/>
      <c r="C153" s="126"/>
      <c r="D153" s="126"/>
      <c r="E153" s="126"/>
      <c r="F153" s="126"/>
      <c r="G153" s="126"/>
      <c r="H153" s="126"/>
      <c r="I153" s="126"/>
      <c r="J153" s="2"/>
      <c r="K153" s="126"/>
      <c r="L153" s="126"/>
      <c r="M153" s="126"/>
      <c r="N153" s="126"/>
      <c r="O153" s="126"/>
      <c r="P153" s="126"/>
      <c r="Q153" s="126"/>
      <c r="R153" s="126"/>
      <c r="S153" s="126"/>
      <c r="T153" s="126"/>
      <c r="U153" s="126"/>
      <c r="V153" s="126"/>
      <c r="W153" s="126"/>
      <c r="X153" s="126"/>
      <c r="Y153" s="126"/>
      <c r="Z153" s="1"/>
      <c r="AA153" s="1"/>
      <c r="AB153" s="1"/>
      <c r="AC153" s="1"/>
      <c r="AD153" s="1"/>
    </row>
    <row r="154" spans="1:30">
      <c r="A154" s="1"/>
      <c r="B154" s="126"/>
      <c r="C154" s="126"/>
      <c r="D154" s="126"/>
      <c r="E154" s="126"/>
      <c r="F154" s="126"/>
      <c r="G154" s="126"/>
      <c r="H154" s="126"/>
      <c r="I154" s="126"/>
      <c r="J154" s="2"/>
      <c r="K154" s="126"/>
      <c r="L154" s="126"/>
      <c r="M154" s="126"/>
      <c r="N154" s="126"/>
      <c r="O154" s="126"/>
      <c r="P154" s="126"/>
      <c r="Q154" s="126"/>
      <c r="R154" s="126"/>
      <c r="S154" s="126"/>
      <c r="T154" s="126"/>
      <c r="U154" s="126"/>
      <c r="V154" s="126"/>
      <c r="W154" s="126"/>
      <c r="X154" s="126"/>
      <c r="Y154" s="126"/>
      <c r="Z154" s="1"/>
      <c r="AA154" s="1"/>
      <c r="AB154" s="1"/>
      <c r="AC154" s="1"/>
      <c r="AD154" s="1"/>
    </row>
    <row r="155" spans="1:30">
      <c r="A155" s="1"/>
      <c r="B155" s="126"/>
      <c r="C155" s="126"/>
      <c r="D155" s="126"/>
      <c r="E155" s="126"/>
      <c r="F155" s="126"/>
      <c r="G155" s="126"/>
      <c r="H155" s="126"/>
      <c r="I155" s="126"/>
      <c r="J155" s="2"/>
      <c r="K155" s="126"/>
      <c r="L155" s="126"/>
      <c r="M155" s="126"/>
      <c r="N155" s="126"/>
      <c r="O155" s="126"/>
      <c r="P155" s="126"/>
      <c r="Q155" s="126"/>
      <c r="R155" s="126"/>
      <c r="S155" s="126"/>
      <c r="T155" s="126"/>
      <c r="U155" s="126"/>
      <c r="V155" s="126"/>
      <c r="W155" s="126"/>
      <c r="X155" s="126"/>
      <c r="Y155" s="126"/>
      <c r="Z155" s="1"/>
      <c r="AA155" s="1"/>
      <c r="AB155" s="1"/>
      <c r="AC155" s="1"/>
      <c r="AD155" s="1"/>
    </row>
    <row r="156" spans="1:30">
      <c r="A156" s="1"/>
      <c r="B156" s="126"/>
      <c r="C156" s="126"/>
      <c r="D156" s="126"/>
      <c r="E156" s="126"/>
      <c r="F156" s="126"/>
      <c r="G156" s="126"/>
      <c r="H156" s="126"/>
      <c r="I156" s="126"/>
      <c r="J156" s="2"/>
      <c r="K156" s="126"/>
      <c r="L156" s="126"/>
      <c r="M156" s="126"/>
      <c r="N156" s="126"/>
      <c r="O156" s="126"/>
      <c r="P156" s="126"/>
      <c r="Q156" s="126"/>
      <c r="R156" s="126"/>
      <c r="S156" s="126"/>
      <c r="T156" s="126"/>
      <c r="U156" s="126"/>
      <c r="V156" s="126"/>
      <c r="W156" s="126"/>
      <c r="X156" s="126"/>
      <c r="Y156" s="126"/>
      <c r="Z156" s="1"/>
      <c r="AA156" s="1"/>
      <c r="AB156" s="1"/>
      <c r="AC156" s="1"/>
      <c r="AD156" s="1"/>
    </row>
    <row r="157" spans="1:30">
      <c r="A157" s="1"/>
      <c r="B157" s="126"/>
      <c r="C157" s="126"/>
      <c r="D157" s="126"/>
      <c r="E157" s="126"/>
      <c r="F157" s="126"/>
      <c r="G157" s="126"/>
      <c r="H157" s="126"/>
      <c r="I157" s="126"/>
      <c r="J157" s="2"/>
      <c r="K157" s="126"/>
      <c r="L157" s="126"/>
      <c r="M157" s="126"/>
      <c r="N157" s="126"/>
      <c r="O157" s="126"/>
      <c r="P157" s="126"/>
      <c r="Q157" s="126"/>
      <c r="R157" s="126"/>
      <c r="S157" s="126"/>
      <c r="T157" s="126"/>
      <c r="U157" s="126"/>
      <c r="V157" s="126"/>
      <c r="W157" s="126"/>
      <c r="X157" s="126"/>
      <c r="Y157" s="126"/>
      <c r="Z157" s="1"/>
      <c r="AA157" s="1"/>
      <c r="AB157" s="1"/>
      <c r="AC157" s="1"/>
      <c r="AD157" s="1"/>
    </row>
    <row r="158" spans="1:30">
      <c r="B158" s="126"/>
      <c r="C158" s="126"/>
      <c r="D158" s="126"/>
      <c r="E158" s="126"/>
      <c r="F158" s="126"/>
      <c r="G158" s="126"/>
      <c r="H158" s="126"/>
      <c r="I158" s="126"/>
      <c r="J158" s="2"/>
      <c r="K158" s="126"/>
      <c r="L158" s="126"/>
      <c r="M158" s="126"/>
      <c r="N158" s="126"/>
      <c r="O158" s="126"/>
      <c r="P158" s="126"/>
      <c r="Q158" s="126"/>
      <c r="R158" s="126"/>
      <c r="S158" s="126"/>
      <c r="T158" s="126"/>
      <c r="U158" s="126"/>
      <c r="V158" s="126"/>
      <c r="W158" s="126"/>
      <c r="X158" s="126"/>
      <c r="Y158" s="126"/>
      <c r="Z158" s="1"/>
      <c r="AA158" s="1"/>
      <c r="AB158" s="1"/>
      <c r="AC158" s="1"/>
      <c r="AD158" s="1"/>
    </row>
    <row r="159" spans="1:30">
      <c r="B159" s="126"/>
      <c r="C159" s="126"/>
      <c r="D159" s="126"/>
      <c r="E159" s="126"/>
      <c r="F159" s="126"/>
      <c r="G159" s="126"/>
      <c r="H159" s="126"/>
      <c r="I159" s="126"/>
      <c r="J159" s="2"/>
      <c r="K159" s="126"/>
      <c r="L159" s="126"/>
      <c r="M159" s="126"/>
      <c r="N159" s="126"/>
      <c r="O159" s="126"/>
      <c r="P159" s="126"/>
      <c r="Q159" s="126"/>
      <c r="R159" s="126"/>
      <c r="S159" s="126"/>
      <c r="T159" s="126"/>
      <c r="U159" s="126"/>
      <c r="V159" s="126"/>
      <c r="W159" s="126"/>
      <c r="X159" s="126"/>
      <c r="Y159" s="126"/>
      <c r="Z159" s="1"/>
      <c r="AA159" s="1"/>
      <c r="AB159" s="1"/>
      <c r="AC159" s="1"/>
      <c r="AD159" s="1"/>
    </row>
    <row r="160" spans="1:30">
      <c r="B160" s="126"/>
      <c r="C160" s="126"/>
      <c r="D160" s="126"/>
      <c r="E160" s="126"/>
      <c r="F160" s="126"/>
      <c r="G160" s="126"/>
      <c r="H160" s="126"/>
      <c r="I160" s="126"/>
      <c r="J160" s="2"/>
      <c r="K160" s="126"/>
      <c r="L160" s="126"/>
      <c r="M160" s="126"/>
      <c r="N160" s="126"/>
      <c r="O160" s="126"/>
      <c r="P160" s="126"/>
      <c r="Q160" s="126"/>
      <c r="R160" s="126"/>
      <c r="S160" s="126"/>
      <c r="T160" s="126"/>
      <c r="U160" s="126"/>
      <c r="V160" s="126"/>
      <c r="W160" s="126"/>
      <c r="X160" s="126"/>
      <c r="Y160" s="126"/>
      <c r="Z160" s="1"/>
      <c r="AA160" s="1"/>
      <c r="AB160" s="1"/>
      <c r="AC160" s="1"/>
      <c r="AD160" s="1"/>
    </row>
    <row r="161" spans="2:30">
      <c r="B161" s="126"/>
      <c r="C161" s="126"/>
      <c r="D161" s="126"/>
      <c r="E161" s="126"/>
      <c r="F161" s="126"/>
      <c r="G161" s="126"/>
      <c r="H161" s="126"/>
      <c r="I161" s="126"/>
      <c r="J161" s="2"/>
      <c r="K161" s="126"/>
      <c r="L161" s="126"/>
      <c r="M161" s="126"/>
      <c r="N161" s="126"/>
      <c r="O161" s="126"/>
      <c r="P161" s="126"/>
      <c r="Q161" s="126"/>
      <c r="R161" s="126"/>
      <c r="S161" s="126"/>
      <c r="T161" s="126"/>
      <c r="U161" s="126"/>
      <c r="V161" s="126"/>
      <c r="W161" s="126"/>
      <c r="X161" s="126"/>
      <c r="Y161" s="126"/>
      <c r="Z161" s="1"/>
      <c r="AA161" s="1"/>
      <c r="AB161" s="1"/>
      <c r="AC161" s="1"/>
      <c r="AD161" s="1"/>
    </row>
    <row r="162" spans="2:30">
      <c r="B162" s="126"/>
      <c r="C162" s="126"/>
      <c r="D162" s="126"/>
      <c r="E162" s="126"/>
      <c r="F162" s="126"/>
      <c r="G162" s="126"/>
      <c r="H162" s="126"/>
      <c r="I162" s="126"/>
      <c r="J162" s="2"/>
      <c r="K162" s="126"/>
      <c r="L162" s="126"/>
      <c r="M162" s="126"/>
      <c r="N162" s="126"/>
      <c r="O162" s="126"/>
      <c r="P162" s="126"/>
      <c r="Q162" s="126"/>
      <c r="R162" s="126"/>
      <c r="S162" s="126"/>
      <c r="T162" s="126"/>
      <c r="U162" s="126"/>
      <c r="V162" s="126"/>
      <c r="W162" s="126"/>
      <c r="X162" s="126"/>
      <c r="Y162" s="126"/>
      <c r="Z162" s="1"/>
      <c r="AA162" s="1"/>
      <c r="AB162" s="1"/>
      <c r="AC162" s="1"/>
      <c r="AD162" s="1"/>
    </row>
    <row r="163" spans="2:30">
      <c r="B163" s="126"/>
      <c r="C163" s="126"/>
      <c r="D163" s="126"/>
      <c r="E163" s="126"/>
      <c r="F163" s="126"/>
      <c r="G163" s="126"/>
      <c r="H163" s="126"/>
      <c r="I163" s="126"/>
      <c r="J163" s="2"/>
      <c r="K163" s="126"/>
      <c r="L163" s="126"/>
      <c r="M163" s="126"/>
      <c r="N163" s="126"/>
      <c r="O163" s="126"/>
      <c r="P163" s="126"/>
      <c r="Q163" s="126"/>
      <c r="R163" s="126"/>
      <c r="S163" s="126"/>
      <c r="T163" s="126"/>
      <c r="U163" s="126"/>
      <c r="V163" s="126"/>
      <c r="W163" s="126"/>
      <c r="X163" s="126"/>
      <c r="Y163" s="126"/>
      <c r="Z163" s="1"/>
      <c r="AA163" s="1"/>
      <c r="AB163" s="1"/>
      <c r="AC163" s="1"/>
      <c r="AD163" s="1"/>
    </row>
    <row r="164" spans="2:30">
      <c r="B164" s="126"/>
      <c r="C164" s="126"/>
      <c r="D164" s="126"/>
      <c r="E164" s="126"/>
      <c r="F164" s="126"/>
      <c r="G164" s="126"/>
      <c r="H164" s="126"/>
      <c r="I164" s="126"/>
      <c r="J164" s="2"/>
      <c r="K164" s="126"/>
      <c r="L164" s="126"/>
      <c r="M164" s="126"/>
      <c r="N164" s="126"/>
      <c r="O164" s="126"/>
      <c r="P164" s="126"/>
      <c r="Q164" s="126"/>
      <c r="R164" s="126"/>
      <c r="S164" s="126"/>
      <c r="T164" s="126"/>
      <c r="U164" s="126"/>
      <c r="V164" s="126"/>
      <c r="W164" s="126"/>
      <c r="X164" s="126"/>
      <c r="Y164" s="126"/>
      <c r="Z164" s="1"/>
      <c r="AA164" s="1"/>
      <c r="AB164" s="1"/>
      <c r="AC164" s="1"/>
      <c r="AD164" s="1"/>
    </row>
    <row r="165" spans="2:30">
      <c r="B165" s="126"/>
      <c r="C165" s="126"/>
      <c r="D165" s="126"/>
      <c r="E165" s="126"/>
      <c r="F165" s="126"/>
      <c r="G165" s="126"/>
      <c r="H165" s="126"/>
      <c r="I165" s="126"/>
      <c r="J165" s="2"/>
      <c r="K165" s="126"/>
      <c r="L165" s="126"/>
      <c r="M165" s="126"/>
      <c r="N165" s="126"/>
      <c r="O165" s="126"/>
      <c r="P165" s="126"/>
      <c r="Q165" s="126"/>
      <c r="R165" s="126"/>
      <c r="S165" s="126"/>
      <c r="T165" s="126"/>
      <c r="U165" s="126"/>
      <c r="V165" s="126"/>
      <c r="W165" s="126"/>
      <c r="X165" s="126"/>
      <c r="Y165" s="126"/>
      <c r="Z165" s="1"/>
      <c r="AA165" s="1"/>
      <c r="AB165" s="1"/>
      <c r="AC165" s="1"/>
      <c r="AD165" s="1"/>
    </row>
    <row r="166" spans="2:30">
      <c r="B166" s="126"/>
      <c r="C166" s="126"/>
      <c r="D166" s="126"/>
      <c r="E166" s="126"/>
      <c r="F166" s="126"/>
      <c r="G166" s="126"/>
      <c r="H166" s="126"/>
      <c r="I166" s="126"/>
      <c r="J166" s="2"/>
      <c r="K166" s="126"/>
      <c r="L166" s="126"/>
      <c r="M166" s="126"/>
      <c r="N166" s="126"/>
      <c r="O166" s="126"/>
      <c r="P166" s="126"/>
      <c r="Q166" s="126"/>
      <c r="R166" s="126"/>
      <c r="S166" s="126"/>
      <c r="T166" s="126"/>
      <c r="U166" s="126"/>
      <c r="V166" s="126"/>
      <c r="W166" s="126"/>
      <c r="X166" s="126"/>
      <c r="Y166" s="126"/>
      <c r="Z166" s="1"/>
      <c r="AA166" s="1"/>
      <c r="AB166" s="1"/>
      <c r="AC166" s="1"/>
      <c r="AD166" s="1"/>
    </row>
    <row r="167" spans="2:30">
      <c r="B167" s="126"/>
      <c r="C167" s="126"/>
      <c r="D167" s="126"/>
      <c r="E167" s="126"/>
      <c r="F167" s="126"/>
      <c r="G167" s="126"/>
      <c r="H167" s="126"/>
      <c r="I167" s="126"/>
      <c r="J167" s="2"/>
      <c r="K167" s="126"/>
      <c r="L167" s="126"/>
      <c r="M167" s="126"/>
      <c r="N167" s="126"/>
      <c r="O167" s="126"/>
      <c r="P167" s="126"/>
      <c r="Q167" s="126"/>
      <c r="R167" s="126"/>
      <c r="S167" s="126"/>
      <c r="T167" s="126"/>
      <c r="U167" s="126"/>
      <c r="V167" s="126"/>
      <c r="W167" s="126"/>
      <c r="X167" s="126"/>
      <c r="Y167" s="126"/>
      <c r="Z167" s="1"/>
      <c r="AA167" s="1"/>
      <c r="AB167" s="1"/>
      <c r="AC167" s="1"/>
      <c r="AD167" s="1"/>
    </row>
    <row r="168" spans="2:30">
      <c r="B168" s="126"/>
      <c r="C168" s="126"/>
      <c r="D168" s="126"/>
      <c r="E168" s="126"/>
      <c r="F168" s="126"/>
      <c r="G168" s="126"/>
      <c r="H168" s="126"/>
      <c r="I168" s="126"/>
      <c r="J168" s="2"/>
      <c r="K168" s="126"/>
      <c r="L168" s="126"/>
      <c r="M168" s="126"/>
      <c r="N168" s="126"/>
      <c r="O168" s="126"/>
      <c r="P168" s="126"/>
      <c r="Q168" s="126"/>
      <c r="R168" s="126"/>
      <c r="S168" s="126"/>
      <c r="T168" s="126"/>
      <c r="U168" s="126"/>
      <c r="V168" s="126"/>
      <c r="W168" s="126"/>
      <c r="X168" s="126"/>
      <c r="Y168" s="126"/>
      <c r="Z168" s="1"/>
      <c r="AA168" s="1"/>
      <c r="AB168" s="1"/>
      <c r="AC168" s="1"/>
      <c r="AD168" s="1"/>
    </row>
    <row r="169" spans="2:30">
      <c r="B169" s="126"/>
      <c r="C169" s="126"/>
      <c r="D169" s="126"/>
      <c r="E169" s="126"/>
      <c r="F169" s="126"/>
      <c r="G169" s="126"/>
      <c r="H169" s="126"/>
      <c r="I169" s="126"/>
      <c r="J169" s="2"/>
      <c r="K169" s="126"/>
      <c r="L169" s="126"/>
      <c r="M169" s="126"/>
      <c r="N169" s="126"/>
      <c r="O169" s="126"/>
      <c r="P169" s="126"/>
      <c r="Q169" s="126"/>
      <c r="R169" s="126"/>
      <c r="S169" s="126"/>
      <c r="T169" s="126"/>
      <c r="U169" s="126"/>
      <c r="V169" s="126"/>
      <c r="W169" s="126"/>
      <c r="X169" s="126"/>
      <c r="Y169" s="126"/>
      <c r="Z169" s="1"/>
      <c r="AA169" s="1"/>
      <c r="AB169" s="1"/>
      <c r="AC169" s="1"/>
      <c r="AD169" s="1"/>
    </row>
    <row r="170" spans="2:30">
      <c r="B170" s="126"/>
      <c r="C170" s="126"/>
      <c r="D170" s="126"/>
      <c r="E170" s="126"/>
      <c r="F170" s="126"/>
      <c r="G170" s="126"/>
      <c r="H170" s="126"/>
      <c r="I170" s="126"/>
      <c r="J170" s="2"/>
      <c r="K170" s="126"/>
      <c r="L170" s="126"/>
      <c r="M170" s="126"/>
      <c r="N170" s="126"/>
      <c r="O170" s="126"/>
      <c r="P170" s="126"/>
      <c r="Q170" s="126"/>
      <c r="R170" s="126"/>
      <c r="S170" s="126"/>
      <c r="T170" s="126"/>
      <c r="U170" s="126"/>
      <c r="V170" s="126"/>
      <c r="W170" s="126"/>
      <c r="X170" s="126"/>
      <c r="Y170" s="126"/>
      <c r="Z170" s="1"/>
      <c r="AA170" s="1"/>
      <c r="AB170" s="1"/>
      <c r="AC170" s="1"/>
      <c r="AD170" s="1"/>
    </row>
    <row r="171" spans="2:30">
      <c r="B171" s="126"/>
      <c r="C171" s="126"/>
      <c r="D171" s="126"/>
      <c r="E171" s="126"/>
      <c r="F171" s="126"/>
      <c r="G171" s="126"/>
      <c r="H171" s="126"/>
      <c r="I171" s="126"/>
      <c r="J171" s="2"/>
      <c r="K171" s="126"/>
      <c r="L171" s="126"/>
      <c r="M171" s="126"/>
      <c r="N171" s="126"/>
      <c r="O171" s="126"/>
      <c r="P171" s="126"/>
      <c r="Q171" s="126"/>
      <c r="R171" s="126"/>
      <c r="S171" s="126"/>
      <c r="T171" s="126"/>
      <c r="U171" s="126"/>
      <c r="V171" s="126"/>
      <c r="W171" s="126"/>
      <c r="X171" s="126"/>
      <c r="Y171" s="126"/>
      <c r="Z171" s="1"/>
      <c r="AA171" s="1"/>
      <c r="AB171" s="1"/>
      <c r="AC171" s="1"/>
      <c r="AD171" s="1"/>
    </row>
    <row r="172" spans="2:30">
      <c r="B172" s="126"/>
      <c r="C172" s="126"/>
      <c r="D172" s="126"/>
      <c r="E172" s="126"/>
      <c r="F172" s="126"/>
      <c r="G172" s="126"/>
      <c r="H172" s="126"/>
      <c r="I172" s="126"/>
      <c r="J172" s="2"/>
      <c r="K172" s="126"/>
      <c r="L172" s="126"/>
      <c r="M172" s="126"/>
      <c r="N172" s="126"/>
      <c r="O172" s="126"/>
      <c r="P172" s="126"/>
      <c r="Q172" s="126"/>
      <c r="R172" s="126"/>
      <c r="S172" s="126"/>
      <c r="T172" s="126"/>
      <c r="U172" s="126"/>
      <c r="V172" s="126"/>
      <c r="W172" s="126"/>
      <c r="X172" s="126"/>
      <c r="Y172" s="126"/>
      <c r="Z172" s="1"/>
      <c r="AA172" s="1"/>
      <c r="AB172" s="1"/>
      <c r="AC172" s="1"/>
      <c r="AD172" s="1"/>
    </row>
    <row r="173" spans="2:30">
      <c r="B173" s="126"/>
      <c r="C173" s="126"/>
      <c r="D173" s="126"/>
      <c r="E173" s="126"/>
      <c r="F173" s="126"/>
      <c r="G173" s="126"/>
      <c r="H173" s="126"/>
      <c r="I173" s="126"/>
      <c r="J173" s="2"/>
      <c r="K173" s="126"/>
      <c r="L173" s="126"/>
      <c r="M173" s="126"/>
      <c r="N173" s="126"/>
      <c r="O173" s="126"/>
      <c r="P173" s="126"/>
      <c r="Q173" s="126"/>
      <c r="R173" s="126"/>
      <c r="S173" s="126"/>
      <c r="T173" s="126"/>
      <c r="U173" s="126"/>
      <c r="V173" s="126"/>
      <c r="W173" s="126"/>
      <c r="X173" s="126"/>
      <c r="Y173" s="126"/>
      <c r="Z173" s="1"/>
      <c r="AA173" s="1"/>
      <c r="AB173" s="1"/>
      <c r="AC173" s="1"/>
      <c r="AD173" s="1"/>
    </row>
    <row r="174" spans="2:30">
      <c r="B174" s="126"/>
      <c r="C174" s="126"/>
      <c r="D174" s="126"/>
      <c r="E174" s="126"/>
      <c r="F174" s="126"/>
      <c r="G174" s="126"/>
      <c r="H174" s="126"/>
      <c r="I174" s="126"/>
      <c r="J174" s="2"/>
      <c r="K174" s="126"/>
      <c r="L174" s="126"/>
      <c r="M174" s="126"/>
      <c r="N174" s="126"/>
      <c r="O174" s="126"/>
      <c r="P174" s="126"/>
      <c r="Q174" s="126"/>
      <c r="R174" s="126"/>
      <c r="S174" s="126"/>
      <c r="T174" s="126"/>
      <c r="U174" s="126"/>
      <c r="V174" s="126"/>
      <c r="W174" s="126"/>
      <c r="X174" s="126"/>
      <c r="Y174" s="126"/>
      <c r="Z174" s="1"/>
      <c r="AA174" s="1"/>
      <c r="AB174" s="1"/>
      <c r="AC174" s="1"/>
      <c r="AD174" s="1"/>
    </row>
    <row r="175" spans="2:30">
      <c r="B175" s="126"/>
      <c r="C175" s="126"/>
      <c r="D175" s="126"/>
      <c r="E175" s="126"/>
      <c r="F175" s="126"/>
      <c r="G175" s="126"/>
      <c r="H175" s="126"/>
      <c r="I175" s="126"/>
      <c r="J175" s="2"/>
      <c r="K175" s="126"/>
      <c r="L175" s="126"/>
      <c r="M175" s="126"/>
      <c r="N175" s="126"/>
      <c r="O175" s="126"/>
      <c r="P175" s="126"/>
      <c r="Q175" s="126"/>
      <c r="R175" s="126"/>
      <c r="S175" s="126"/>
      <c r="T175" s="126"/>
      <c r="U175" s="126"/>
      <c r="V175" s="126"/>
      <c r="W175" s="126"/>
      <c r="X175" s="126"/>
      <c r="Y175" s="126"/>
      <c r="Z175" s="1"/>
      <c r="AA175" s="1"/>
      <c r="AB175" s="1"/>
      <c r="AC175" s="1"/>
      <c r="AD175" s="1"/>
    </row>
    <row r="176" spans="2:30">
      <c r="B176" s="126"/>
      <c r="C176" s="126"/>
      <c r="D176" s="126"/>
      <c r="E176" s="126"/>
      <c r="F176" s="126"/>
      <c r="G176" s="126"/>
      <c r="H176" s="126"/>
      <c r="I176" s="126"/>
      <c r="J176" s="2"/>
      <c r="K176" s="126"/>
      <c r="L176" s="126"/>
      <c r="M176" s="126"/>
      <c r="N176" s="126"/>
      <c r="O176" s="126"/>
      <c r="P176" s="126"/>
      <c r="Q176" s="126"/>
      <c r="R176" s="126"/>
      <c r="S176" s="126"/>
      <c r="T176" s="126"/>
      <c r="U176" s="126"/>
      <c r="V176" s="126"/>
      <c r="W176" s="126"/>
      <c r="X176" s="126"/>
      <c r="Y176" s="126"/>
      <c r="Z176" s="1"/>
      <c r="AA176" s="1"/>
      <c r="AB176" s="1"/>
      <c r="AC176" s="1"/>
      <c r="AD176" s="1"/>
    </row>
    <row r="177" spans="2:30">
      <c r="B177" s="126"/>
      <c r="C177" s="126"/>
      <c r="D177" s="126"/>
      <c r="E177" s="126"/>
      <c r="F177" s="126"/>
      <c r="G177" s="126"/>
      <c r="H177" s="126"/>
      <c r="I177" s="126"/>
      <c r="J177" s="2"/>
      <c r="K177" s="126"/>
      <c r="L177" s="126"/>
      <c r="M177" s="126"/>
      <c r="N177" s="126"/>
      <c r="O177" s="126"/>
      <c r="P177" s="126"/>
      <c r="Q177" s="126"/>
      <c r="R177" s="126"/>
      <c r="S177" s="126"/>
      <c r="T177" s="126"/>
      <c r="U177" s="126"/>
      <c r="V177" s="126"/>
      <c r="W177" s="126"/>
      <c r="X177" s="126"/>
      <c r="Y177" s="126"/>
      <c r="Z177" s="1"/>
      <c r="AA177" s="1"/>
      <c r="AB177" s="1"/>
      <c r="AC177" s="1"/>
      <c r="AD177" s="1"/>
    </row>
    <row r="178" spans="2:30">
      <c r="B178" s="126"/>
      <c r="C178" s="126"/>
      <c r="D178" s="126"/>
      <c r="E178" s="126"/>
      <c r="F178" s="126"/>
      <c r="G178" s="126"/>
      <c r="H178" s="126"/>
      <c r="I178" s="126"/>
      <c r="J178" s="2"/>
      <c r="K178" s="126"/>
      <c r="L178" s="126"/>
      <c r="M178" s="126"/>
      <c r="N178" s="126"/>
      <c r="O178" s="126"/>
      <c r="P178" s="126"/>
      <c r="Q178" s="126"/>
      <c r="R178" s="126"/>
      <c r="S178" s="126"/>
      <c r="T178" s="126"/>
      <c r="U178" s="126"/>
      <c r="V178" s="126"/>
      <c r="W178" s="126"/>
      <c r="X178" s="126"/>
      <c r="Y178" s="126"/>
      <c r="Z178" s="1"/>
      <c r="AA178" s="1"/>
      <c r="AB178" s="1"/>
      <c r="AC178" s="1"/>
      <c r="AD178" s="1"/>
    </row>
    <row r="179" spans="2:30">
      <c r="B179" s="126"/>
      <c r="C179" s="126"/>
      <c r="D179" s="126"/>
      <c r="E179" s="126"/>
      <c r="F179" s="126"/>
      <c r="G179" s="126"/>
      <c r="H179" s="126"/>
      <c r="I179" s="126"/>
      <c r="J179" s="2"/>
      <c r="K179" s="126"/>
      <c r="L179" s="126"/>
      <c r="M179" s="126"/>
      <c r="N179" s="126"/>
      <c r="O179" s="126"/>
      <c r="P179" s="126"/>
      <c r="Q179" s="126"/>
      <c r="R179" s="126"/>
      <c r="S179" s="126"/>
      <c r="T179" s="126"/>
      <c r="U179" s="126"/>
      <c r="V179" s="126"/>
      <c r="W179" s="126"/>
      <c r="X179" s="126"/>
      <c r="Y179" s="126"/>
      <c r="Z179" s="1"/>
      <c r="AA179" s="1"/>
      <c r="AB179" s="1"/>
      <c r="AC179" s="1"/>
      <c r="AD179" s="1"/>
    </row>
    <row r="180" spans="2:30">
      <c r="B180" s="126"/>
      <c r="C180" s="126"/>
      <c r="D180" s="126"/>
      <c r="E180" s="126"/>
      <c r="F180" s="126"/>
      <c r="G180" s="126"/>
      <c r="H180" s="126"/>
      <c r="I180" s="126"/>
      <c r="J180" s="2"/>
      <c r="K180" s="126"/>
      <c r="L180" s="126"/>
      <c r="M180" s="126"/>
      <c r="N180" s="126"/>
      <c r="O180" s="126"/>
      <c r="P180" s="126"/>
      <c r="Q180" s="126"/>
      <c r="R180" s="126"/>
      <c r="S180" s="126"/>
      <c r="T180" s="126"/>
      <c r="U180" s="126"/>
      <c r="V180" s="126"/>
      <c r="W180" s="126"/>
      <c r="X180" s="126"/>
      <c r="Y180" s="126"/>
      <c r="Z180" s="1"/>
      <c r="AA180" s="1"/>
      <c r="AB180" s="1"/>
      <c r="AC180" s="1"/>
      <c r="AD180" s="1"/>
    </row>
    <row r="181" spans="2:30">
      <c r="B181" s="126"/>
      <c r="C181" s="126"/>
      <c r="D181" s="126"/>
      <c r="E181" s="126"/>
      <c r="F181" s="126"/>
      <c r="G181" s="126"/>
      <c r="H181" s="126"/>
      <c r="I181" s="126"/>
      <c r="J181" s="2"/>
      <c r="K181" s="126"/>
      <c r="L181" s="126"/>
      <c r="M181" s="126"/>
      <c r="N181" s="126"/>
      <c r="O181" s="126"/>
      <c r="P181" s="126"/>
      <c r="Q181" s="126"/>
      <c r="R181" s="126"/>
      <c r="S181" s="126"/>
      <c r="T181" s="126"/>
      <c r="U181" s="126"/>
      <c r="V181" s="126"/>
      <c r="W181" s="126"/>
      <c r="X181" s="126"/>
      <c r="Y181" s="126"/>
      <c r="Z181" s="1"/>
      <c r="AA181" s="1"/>
      <c r="AB181" s="1"/>
      <c r="AC181" s="1"/>
      <c r="AD181" s="1"/>
    </row>
    <row r="182" spans="2:30">
      <c r="B182" s="126"/>
      <c r="C182" s="126"/>
      <c r="D182" s="126"/>
      <c r="E182" s="126"/>
      <c r="F182" s="126"/>
      <c r="G182" s="126"/>
      <c r="H182" s="126"/>
      <c r="I182" s="126"/>
      <c r="J182" s="2"/>
      <c r="K182" s="126"/>
      <c r="L182" s="126"/>
      <c r="M182" s="126"/>
      <c r="N182" s="126"/>
      <c r="O182" s="126"/>
      <c r="P182" s="126"/>
      <c r="Q182" s="126"/>
      <c r="R182" s="126"/>
      <c r="S182" s="126"/>
      <c r="T182" s="126"/>
      <c r="U182" s="126"/>
      <c r="V182" s="126"/>
      <c r="W182" s="126"/>
      <c r="X182" s="126"/>
      <c r="Y182" s="126"/>
      <c r="Z182" s="1"/>
      <c r="AA182" s="1"/>
      <c r="AB182" s="1"/>
      <c r="AC182" s="1"/>
      <c r="AD182" s="1"/>
    </row>
    <row r="183" spans="2:30">
      <c r="B183" s="126"/>
      <c r="C183" s="126"/>
      <c r="D183" s="126"/>
      <c r="E183" s="126"/>
      <c r="F183" s="126"/>
      <c r="G183" s="126"/>
      <c r="H183" s="126"/>
      <c r="I183" s="126"/>
      <c r="J183" s="2"/>
      <c r="K183" s="126"/>
      <c r="L183" s="126"/>
      <c r="M183" s="126"/>
      <c r="N183" s="126"/>
      <c r="O183" s="126"/>
      <c r="P183" s="126"/>
      <c r="Q183" s="126"/>
      <c r="R183" s="126"/>
      <c r="S183" s="126"/>
      <c r="T183" s="126"/>
      <c r="U183" s="126"/>
      <c r="V183" s="126"/>
      <c r="W183" s="126"/>
      <c r="X183" s="126"/>
      <c r="Y183" s="126"/>
      <c r="Z183" s="1"/>
      <c r="AA183" s="1"/>
      <c r="AB183" s="1"/>
      <c r="AC183" s="1"/>
      <c r="AD183" s="1"/>
    </row>
    <row r="184" spans="2:30">
      <c r="B184" s="126"/>
      <c r="C184" s="126"/>
      <c r="D184" s="126"/>
      <c r="E184" s="126"/>
      <c r="F184" s="126"/>
      <c r="G184" s="126"/>
      <c r="H184" s="126"/>
      <c r="I184" s="126"/>
      <c r="J184" s="2"/>
      <c r="K184" s="126"/>
      <c r="L184" s="126"/>
      <c r="M184" s="126"/>
      <c r="N184" s="126"/>
      <c r="O184" s="126"/>
      <c r="P184" s="126"/>
      <c r="Q184" s="126"/>
      <c r="R184" s="126"/>
      <c r="S184" s="126"/>
      <c r="T184" s="126"/>
      <c r="U184" s="126"/>
      <c r="V184" s="126"/>
      <c r="W184" s="126"/>
      <c r="X184" s="126"/>
      <c r="Y184" s="126"/>
      <c r="Z184" s="1"/>
      <c r="AA184" s="1"/>
      <c r="AB184" s="1"/>
      <c r="AC184" s="1"/>
      <c r="AD184" s="1"/>
    </row>
    <row r="185" spans="2:30">
      <c r="B185" s="126"/>
      <c r="C185" s="126"/>
      <c r="D185" s="126"/>
      <c r="E185" s="126"/>
      <c r="F185" s="126"/>
      <c r="G185" s="126"/>
      <c r="H185" s="126"/>
      <c r="I185" s="126"/>
      <c r="J185" s="2"/>
      <c r="K185" s="126"/>
      <c r="L185" s="126"/>
      <c r="M185" s="126"/>
      <c r="N185" s="126"/>
      <c r="O185" s="126"/>
      <c r="P185" s="126"/>
      <c r="Q185" s="126"/>
      <c r="R185" s="126"/>
      <c r="S185" s="126"/>
      <c r="T185" s="126"/>
      <c r="U185" s="126"/>
      <c r="V185" s="126"/>
      <c r="W185" s="126"/>
      <c r="X185" s="126"/>
      <c r="Y185" s="126"/>
      <c r="Z185" s="1"/>
      <c r="AA185" s="1"/>
      <c r="AB185" s="1"/>
      <c r="AC185" s="1"/>
      <c r="AD185" s="1"/>
    </row>
    <row r="186" spans="2:30">
      <c r="B186" s="126"/>
      <c r="C186" s="126"/>
      <c r="D186" s="126"/>
      <c r="E186" s="126"/>
      <c r="F186" s="126"/>
      <c r="G186" s="126"/>
      <c r="H186" s="126"/>
      <c r="I186" s="126"/>
      <c r="J186" s="2"/>
      <c r="K186" s="126"/>
      <c r="L186" s="126"/>
      <c r="M186" s="126"/>
      <c r="N186" s="126"/>
      <c r="O186" s="126"/>
      <c r="P186" s="126"/>
      <c r="Q186" s="126"/>
      <c r="R186" s="126"/>
      <c r="S186" s="126"/>
      <c r="T186" s="126"/>
      <c r="U186" s="126"/>
      <c r="V186" s="126"/>
      <c r="W186" s="126"/>
      <c r="X186" s="126"/>
      <c r="Y186" s="126"/>
      <c r="Z186" s="1"/>
      <c r="AA186" s="1"/>
      <c r="AB186" s="1"/>
      <c r="AC186" s="1"/>
      <c r="AD186" s="1"/>
    </row>
    <row r="187" spans="2:30">
      <c r="B187" s="126"/>
      <c r="C187" s="126"/>
      <c r="D187" s="126"/>
      <c r="E187" s="126"/>
      <c r="F187" s="126"/>
      <c r="G187" s="126"/>
      <c r="H187" s="126"/>
      <c r="I187" s="126"/>
      <c r="J187" s="2"/>
      <c r="K187" s="126"/>
      <c r="L187" s="126"/>
      <c r="M187" s="126"/>
      <c r="N187" s="126"/>
      <c r="O187" s="126"/>
      <c r="P187" s="126"/>
      <c r="Q187" s="126"/>
      <c r="R187" s="126"/>
      <c r="S187" s="126"/>
      <c r="T187" s="126"/>
      <c r="U187" s="126"/>
      <c r="V187" s="126"/>
      <c r="W187" s="126"/>
      <c r="X187" s="126"/>
      <c r="Y187" s="126"/>
      <c r="Z187" s="1"/>
      <c r="AA187" s="1"/>
      <c r="AB187" s="1"/>
      <c r="AC187" s="1"/>
      <c r="AD187" s="1"/>
    </row>
    <row r="188" spans="2:30">
      <c r="B188" s="126"/>
      <c r="C188" s="126"/>
      <c r="D188" s="126"/>
      <c r="E188" s="126"/>
      <c r="F188" s="126"/>
      <c r="G188" s="126"/>
      <c r="H188" s="126"/>
      <c r="I188" s="126"/>
      <c r="J188" s="2"/>
      <c r="K188" s="126"/>
      <c r="L188" s="126"/>
      <c r="M188" s="126"/>
      <c r="N188" s="126"/>
      <c r="O188" s="126"/>
      <c r="P188" s="126"/>
      <c r="Q188" s="126"/>
      <c r="R188" s="126"/>
      <c r="S188" s="126"/>
      <c r="T188" s="126"/>
      <c r="U188" s="126"/>
      <c r="V188" s="126"/>
      <c r="W188" s="126"/>
      <c r="X188" s="126"/>
      <c r="Y188" s="126"/>
      <c r="Z188" s="1"/>
      <c r="AA188" s="1"/>
      <c r="AB188" s="1"/>
      <c r="AC188" s="1"/>
      <c r="AD188" s="1"/>
    </row>
    <row r="189" spans="2:30">
      <c r="B189" s="126"/>
      <c r="C189" s="126"/>
      <c r="D189" s="126"/>
      <c r="E189" s="126"/>
      <c r="F189" s="126"/>
      <c r="G189" s="126"/>
      <c r="H189" s="126"/>
      <c r="I189" s="126"/>
      <c r="J189" s="2"/>
      <c r="K189" s="126"/>
      <c r="L189" s="126"/>
      <c r="M189" s="126"/>
      <c r="N189" s="126"/>
      <c r="O189" s="126"/>
      <c r="P189" s="126"/>
      <c r="Q189" s="126"/>
      <c r="R189" s="126"/>
      <c r="S189" s="126"/>
      <c r="T189" s="126"/>
      <c r="U189" s="126"/>
      <c r="V189" s="126"/>
      <c r="W189" s="126"/>
      <c r="X189" s="126"/>
      <c r="Y189" s="126"/>
      <c r="Z189" s="1"/>
      <c r="AA189" s="1"/>
      <c r="AB189" s="1"/>
      <c r="AC189" s="1"/>
      <c r="AD189" s="1"/>
    </row>
    <row r="190" spans="2:30">
      <c r="B190" s="126"/>
      <c r="C190" s="126"/>
      <c r="D190" s="126"/>
      <c r="E190" s="126"/>
      <c r="F190" s="126"/>
      <c r="G190" s="126"/>
      <c r="H190" s="126"/>
      <c r="I190" s="126"/>
      <c r="J190" s="2"/>
      <c r="K190" s="126"/>
      <c r="L190" s="126"/>
      <c r="M190" s="126"/>
      <c r="N190" s="126"/>
      <c r="O190" s="126"/>
      <c r="P190" s="126"/>
      <c r="Q190" s="126"/>
      <c r="R190" s="126"/>
      <c r="S190" s="126"/>
      <c r="T190" s="126"/>
      <c r="U190" s="126"/>
      <c r="V190" s="126"/>
      <c r="W190" s="126"/>
      <c r="X190" s="126"/>
      <c r="Y190" s="126"/>
      <c r="Z190" s="1"/>
      <c r="AA190" s="1"/>
      <c r="AB190" s="1"/>
      <c r="AC190" s="1"/>
      <c r="AD190" s="1"/>
    </row>
    <row r="191" spans="2:30">
      <c r="B191" s="126"/>
      <c r="C191" s="126"/>
      <c r="D191" s="126"/>
      <c r="E191" s="126"/>
      <c r="F191" s="126"/>
      <c r="G191" s="126"/>
      <c r="H191" s="126"/>
      <c r="I191" s="126"/>
      <c r="J191" s="2"/>
      <c r="K191" s="126"/>
      <c r="L191" s="126"/>
      <c r="M191" s="126"/>
      <c r="N191" s="126"/>
      <c r="O191" s="126"/>
      <c r="P191" s="126"/>
      <c r="Q191" s="126"/>
      <c r="R191" s="126"/>
      <c r="S191" s="126"/>
      <c r="T191" s="126"/>
      <c r="U191" s="126"/>
      <c r="V191" s="126"/>
      <c r="W191" s="126"/>
      <c r="X191" s="126"/>
      <c r="Y191" s="126"/>
      <c r="Z191" s="1"/>
      <c r="AA191" s="1"/>
      <c r="AB191" s="1"/>
      <c r="AC191" s="1"/>
      <c r="AD191" s="1"/>
    </row>
    <row r="192" spans="2:30">
      <c r="B192" s="126"/>
      <c r="C192" s="126"/>
      <c r="D192" s="126"/>
      <c r="E192" s="126"/>
      <c r="F192" s="126"/>
      <c r="G192" s="126"/>
      <c r="H192" s="126"/>
      <c r="I192" s="126"/>
      <c r="J192" s="2"/>
      <c r="K192" s="126"/>
      <c r="L192" s="126"/>
      <c r="M192" s="126"/>
      <c r="N192" s="126"/>
      <c r="O192" s="126"/>
      <c r="P192" s="126"/>
      <c r="Q192" s="126"/>
      <c r="R192" s="126"/>
      <c r="S192" s="126"/>
      <c r="T192" s="126"/>
      <c r="U192" s="126"/>
      <c r="V192" s="126"/>
      <c r="W192" s="126"/>
      <c r="X192" s="126"/>
      <c r="Y192" s="126"/>
      <c r="Z192" s="1"/>
      <c r="AA192" s="1"/>
      <c r="AB192" s="1"/>
      <c r="AC192" s="1"/>
      <c r="AD192" s="1"/>
    </row>
    <row r="193" spans="2:30">
      <c r="B193" s="126"/>
      <c r="C193" s="126"/>
      <c r="D193" s="126"/>
      <c r="E193" s="126"/>
      <c r="F193" s="126"/>
      <c r="G193" s="126"/>
      <c r="H193" s="126"/>
      <c r="I193" s="126"/>
      <c r="J193" s="2"/>
      <c r="K193" s="126"/>
      <c r="L193" s="126"/>
      <c r="M193" s="126"/>
      <c r="N193" s="126"/>
      <c r="O193" s="126"/>
      <c r="P193" s="126"/>
      <c r="Q193" s="126"/>
      <c r="R193" s="126"/>
      <c r="S193" s="126"/>
      <c r="T193" s="126"/>
      <c r="U193" s="126"/>
      <c r="V193" s="126"/>
      <c r="W193" s="126"/>
      <c r="X193" s="126"/>
      <c r="Y193" s="126"/>
      <c r="Z193" s="1"/>
      <c r="AA193" s="1"/>
      <c r="AB193" s="1"/>
      <c r="AC193" s="1"/>
      <c r="AD193" s="1"/>
    </row>
    <row r="194" spans="2:30">
      <c r="B194" s="126"/>
      <c r="C194" s="126"/>
      <c r="D194" s="126"/>
      <c r="E194" s="126"/>
      <c r="F194" s="126"/>
      <c r="G194" s="126"/>
      <c r="H194" s="126"/>
      <c r="I194" s="126"/>
      <c r="J194" s="2"/>
      <c r="K194" s="126"/>
      <c r="L194" s="126"/>
      <c r="M194" s="126"/>
      <c r="N194" s="126"/>
      <c r="O194" s="126"/>
      <c r="P194" s="126"/>
      <c r="Q194" s="126"/>
      <c r="R194" s="126"/>
      <c r="S194" s="126"/>
      <c r="T194" s="126"/>
      <c r="U194" s="126"/>
      <c r="V194" s="126"/>
      <c r="W194" s="126"/>
      <c r="X194" s="126"/>
      <c r="Y194" s="126"/>
      <c r="Z194" s="1"/>
      <c r="AA194" s="1"/>
      <c r="AB194" s="1"/>
      <c r="AC194" s="1"/>
      <c r="AD194" s="1"/>
    </row>
    <row r="195" spans="2:30">
      <c r="B195" s="126"/>
      <c r="C195" s="126"/>
      <c r="D195" s="126"/>
      <c r="E195" s="126"/>
      <c r="F195" s="126"/>
      <c r="G195" s="126"/>
      <c r="H195" s="126"/>
      <c r="I195" s="126"/>
      <c r="J195" s="2"/>
      <c r="K195" s="126"/>
      <c r="L195" s="126"/>
      <c r="M195" s="126"/>
      <c r="N195" s="126"/>
      <c r="O195" s="126"/>
      <c r="P195" s="126"/>
      <c r="Q195" s="126"/>
      <c r="R195" s="126"/>
      <c r="S195" s="126"/>
      <c r="T195" s="126"/>
      <c r="U195" s="126"/>
      <c r="V195" s="126"/>
      <c r="W195" s="126"/>
      <c r="X195" s="126"/>
      <c r="Y195" s="126"/>
      <c r="Z195" s="1"/>
      <c r="AA195" s="1"/>
      <c r="AB195" s="1"/>
      <c r="AC195" s="1"/>
      <c r="AD195" s="1"/>
    </row>
    <row r="196" spans="2:30">
      <c r="B196" s="126"/>
      <c r="C196" s="126"/>
      <c r="D196" s="126"/>
      <c r="E196" s="126"/>
      <c r="F196" s="126"/>
      <c r="G196" s="126"/>
      <c r="H196" s="126"/>
      <c r="I196" s="126"/>
      <c r="J196" s="2"/>
      <c r="K196" s="126"/>
      <c r="L196" s="126"/>
      <c r="M196" s="126"/>
      <c r="N196" s="126"/>
      <c r="O196" s="126"/>
      <c r="P196" s="126"/>
      <c r="Q196" s="126"/>
      <c r="R196" s="126"/>
      <c r="S196" s="126"/>
      <c r="T196" s="126"/>
      <c r="U196" s="126"/>
      <c r="V196" s="126"/>
      <c r="W196" s="126"/>
      <c r="X196" s="126"/>
      <c r="Y196" s="126"/>
      <c r="Z196" s="1"/>
      <c r="AA196" s="1"/>
      <c r="AB196" s="1"/>
      <c r="AC196" s="1"/>
      <c r="AD196" s="1"/>
    </row>
    <row r="197" spans="2:30">
      <c r="B197" s="126"/>
      <c r="C197" s="126"/>
      <c r="D197" s="126"/>
      <c r="E197" s="126"/>
      <c r="F197" s="126"/>
      <c r="G197" s="126"/>
      <c r="H197" s="126"/>
      <c r="I197" s="126"/>
      <c r="J197" s="2"/>
      <c r="K197" s="126"/>
      <c r="L197" s="126"/>
      <c r="M197" s="126"/>
      <c r="N197" s="126"/>
      <c r="O197" s="126"/>
      <c r="P197" s="126"/>
      <c r="Q197" s="126"/>
      <c r="R197" s="126"/>
      <c r="S197" s="126"/>
      <c r="T197" s="126"/>
      <c r="U197" s="126"/>
      <c r="V197" s="126"/>
      <c r="W197" s="126"/>
      <c r="X197" s="126"/>
      <c r="Y197" s="126"/>
      <c r="Z197" s="1"/>
      <c r="AA197" s="1"/>
      <c r="AB197" s="1"/>
      <c r="AC197" s="1"/>
      <c r="AD197" s="1"/>
    </row>
    <row r="198" spans="2:30">
      <c r="B198" s="126"/>
      <c r="C198" s="126"/>
      <c r="D198" s="126"/>
      <c r="E198" s="126"/>
      <c r="F198" s="126"/>
      <c r="G198" s="126"/>
      <c r="H198" s="126"/>
      <c r="I198" s="126"/>
      <c r="J198" s="2"/>
      <c r="K198" s="126"/>
      <c r="L198" s="126"/>
      <c r="M198" s="126"/>
      <c r="N198" s="126"/>
      <c r="O198" s="126"/>
      <c r="P198" s="126"/>
      <c r="Q198" s="126"/>
      <c r="R198" s="126"/>
      <c r="S198" s="126"/>
      <c r="T198" s="126"/>
      <c r="U198" s="126"/>
      <c r="V198" s="126"/>
      <c r="W198" s="126"/>
      <c r="X198" s="126"/>
      <c r="Y198" s="126"/>
      <c r="Z198" s="1"/>
      <c r="AA198" s="1"/>
      <c r="AB198" s="1"/>
      <c r="AC198" s="1"/>
      <c r="AD198" s="1"/>
    </row>
    <row r="199" spans="2:30">
      <c r="B199" s="126"/>
      <c r="C199" s="126"/>
      <c r="D199" s="126"/>
      <c r="E199" s="126"/>
      <c r="F199" s="126"/>
      <c r="G199" s="126"/>
      <c r="H199" s="126"/>
      <c r="I199" s="126"/>
      <c r="J199" s="2"/>
      <c r="K199" s="126"/>
      <c r="L199" s="126"/>
      <c r="M199" s="126"/>
      <c r="N199" s="126"/>
      <c r="O199" s="126"/>
      <c r="P199" s="126"/>
      <c r="Q199" s="126"/>
      <c r="R199" s="126"/>
      <c r="S199" s="126"/>
      <c r="T199" s="126"/>
      <c r="U199" s="126"/>
      <c r="V199" s="126"/>
      <c r="W199" s="126"/>
      <c r="X199" s="126"/>
      <c r="Y199" s="126"/>
      <c r="Z199" s="1"/>
      <c r="AA199" s="1"/>
      <c r="AB199" s="1"/>
      <c r="AC199" s="1"/>
      <c r="AD199" s="1"/>
    </row>
    <row r="200" spans="2:30">
      <c r="B200" s="126"/>
      <c r="C200" s="126"/>
      <c r="D200" s="126"/>
      <c r="E200" s="126"/>
      <c r="F200" s="126"/>
      <c r="G200" s="126"/>
      <c r="H200" s="126"/>
      <c r="I200" s="126"/>
      <c r="J200" s="2"/>
      <c r="K200" s="126"/>
      <c r="L200" s="126"/>
      <c r="M200" s="126"/>
      <c r="N200" s="126"/>
      <c r="O200" s="126"/>
      <c r="P200" s="126"/>
      <c r="Q200" s="126"/>
      <c r="R200" s="126"/>
      <c r="S200" s="126"/>
      <c r="T200" s="126"/>
      <c r="U200" s="126"/>
      <c r="V200" s="126"/>
      <c r="W200" s="126"/>
      <c r="X200" s="126"/>
      <c r="Y200" s="126"/>
      <c r="Z200" s="1"/>
      <c r="AA200" s="1"/>
      <c r="AB200" s="1"/>
      <c r="AC200" s="1"/>
      <c r="AD200" s="1"/>
    </row>
    <row r="201" spans="2:30">
      <c r="B201" s="126"/>
      <c r="C201" s="126"/>
      <c r="D201" s="126"/>
      <c r="E201" s="126"/>
      <c r="F201" s="126"/>
      <c r="G201" s="126"/>
      <c r="H201" s="126"/>
      <c r="I201" s="126"/>
      <c r="J201" s="2"/>
      <c r="K201" s="126"/>
      <c r="L201" s="126"/>
      <c r="M201" s="126"/>
      <c r="N201" s="126"/>
      <c r="O201" s="126"/>
      <c r="P201" s="126"/>
      <c r="Q201" s="126"/>
      <c r="R201" s="126"/>
      <c r="S201" s="126"/>
      <c r="T201" s="126"/>
      <c r="U201" s="126"/>
      <c r="V201" s="126"/>
      <c r="W201" s="126"/>
      <c r="X201" s="126"/>
      <c r="Y201" s="126"/>
      <c r="Z201" s="1"/>
      <c r="AA201" s="1"/>
      <c r="AB201" s="1"/>
      <c r="AC201" s="1"/>
      <c r="AD201" s="1"/>
    </row>
    <row r="202" spans="2:30">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
      <c r="AA202" s="1"/>
      <c r="AB202" s="1"/>
      <c r="AC202" s="1"/>
      <c r="AD202" s="1"/>
    </row>
    <row r="203" spans="2:30">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
      <c r="AA203" s="1"/>
      <c r="AB203" s="1"/>
      <c r="AC203" s="1"/>
      <c r="AD203" s="1"/>
    </row>
    <row r="204" spans="2:30">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
      <c r="AA204" s="1"/>
      <c r="AB204" s="1"/>
      <c r="AC204" s="1"/>
      <c r="AD204" s="1"/>
    </row>
    <row r="205" spans="2:30">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
      <c r="AA205" s="1"/>
      <c r="AB205" s="1"/>
      <c r="AC205" s="1"/>
      <c r="AD205" s="1"/>
    </row>
    <row r="206" spans="2:30">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
      <c r="AA206" s="1"/>
      <c r="AB206" s="1"/>
      <c r="AC206" s="1"/>
      <c r="AD206" s="1"/>
    </row>
    <row r="207" spans="2:30">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
      <c r="AA207" s="1"/>
      <c r="AB207" s="1"/>
      <c r="AC207" s="1"/>
      <c r="AD207" s="1"/>
    </row>
    <row r="208" spans="2:30">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
      <c r="AA208" s="1"/>
      <c r="AB208" s="1"/>
      <c r="AC208" s="1"/>
      <c r="AD208" s="1"/>
    </row>
    <row r="209" spans="2:30">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
      <c r="AA209" s="1"/>
      <c r="AB209" s="1"/>
      <c r="AC209" s="1"/>
      <c r="AD209" s="1"/>
    </row>
    <row r="210" spans="2:30">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
      <c r="AA210" s="1"/>
      <c r="AB210" s="1"/>
      <c r="AC210" s="1"/>
      <c r="AD210" s="1"/>
    </row>
    <row r="211" spans="2:30">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
      <c r="AA211" s="1"/>
      <c r="AB211" s="1"/>
      <c r="AC211" s="1"/>
      <c r="AD211" s="1"/>
    </row>
    <row r="212" spans="2:30">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
      <c r="AA212" s="1"/>
      <c r="AB212" s="1"/>
      <c r="AC212" s="1"/>
      <c r="AD212" s="1"/>
    </row>
    <row r="213" spans="2:30">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
      <c r="AA213" s="1"/>
      <c r="AB213" s="1"/>
      <c r="AC213" s="1"/>
      <c r="AD213" s="1"/>
    </row>
    <row r="214" spans="2:30">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
      <c r="AA214" s="1"/>
      <c r="AB214" s="1"/>
      <c r="AC214" s="1"/>
      <c r="AD214" s="1"/>
    </row>
    <row r="215" spans="2:30">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
      <c r="AA215" s="1"/>
      <c r="AB215" s="1"/>
      <c r="AC215" s="1"/>
      <c r="AD215" s="1"/>
    </row>
    <row r="216" spans="2:30">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
      <c r="AA216" s="1"/>
      <c r="AB216" s="1"/>
      <c r="AC216" s="1"/>
      <c r="AD216" s="1"/>
    </row>
    <row r="217" spans="2:30">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
      <c r="AA217" s="1"/>
      <c r="AB217" s="1"/>
      <c r="AC217" s="1"/>
      <c r="AD217" s="1"/>
    </row>
    <row r="218" spans="2:30">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
      <c r="AA218" s="1"/>
      <c r="AB218" s="1"/>
      <c r="AC218" s="1"/>
      <c r="AD218" s="1"/>
    </row>
    <row r="219" spans="2:30">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
      <c r="AA219" s="1"/>
      <c r="AB219" s="1"/>
      <c r="AC219" s="1"/>
      <c r="AD219" s="1"/>
    </row>
    <row r="220" spans="2:30">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
      <c r="AA220" s="1"/>
      <c r="AB220" s="1"/>
      <c r="AC220" s="1"/>
      <c r="AD220" s="1"/>
    </row>
    <row r="221" spans="2:30">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
      <c r="AA221" s="1"/>
      <c r="AB221" s="1"/>
      <c r="AC221" s="1"/>
      <c r="AD221" s="1"/>
    </row>
    <row r="222" spans="2:30">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
      <c r="AA222" s="1"/>
      <c r="AB222" s="1"/>
      <c r="AC222" s="1"/>
      <c r="AD222" s="1"/>
    </row>
    <row r="223" spans="2:30">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
      <c r="AA223" s="1"/>
      <c r="AB223" s="1"/>
      <c r="AC223" s="1"/>
      <c r="AD223" s="1"/>
    </row>
    <row r="224" spans="2:30">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
      <c r="AA224" s="1"/>
      <c r="AB224" s="1"/>
      <c r="AC224" s="1"/>
      <c r="AD224" s="1"/>
    </row>
    <row r="225" spans="2:30">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
      <c r="AA225" s="1"/>
      <c r="AB225" s="1"/>
      <c r="AC225" s="1"/>
      <c r="AD225" s="1"/>
    </row>
    <row r="226" spans="2:30">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
      <c r="AA226" s="1"/>
      <c r="AB226" s="1"/>
      <c r="AC226" s="1"/>
      <c r="AD226" s="1"/>
    </row>
    <row r="227" spans="2:30">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
      <c r="AA227" s="1"/>
      <c r="AB227" s="1"/>
      <c r="AC227" s="1"/>
      <c r="AD227" s="1"/>
    </row>
    <row r="228" spans="2:30">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
      <c r="AA228" s="1"/>
      <c r="AB228" s="1"/>
      <c r="AC228" s="1"/>
      <c r="AD228" s="1"/>
    </row>
    <row r="229" spans="2:30">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
      <c r="AA229" s="1"/>
      <c r="AB229" s="1"/>
      <c r="AC229" s="1"/>
      <c r="AD229" s="1"/>
    </row>
    <row r="230" spans="2:30">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
      <c r="AA230" s="1"/>
      <c r="AB230" s="1"/>
      <c r="AC230" s="1"/>
      <c r="AD230" s="1"/>
    </row>
    <row r="231" spans="2:30">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
      <c r="AA231" s="1"/>
      <c r="AB231" s="1"/>
      <c r="AC231" s="1"/>
      <c r="AD231" s="1"/>
    </row>
    <row r="232" spans="2:30">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
      <c r="AA232" s="1"/>
      <c r="AB232" s="1"/>
      <c r="AC232" s="1"/>
      <c r="AD232" s="1"/>
    </row>
    <row r="233" spans="2:30">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
      <c r="AA233" s="1"/>
      <c r="AB233" s="1"/>
      <c r="AC233" s="1"/>
      <c r="AD233" s="1"/>
    </row>
    <row r="234" spans="2:30">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
      <c r="AA234" s="1"/>
      <c r="AB234" s="1"/>
      <c r="AC234" s="1"/>
      <c r="AD234" s="1"/>
    </row>
    <row r="235" spans="2:30">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
      <c r="AA235" s="1"/>
      <c r="AB235" s="1"/>
      <c r="AC235" s="1"/>
      <c r="AD235" s="1"/>
    </row>
    <row r="236" spans="2:30">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
      <c r="AA236" s="1"/>
      <c r="AB236" s="1"/>
      <c r="AC236" s="1"/>
      <c r="AD236" s="1"/>
    </row>
    <row r="237" spans="2:30">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
      <c r="AA237" s="1"/>
      <c r="AB237" s="1"/>
      <c r="AC237" s="1"/>
      <c r="AD237" s="1"/>
    </row>
    <row r="238" spans="2:30">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
      <c r="AA238" s="1"/>
      <c r="AB238" s="1"/>
      <c r="AC238" s="1"/>
      <c r="AD238" s="1"/>
    </row>
    <row r="239" spans="2:30">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
      <c r="AA239" s="1"/>
      <c r="AB239" s="1"/>
      <c r="AC239" s="1"/>
      <c r="AD239" s="1"/>
    </row>
    <row r="240" spans="2:30">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
      <c r="AA240" s="1"/>
      <c r="AB240" s="1"/>
      <c r="AC240" s="1"/>
      <c r="AD240" s="1"/>
    </row>
    <row r="241" spans="2:30">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
      <c r="AA241" s="1"/>
      <c r="AB241" s="1"/>
      <c r="AC241" s="1"/>
      <c r="AD241" s="1"/>
    </row>
    <row r="242" spans="2:30">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
      <c r="AA242" s="1"/>
      <c r="AB242" s="1"/>
      <c r="AC242" s="1"/>
      <c r="AD242" s="1"/>
    </row>
    <row r="243" spans="2:30">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
      <c r="AA243" s="1"/>
      <c r="AB243" s="1"/>
      <c r="AC243" s="1"/>
      <c r="AD243" s="1"/>
    </row>
    <row r="244" spans="2:30">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
      <c r="AA244" s="1"/>
      <c r="AB244" s="1"/>
      <c r="AC244" s="1"/>
      <c r="AD244" s="1"/>
    </row>
    <row r="245" spans="2:30">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
      <c r="AA245" s="1"/>
      <c r="AB245" s="1"/>
      <c r="AC245" s="1"/>
      <c r="AD245" s="1"/>
    </row>
    <row r="246" spans="2:30">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
      <c r="AA246" s="1"/>
      <c r="AB246" s="1"/>
      <c r="AC246" s="1"/>
      <c r="AD246" s="1"/>
    </row>
    <row r="247" spans="2:30">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
      <c r="AA247" s="1"/>
      <c r="AB247" s="1"/>
      <c r="AC247" s="1"/>
      <c r="AD247" s="1"/>
    </row>
    <row r="248" spans="2:30">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
      <c r="AA248" s="1"/>
      <c r="AB248" s="1"/>
      <c r="AC248" s="1"/>
      <c r="AD248" s="1"/>
    </row>
    <row r="249" spans="2:30">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
      <c r="AA249" s="1"/>
      <c r="AB249" s="1"/>
      <c r="AC249" s="1"/>
      <c r="AD249" s="1"/>
    </row>
    <row r="250" spans="2:30">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
      <c r="AA250" s="1"/>
      <c r="AB250" s="1"/>
      <c r="AC250" s="1"/>
      <c r="AD250" s="1"/>
    </row>
    <row r="251" spans="2:30">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
      <c r="AA251" s="1"/>
      <c r="AB251" s="1"/>
      <c r="AC251" s="1"/>
      <c r="AD251" s="1"/>
    </row>
    <row r="252" spans="2:30">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
      <c r="AA252" s="1"/>
      <c r="AB252" s="1"/>
      <c r="AC252" s="1"/>
      <c r="AD252" s="1"/>
    </row>
    <row r="253" spans="2:30">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
      <c r="AA253" s="1"/>
      <c r="AB253" s="1"/>
      <c r="AC253" s="1"/>
      <c r="AD253" s="1"/>
    </row>
    <row r="254" spans="2:30">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
      <c r="AA254" s="1"/>
      <c r="AB254" s="1"/>
      <c r="AC254" s="1"/>
      <c r="AD254" s="1"/>
    </row>
    <row r="255" spans="2:30">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
      <c r="AA255" s="1"/>
      <c r="AB255" s="1"/>
      <c r="AC255" s="1"/>
      <c r="AD255" s="1"/>
    </row>
    <row r="256" spans="2:30">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
      <c r="AA256" s="1"/>
      <c r="AB256" s="1"/>
      <c r="AC256" s="1"/>
      <c r="AD256" s="1"/>
    </row>
    <row r="257" spans="2:30">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
      <c r="AA257" s="1"/>
      <c r="AB257" s="1"/>
      <c r="AC257" s="1"/>
      <c r="AD257" s="1"/>
    </row>
    <row r="258" spans="2:30">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
      <c r="AA258" s="1"/>
      <c r="AB258" s="1"/>
      <c r="AC258" s="1"/>
      <c r="AD258" s="1"/>
    </row>
    <row r="259" spans="2:30">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
      <c r="AA259" s="1"/>
      <c r="AB259" s="1"/>
      <c r="AC259" s="1"/>
      <c r="AD259" s="1"/>
    </row>
    <row r="260" spans="2:30">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
      <c r="AA260" s="1"/>
      <c r="AB260" s="1"/>
      <c r="AC260" s="1"/>
      <c r="AD260" s="1"/>
    </row>
    <row r="261" spans="2:30">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
      <c r="AA261" s="1"/>
      <c r="AB261" s="1"/>
      <c r="AC261" s="1"/>
      <c r="AD261" s="1"/>
    </row>
    <row r="262" spans="2:30">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
      <c r="AA262" s="1"/>
      <c r="AB262" s="1"/>
      <c r="AC262" s="1"/>
      <c r="AD262" s="1"/>
    </row>
    <row r="263" spans="2:30">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
      <c r="AA263" s="1"/>
      <c r="AB263" s="1"/>
      <c r="AC263" s="1"/>
      <c r="AD263" s="1"/>
    </row>
    <row r="264" spans="2:30">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
      <c r="AA264" s="1"/>
      <c r="AB264" s="1"/>
      <c r="AC264" s="1"/>
      <c r="AD264" s="1"/>
    </row>
    <row r="265" spans="2:30">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
      <c r="AA265" s="1"/>
      <c r="AB265" s="1"/>
      <c r="AC265" s="1"/>
      <c r="AD265" s="1"/>
    </row>
    <row r="266" spans="2:30">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
      <c r="AA266" s="1"/>
      <c r="AB266" s="1"/>
      <c r="AC266" s="1"/>
      <c r="AD266" s="1"/>
    </row>
    <row r="267" spans="2:30">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
      <c r="AA267" s="1"/>
      <c r="AB267" s="1"/>
      <c r="AC267" s="1"/>
      <c r="AD267" s="1"/>
    </row>
    <row r="268" spans="2:30">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
      <c r="AA268" s="1"/>
      <c r="AB268" s="1"/>
      <c r="AC268" s="1"/>
      <c r="AD268" s="1"/>
    </row>
    <row r="269" spans="2:30">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
      <c r="AA269" s="1"/>
      <c r="AB269" s="1"/>
      <c r="AC269" s="1"/>
      <c r="AD269" s="1"/>
    </row>
    <row r="270" spans="2:30">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
      <c r="AA270" s="1"/>
      <c r="AB270" s="1"/>
      <c r="AC270" s="1"/>
      <c r="AD270" s="1"/>
    </row>
    <row r="271" spans="2:30">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
      <c r="AA271" s="1"/>
      <c r="AB271" s="1"/>
      <c r="AC271" s="1"/>
      <c r="AD271" s="1"/>
    </row>
    <row r="272" spans="2:30">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
      <c r="AA272" s="1"/>
      <c r="AB272" s="1"/>
      <c r="AC272" s="1"/>
      <c r="AD272" s="1"/>
    </row>
    <row r="273" spans="2:30">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
      <c r="AA273" s="1"/>
      <c r="AB273" s="1"/>
      <c r="AC273" s="1"/>
      <c r="AD273" s="1"/>
    </row>
    <row r="274" spans="2:30">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
      <c r="AA274" s="1"/>
      <c r="AB274" s="1"/>
      <c r="AC274" s="1"/>
      <c r="AD274" s="1"/>
    </row>
    <row r="275" spans="2:30">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
      <c r="AA275" s="1"/>
      <c r="AB275" s="1"/>
      <c r="AC275" s="1"/>
      <c r="AD275" s="1"/>
    </row>
    <row r="276" spans="2:30">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
      <c r="AA276" s="1"/>
      <c r="AB276" s="1"/>
      <c r="AC276" s="1"/>
      <c r="AD276" s="1"/>
    </row>
    <row r="277" spans="2:30">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
      <c r="AA277" s="1"/>
      <c r="AB277" s="1"/>
      <c r="AC277" s="1"/>
      <c r="AD277" s="1"/>
    </row>
    <row r="278" spans="2:30">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
      <c r="AA278" s="1"/>
      <c r="AB278" s="1"/>
      <c r="AC278" s="1"/>
      <c r="AD278" s="1"/>
    </row>
    <row r="279" spans="2:30">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
      <c r="AA279" s="1"/>
      <c r="AB279" s="1"/>
      <c r="AC279" s="1"/>
      <c r="AD279" s="1"/>
    </row>
    <row r="280" spans="2:30">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row>
    <row r="281" spans="2:30">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row>
    <row r="282" spans="2:30">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row>
    <row r="283" spans="2:30">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row>
    <row r="284" spans="2:30">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row>
    <row r="285" spans="2:30">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row>
    <row r="286" spans="2:30">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row>
    <row r="287" spans="2:30">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row>
    <row r="288" spans="2:30">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row>
    <row r="289" spans="2:25">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row>
    <row r="290" spans="2:25">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row>
    <row r="291" spans="2:25">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row>
    <row r="292" spans="2:25">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row>
    <row r="293" spans="2:25">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row>
    <row r="294" spans="2:25">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row>
    <row r="295" spans="2:25">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row>
    <row r="296" spans="2:25">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row>
    <row r="297" spans="2:25">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row>
    <row r="298" spans="2:25">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row>
    <row r="299" spans="2:25">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row>
    <row r="300" spans="2:25">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row>
    <row r="301" spans="2:25">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row>
    <row r="302" spans="2:25">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row>
    <row r="303" spans="2:25">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row>
    <row r="304" spans="2:25">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row>
    <row r="305" spans="2:25">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row>
    <row r="306" spans="2:25">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row>
    <row r="307" spans="2:25">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row>
    <row r="308" spans="2:25">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row>
    <row r="309" spans="2:25">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row>
    <row r="310" spans="2:25">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row>
    <row r="311" spans="2:25">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row>
    <row r="312" spans="2:25">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row>
    <row r="313" spans="2:25">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row>
    <row r="314" spans="2:25">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row>
    <row r="315" spans="2:25">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row>
    <row r="316" spans="2:25">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row>
    <row r="317" spans="2:25">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row>
    <row r="318" spans="2:25">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row>
    <row r="319" spans="2:25">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row>
    <row r="320" spans="2:25">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row>
    <row r="321" spans="2:25">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row>
    <row r="322" spans="2:25">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row>
    <row r="323" spans="2:25">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row>
    <row r="324" spans="2:25">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row>
    <row r="325" spans="2:25">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row>
    <row r="326" spans="2:25">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row>
    <row r="327" spans="2:25">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row>
    <row r="328" spans="2:25">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row>
    <row r="329" spans="2:25">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row>
    <row r="330" spans="2:25">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row>
    <row r="331" spans="2:25">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row>
    <row r="332" spans="2:25">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row>
    <row r="333" spans="2:25">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row>
    <row r="334" spans="2:25">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row>
    <row r="335" spans="2:25">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row>
    <row r="336" spans="2:25">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row>
    <row r="337" spans="2:25">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row>
    <row r="338" spans="2:25">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row>
    <row r="339" spans="2:25">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row>
    <row r="340" spans="2:25">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row>
    <row r="341" spans="2:25">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row>
    <row r="342" spans="2:25">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row>
    <row r="343" spans="2:25">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row>
    <row r="344" spans="2:25">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row>
    <row r="345" spans="2:25">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row>
    <row r="346" spans="2:25">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row>
    <row r="347" spans="2:25">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row>
    <row r="348" spans="2:25">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row>
    <row r="349" spans="2:25">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row>
    <row r="350" spans="2:25">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row>
    <row r="351" spans="2:25">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row>
    <row r="352" spans="2:25">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row>
    <row r="353" spans="2:25">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row>
    <row r="354" spans="2:25">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row>
    <row r="355" spans="2:25">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row>
    <row r="356" spans="2:25">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row>
    <row r="357" spans="2:25">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row>
    <row r="358" spans="2:25">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row>
    <row r="359" spans="2:25">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row>
    <row r="360" spans="2:25">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row>
    <row r="361" spans="2:25">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row>
    <row r="362" spans="2:25">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row>
    <row r="363" spans="2:25">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row>
    <row r="364" spans="2:25">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row>
    <row r="365" spans="2:25">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row>
    <row r="366" spans="2:25">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row>
    <row r="367" spans="2:25">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row>
    <row r="368" spans="2:25">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row>
    <row r="369" spans="2:25">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row>
    <row r="370" spans="2:25">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row>
    <row r="371" spans="2:25">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row>
    <row r="372" spans="2:25">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row>
    <row r="373" spans="2:25">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row>
    <row r="374" spans="2:25">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row>
    <row r="375" spans="2:25">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row>
    <row r="376" spans="2:25">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row>
    <row r="377" spans="2:25">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row>
    <row r="378" spans="2:25">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row>
    <row r="379" spans="2:25">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row>
    <row r="380" spans="2:25">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row>
    <row r="381" spans="2:25">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row>
    <row r="382" spans="2:25">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row>
    <row r="383" spans="2:25">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row>
    <row r="384" spans="2:25">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row>
    <row r="385" spans="2:25">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row>
    <row r="386" spans="2:25">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row>
    <row r="387" spans="2:25">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row>
    <row r="388" spans="2:25">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row>
    <row r="389" spans="2:25">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row>
    <row r="390" spans="2:25">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row>
    <row r="391" spans="2:25">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row>
    <row r="392" spans="2:25">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row>
    <row r="393" spans="2:25">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row>
    <row r="394" spans="2:25">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row>
    <row r="395" spans="2:25">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row>
    <row r="396" spans="2:25">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row>
    <row r="397" spans="2:25">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row>
    <row r="398" spans="2:25">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row>
    <row r="399" spans="2:25">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row>
    <row r="400" spans="2:25">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row>
    <row r="401" spans="2:25">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row>
    <row r="402" spans="2:25">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row>
    <row r="403" spans="2:25">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row>
    <row r="404" spans="2:25">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row>
    <row r="405" spans="2:25">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row>
    <row r="406" spans="2:25">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row>
    <row r="407" spans="2:25">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row>
    <row r="408" spans="2:25">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row>
    <row r="409" spans="2:25">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row>
    <row r="410" spans="2:25">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row>
    <row r="411" spans="2:25">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row>
    <row r="412" spans="2:25">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row>
    <row r="413" spans="2:25">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row>
    <row r="414" spans="2:25">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row>
    <row r="415" spans="2:25">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row>
    <row r="416" spans="2:25">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row>
    <row r="417" spans="2:25">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row>
    <row r="418" spans="2:25">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row>
    <row r="419" spans="2:25">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row>
    <row r="420" spans="2:25">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2:25">
      <c r="B421" s="1"/>
      <c r="C421" s="1"/>
      <c r="D421" s="1"/>
      <c r="E421" s="1"/>
      <c r="F421" s="1"/>
      <c r="G421" s="1"/>
      <c r="H421" s="1"/>
      <c r="I421" s="1"/>
      <c r="J421" s="1"/>
      <c r="K421" s="1"/>
      <c r="L421" s="1"/>
      <c r="M421" s="1"/>
      <c r="N421" s="1"/>
      <c r="O421" s="1"/>
      <c r="P421" s="1"/>
      <c r="Q421" s="1"/>
      <c r="R421" s="1"/>
      <c r="S421" s="1"/>
      <c r="T421" s="1"/>
      <c r="U421" s="1"/>
      <c r="V421" s="1"/>
      <c r="W421" s="1"/>
      <c r="X421" s="1"/>
      <c r="Y421" s="1"/>
    </row>
  </sheetData>
  <mergeCells count="6">
    <mergeCell ref="E90:I90"/>
    <mergeCell ref="J90:N90"/>
    <mergeCell ref="E6:H6"/>
    <mergeCell ref="B10:M11"/>
    <mergeCell ref="F27:I27"/>
    <mergeCell ref="J27:N27"/>
  </mergeCells>
  <phoneticPr fontId="59" type="noConversion"/>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Financial statements</vt:lpstr>
      <vt:lpstr>Income Statement</vt:lpstr>
      <vt:lpstr>Reorganised Statements</vt:lpstr>
      <vt:lpstr>Cash flows</vt:lpstr>
      <vt:lpstr>Trailing 12-months</vt:lpstr>
      <vt:lpstr>Ratios </vt:lpstr>
      <vt:lpstr>Consob Reorg </vt:lpstr>
      <vt:lpstr>WACC</vt:lpstr>
      <vt:lpstr>Forecasts Gianmarco </vt:lpstr>
      <vt:lpstr>Forecasts Simone</vt:lpstr>
      <vt:lpstr>DCF Valuation Simone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Gianmarco</dc:creator>
  <cp:lastModifiedBy>simone.luca.lucchesi@gmail.com</cp:lastModifiedBy>
  <dcterms:created xsi:type="dcterms:W3CDTF">2015-06-05T18:19:34Z</dcterms:created>
  <dcterms:modified xsi:type="dcterms:W3CDTF">2020-06-25T16:29:54Z</dcterms:modified>
</cp:coreProperties>
</file>