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Gianmarco\Desktop\Corporate-project-\Project\Work in progress\"/>
    </mc:Choice>
  </mc:AlternateContent>
  <xr:revisionPtr revIDLastSave="0" documentId="13_ncr:1_{A1E96C35-9F8B-466D-A73A-75AED676527F}" xr6:coauthVersionLast="44" xr6:coauthVersionMax="45" xr10:uidLastSave="{00000000-0000-0000-0000-000000000000}"/>
  <bookViews>
    <workbookView minimized="1" xWindow="2340" yWindow="2340" windowWidth="15375" windowHeight="7875" firstSheet="2" activeTab="4" xr2:uid="{00000000-000D-0000-FFFF-FFFF00000000}"/>
  </bookViews>
  <sheets>
    <sheet name="Balance sheet" sheetId="1" r:id="rId1"/>
    <sheet name="Income Statement" sheetId="3" r:id="rId2"/>
    <sheet name="Reorganised Statements" sheetId="2" r:id="rId3"/>
    <sheet name="Cash flows" sheetId="8" r:id="rId4"/>
    <sheet name="Forecasts Gianma " sheetId="11" r:id="rId5"/>
    <sheet name="Ratio " sheetId="13" r:id="rId6"/>
    <sheet name="Consob Reorg " sheetId="12" r:id="rId7"/>
    <sheet name="Trailing 12-months" sheetId="5" r:id="rId8"/>
    <sheet name="WACC " sheetId="7" r:id="rId9"/>
    <sheet name="Forecasts Simo " sheetId="9"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2" i="11" l="1"/>
  <c r="E53" i="11"/>
  <c r="E51" i="11"/>
  <c r="J46" i="11"/>
  <c r="N45" i="11"/>
  <c r="M45" i="11"/>
  <c r="L45" i="11"/>
  <c r="K45" i="11"/>
  <c r="K42" i="11"/>
  <c r="L42" i="11" s="1"/>
  <c r="M42" i="11" s="1"/>
  <c r="N42" i="11" s="1"/>
  <c r="J42" i="11"/>
  <c r="K40" i="11"/>
  <c r="L40" i="11" s="1"/>
  <c r="M40" i="11" s="1"/>
  <c r="N40" i="11" s="1"/>
  <c r="J40" i="11"/>
  <c r="K38" i="11"/>
  <c r="L38" i="11" s="1"/>
  <c r="M38" i="11" s="1"/>
  <c r="N38" i="11" s="1"/>
  <c r="J38" i="11"/>
  <c r="K36" i="11"/>
  <c r="L36" i="11"/>
  <c r="M36" i="11"/>
  <c r="N36" i="11"/>
  <c r="J36" i="11"/>
  <c r="K34" i="11"/>
  <c r="L34" i="11"/>
  <c r="M34" i="11" s="1"/>
  <c r="N34" i="11" s="1"/>
  <c r="J34" i="11"/>
  <c r="G23" i="11"/>
  <c r="G22" i="11"/>
  <c r="G21" i="11"/>
  <c r="G20" i="11"/>
  <c r="F19" i="11"/>
  <c r="H41" i="11"/>
  <c r="G39" i="11"/>
  <c r="I37" i="11"/>
  <c r="H37" i="11"/>
  <c r="C13" i="11"/>
  <c r="F13" i="11"/>
  <c r="H43" i="11"/>
  <c r="I43" i="11"/>
  <c r="G43" i="11"/>
  <c r="I41" i="11"/>
  <c r="G41" i="11"/>
  <c r="H39" i="11"/>
  <c r="I39" i="11"/>
  <c r="J28" i="11"/>
  <c r="J29" i="11"/>
  <c r="G37" i="11"/>
  <c r="H35" i="11"/>
  <c r="I35" i="11"/>
  <c r="G35" i="11"/>
  <c r="I18" i="11"/>
  <c r="J27" i="11" s="1"/>
  <c r="J30" i="11" s="1"/>
  <c r="J31" i="11" s="1"/>
  <c r="F31" i="11"/>
  <c r="G31" i="11"/>
  <c r="H31" i="11"/>
  <c r="F30" i="11"/>
  <c r="F33" i="11" s="1"/>
  <c r="G30" i="11"/>
  <c r="H30" i="11"/>
  <c r="I30" i="11"/>
  <c r="I44" i="11" s="1"/>
  <c r="I31" i="11"/>
  <c r="J10" i="11"/>
  <c r="H44" i="11" l="1"/>
  <c r="G44" i="11"/>
  <c r="F44" i="11"/>
  <c r="F32" i="11"/>
  <c r="K17" i="11" s="1"/>
  <c r="H32" i="11"/>
  <c r="G32" i="11"/>
  <c r="I32" i="11"/>
  <c r="I33" i="11"/>
  <c r="H33" i="11"/>
  <c r="G33" i="11"/>
  <c r="K27" i="11"/>
  <c r="K30" i="11" s="1"/>
  <c r="K31" i="11" s="1"/>
  <c r="H16" i="11" l="1"/>
  <c r="L27" i="11"/>
  <c r="L30" i="11" s="1"/>
  <c r="L31" i="11" s="1"/>
  <c r="M27" i="11" l="1"/>
  <c r="M30" i="11" s="1"/>
  <c r="M31" i="11" s="1"/>
  <c r="F39" i="13"/>
  <c r="I4" i="8"/>
  <c r="G39" i="13"/>
  <c r="H39" i="13"/>
  <c r="E39" i="13"/>
  <c r="N27" i="11" l="1"/>
  <c r="N30" i="11" s="1"/>
  <c r="N31" i="11" s="1"/>
  <c r="J44" i="11"/>
  <c r="C15" i="11"/>
  <c r="J39" i="13"/>
  <c r="H37" i="13"/>
  <c r="G37" i="13"/>
  <c r="F37" i="13"/>
  <c r="E37" i="13"/>
  <c r="D37" i="13"/>
  <c r="H35" i="13"/>
  <c r="G35" i="13"/>
  <c r="F35" i="13"/>
  <c r="E35" i="13"/>
  <c r="D35" i="13"/>
  <c r="H34" i="13"/>
  <c r="G34" i="13"/>
  <c r="F34" i="13"/>
  <c r="E34" i="13"/>
  <c r="D34" i="13"/>
  <c r="H30" i="13"/>
  <c r="G30" i="13"/>
  <c r="F30" i="13"/>
  <c r="E30" i="13"/>
  <c r="D30" i="13"/>
  <c r="H26" i="13"/>
  <c r="G26" i="13"/>
  <c r="F26" i="13"/>
  <c r="E26" i="13"/>
  <c r="D26" i="13"/>
  <c r="H25" i="13"/>
  <c r="G25" i="13"/>
  <c r="F25" i="13"/>
  <c r="E25" i="13"/>
  <c r="D25" i="13"/>
  <c r="H23" i="13"/>
  <c r="G23" i="13"/>
  <c r="F23" i="13"/>
  <c r="E23" i="13"/>
  <c r="D23" i="13"/>
  <c r="H22" i="13"/>
  <c r="G22" i="13"/>
  <c r="F22" i="13"/>
  <c r="E22" i="13"/>
  <c r="D22" i="13"/>
  <c r="H19" i="13"/>
  <c r="G19" i="13"/>
  <c r="F19" i="13"/>
  <c r="E19" i="13"/>
  <c r="D19" i="13"/>
  <c r="H17" i="13"/>
  <c r="G17" i="13"/>
  <c r="F17" i="13"/>
  <c r="E17" i="13"/>
  <c r="D17" i="13"/>
  <c r="H13" i="13"/>
  <c r="G13" i="13"/>
  <c r="F13" i="13"/>
  <c r="E13" i="13"/>
  <c r="D13" i="13"/>
  <c r="H11" i="13"/>
  <c r="G11" i="13"/>
  <c r="F11" i="13"/>
  <c r="E11" i="13"/>
  <c r="D11" i="13"/>
  <c r="H9" i="13"/>
  <c r="H15" i="13" s="1"/>
  <c r="G9" i="13"/>
  <c r="G15" i="13" s="1"/>
  <c r="F9" i="13"/>
  <c r="E9" i="13"/>
  <c r="E15" i="13" s="1"/>
  <c r="D9" i="13"/>
  <c r="D15" i="13" s="1"/>
  <c r="H7" i="13"/>
  <c r="G7" i="13"/>
  <c r="F7" i="13"/>
  <c r="E7" i="13"/>
  <c r="D7" i="13"/>
  <c r="H5" i="13"/>
  <c r="G5" i="13"/>
  <c r="F5" i="13"/>
  <c r="E5" i="13"/>
  <c r="D5" i="13"/>
  <c r="L39" i="13" l="1"/>
  <c r="E11" i="11"/>
  <c r="F15" i="13"/>
  <c r="M17" i="9"/>
  <c r="V11" i="9"/>
  <c r="T11" i="9"/>
  <c r="R11" i="9"/>
  <c r="P11" i="9"/>
  <c r="N11" i="9"/>
  <c r="AB10" i="9"/>
  <c r="Z10" i="9"/>
  <c r="X10" i="9"/>
  <c r="V10" i="9"/>
  <c r="T10" i="9"/>
  <c r="R10" i="9"/>
  <c r="P10" i="9"/>
  <c r="N10" i="9"/>
  <c r="H25" i="9"/>
  <c r="H22" i="7"/>
  <c r="G22" i="7"/>
  <c r="F47" i="7"/>
  <c r="K28" i="11" l="1"/>
  <c r="L28" i="11" s="1"/>
  <c r="M28" i="11" s="1"/>
  <c r="N28" i="11" s="1"/>
  <c r="K29" i="11"/>
  <c r="K44" i="11" s="1"/>
  <c r="K46" i="11" s="1"/>
  <c r="H20" i="9"/>
  <c r="L29" i="11" l="1"/>
  <c r="L44" i="11" s="1"/>
  <c r="L46" i="11" s="1"/>
  <c r="M29" i="11"/>
  <c r="M44" i="11" s="1"/>
  <c r="M46" i="11" s="1"/>
  <c r="P8" i="9"/>
  <c r="R8" i="9" s="1"/>
  <c r="T8" i="9" s="1"/>
  <c r="V8" i="9" s="1"/>
  <c r="D6" i="9"/>
  <c r="H7" i="7"/>
  <c r="H6" i="7"/>
  <c r="F11" i="9"/>
  <c r="D11" i="9"/>
  <c r="N29" i="11" l="1"/>
  <c r="F55" i="7"/>
  <c r="D55" i="7"/>
  <c r="B55" i="7"/>
  <c r="N44" i="11" l="1"/>
  <c r="N46" i="11" s="1"/>
  <c r="D48" i="11"/>
  <c r="G48" i="11" s="1"/>
  <c r="E50" i="11" s="1"/>
  <c r="E54" i="11" s="1"/>
  <c r="E55" i="11" s="1"/>
  <c r="O8" i="9"/>
  <c r="M8" i="9"/>
  <c r="E8" i="9"/>
  <c r="G8" i="9"/>
  <c r="I8" i="9"/>
  <c r="K8" i="9"/>
  <c r="C22" i="7"/>
  <c r="D157" i="12" l="1"/>
  <c r="E157" i="12"/>
  <c r="E164" i="12" s="1"/>
  <c r="F157" i="12"/>
  <c r="D152" i="12"/>
  <c r="E152" i="12"/>
  <c r="F152" i="12"/>
  <c r="C152" i="12"/>
  <c r="D164" i="12"/>
  <c r="F164" i="12"/>
  <c r="D158" i="12"/>
  <c r="E158" i="12"/>
  <c r="F158" i="12"/>
  <c r="C158" i="12"/>
  <c r="E154" i="12"/>
  <c r="F154" i="12"/>
  <c r="D156" i="12"/>
  <c r="E156" i="12"/>
  <c r="F156" i="12"/>
  <c r="C156" i="12"/>
  <c r="D153" i="12"/>
  <c r="D154" i="12" s="1"/>
  <c r="E153" i="12"/>
  <c r="F153" i="12"/>
  <c r="D151" i="12"/>
  <c r="E151" i="12"/>
  <c r="F151" i="12"/>
  <c r="C151" i="12"/>
  <c r="D150" i="12"/>
  <c r="E150" i="12"/>
  <c r="F150" i="12"/>
  <c r="C150" i="12"/>
  <c r="D148" i="12"/>
  <c r="E148" i="12"/>
  <c r="F148" i="12"/>
  <c r="C148" i="12"/>
  <c r="D139" i="12"/>
  <c r="D147" i="12" s="1"/>
  <c r="E139" i="12"/>
  <c r="E147" i="12" s="1"/>
  <c r="F139" i="12"/>
  <c r="F147" i="12" s="1"/>
  <c r="C139" i="12"/>
  <c r="C147" i="12" s="1"/>
  <c r="D135" i="12"/>
  <c r="E135" i="12"/>
  <c r="F135" i="12"/>
  <c r="C135" i="12"/>
  <c r="D130" i="12"/>
  <c r="E130" i="12"/>
  <c r="F130" i="12"/>
  <c r="C130" i="12"/>
  <c r="D51" i="12"/>
  <c r="E51" i="12"/>
  <c r="F51" i="12"/>
  <c r="G51" i="12"/>
  <c r="C51" i="12"/>
  <c r="D50" i="12"/>
  <c r="E50" i="12"/>
  <c r="F50" i="12"/>
  <c r="G50" i="12"/>
  <c r="C50" i="12"/>
  <c r="D48" i="12"/>
  <c r="E48" i="12"/>
  <c r="F48" i="12"/>
  <c r="G48" i="12"/>
  <c r="C48" i="12"/>
  <c r="C44" i="12"/>
  <c r="D34" i="12"/>
  <c r="E34" i="12"/>
  <c r="F34" i="12"/>
  <c r="G34" i="12"/>
  <c r="C34" i="12"/>
  <c r="D29" i="12"/>
  <c r="E29" i="12"/>
  <c r="F29" i="12"/>
  <c r="G29" i="12"/>
  <c r="C29" i="12"/>
  <c r="D24" i="12"/>
  <c r="E24" i="12"/>
  <c r="F24" i="12"/>
  <c r="G24" i="12"/>
  <c r="C24" i="12"/>
  <c r="D16" i="12"/>
  <c r="E16" i="12"/>
  <c r="F16" i="12"/>
  <c r="G16" i="12"/>
  <c r="C16" i="12"/>
  <c r="D14" i="12"/>
  <c r="E14" i="12"/>
  <c r="F14" i="12"/>
  <c r="G14" i="12"/>
  <c r="C14" i="12"/>
  <c r="D9" i="12"/>
  <c r="E9" i="12"/>
  <c r="F9" i="12"/>
  <c r="G9" i="12"/>
  <c r="C9" i="12"/>
  <c r="G116" i="12"/>
  <c r="F116" i="12"/>
  <c r="E116" i="12"/>
  <c r="D116" i="12"/>
  <c r="C116" i="12"/>
  <c r="F115" i="12"/>
  <c r="C115" i="12"/>
  <c r="G112" i="12"/>
  <c r="G115" i="12" s="1"/>
  <c r="F112" i="12"/>
  <c r="E112" i="12"/>
  <c r="E115" i="12" s="1"/>
  <c r="D112" i="12"/>
  <c r="D115" i="12" s="1"/>
  <c r="C112" i="12"/>
  <c r="C102" i="12"/>
  <c r="C89" i="12" s="1"/>
  <c r="C105" i="12" s="1"/>
  <c r="G100" i="12"/>
  <c r="G102" i="12" s="1"/>
  <c r="G89" i="12" s="1"/>
  <c r="G105" i="12" s="1"/>
  <c r="F100" i="12"/>
  <c r="F102" i="12" s="1"/>
  <c r="F89" i="12" s="1"/>
  <c r="F105" i="12" s="1"/>
  <c r="E100" i="12"/>
  <c r="E102" i="12" s="1"/>
  <c r="E89" i="12" s="1"/>
  <c r="E105" i="12" s="1"/>
  <c r="D100" i="12"/>
  <c r="D102" i="12" s="1"/>
  <c r="D89" i="12" s="1"/>
  <c r="D105"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D76" i="12" s="1"/>
  <c r="C61" i="12"/>
  <c r="C58" i="12" s="1"/>
  <c r="C76" i="12" s="1"/>
  <c r="Q8" i="9" l="1"/>
  <c r="C153" i="12"/>
  <c r="G76" i="12"/>
  <c r="G86" i="12" s="1"/>
  <c r="G107" i="12" s="1"/>
  <c r="G120" i="12" s="1"/>
  <c r="C86" i="12"/>
  <c r="F76" i="12"/>
  <c r="F86" i="12" s="1"/>
  <c r="F107" i="12" s="1"/>
  <c r="F120" i="12" s="1"/>
  <c r="C107" i="12"/>
  <c r="C120" i="12" s="1"/>
  <c r="D86" i="12"/>
  <c r="D107" i="12" s="1"/>
  <c r="D120" i="12" s="1"/>
  <c r="E76" i="12"/>
  <c r="E86" i="12" s="1"/>
  <c r="E107" i="12" s="1"/>
  <c r="E120" i="12" s="1"/>
  <c r="S8" i="9" l="1"/>
  <c r="U8" i="9"/>
  <c r="C154" i="12"/>
  <c r="C157" i="12"/>
  <c r="C164" i="12" s="1"/>
  <c r="F57" i="7" l="1"/>
  <c r="D57" i="7"/>
  <c r="B57" i="7"/>
  <c r="D48" i="7"/>
  <c r="D50" i="7" s="1"/>
  <c r="B48" i="7"/>
  <c r="B50" i="7" s="1"/>
  <c r="D60" i="7" l="1"/>
  <c r="B60" i="7"/>
  <c r="B59" i="7"/>
  <c r="E3" i="7"/>
  <c r="C60" i="5" l="1"/>
  <c r="C66" i="5"/>
  <c r="C69" i="5"/>
  <c r="C53" i="5"/>
  <c r="D66" i="5"/>
  <c r="D69" i="5"/>
  <c r="C106" i="5" s="1"/>
  <c r="D60" i="5"/>
  <c r="D53" i="5"/>
  <c r="E69" i="5"/>
  <c r="E66" i="5"/>
  <c r="E60" i="5"/>
  <c r="E53" i="5"/>
  <c r="F69" i="5"/>
  <c r="F66" i="5"/>
  <c r="F60" i="5"/>
  <c r="F53" i="5"/>
  <c r="G69" i="5"/>
  <c r="G66" i="5"/>
  <c r="G60" i="5"/>
  <c r="G53" i="5"/>
  <c r="D120" i="5"/>
  <c r="E120" i="5"/>
  <c r="F120" i="5"/>
  <c r="D119" i="5"/>
  <c r="E119" i="5"/>
  <c r="F119" i="5"/>
  <c r="F97" i="5"/>
  <c r="F93" i="5"/>
  <c r="D92" i="5"/>
  <c r="E92" i="5"/>
  <c r="F92" i="5"/>
  <c r="C93" i="5"/>
  <c r="C92" i="5"/>
  <c r="G41" i="5"/>
  <c r="G38" i="5"/>
  <c r="G37" i="5"/>
  <c r="G35" i="5"/>
  <c r="G30" i="5"/>
  <c r="G29" i="5"/>
  <c r="G28" i="5"/>
  <c r="G24" i="5"/>
  <c r="G23" i="5"/>
  <c r="G22" i="5"/>
  <c r="G12" i="5"/>
  <c r="G7" i="5"/>
  <c r="F38" i="5"/>
  <c r="F37" i="5"/>
  <c r="F35" i="5"/>
  <c r="F30" i="5"/>
  <c r="F12" i="5"/>
  <c r="F94" i="5" s="1"/>
  <c r="F7" i="5"/>
  <c r="E38" i="5"/>
  <c r="E37" i="5"/>
  <c r="E35" i="5"/>
  <c r="E30" i="5"/>
  <c r="E29" i="5"/>
  <c r="E28" i="5"/>
  <c r="E24" i="5"/>
  <c r="E23" i="5"/>
  <c r="E22" i="5"/>
  <c r="E17" i="5"/>
  <c r="E97" i="5" s="1"/>
  <c r="E12" i="5"/>
  <c r="E94" i="5" s="1"/>
  <c r="E11" i="5"/>
  <c r="D93" i="5" s="1"/>
  <c r="E7" i="5"/>
  <c r="E5" i="5"/>
  <c r="D41" i="5"/>
  <c r="D38" i="5"/>
  <c r="D37" i="5"/>
  <c r="D35" i="5"/>
  <c r="D30" i="5"/>
  <c r="D29" i="5"/>
  <c r="D28" i="5"/>
  <c r="D25" i="5"/>
  <c r="D24" i="5"/>
  <c r="D23" i="5"/>
  <c r="D20" i="5"/>
  <c r="D97" i="5" s="1"/>
  <c r="D12" i="5"/>
  <c r="C7" i="5"/>
  <c r="D7" i="5"/>
  <c r="C30" i="5"/>
  <c r="F106" i="5" l="1"/>
  <c r="D106" i="5"/>
  <c r="E106" i="5"/>
  <c r="D94" i="5"/>
  <c r="C94" i="5"/>
  <c r="E93" i="5"/>
  <c r="E121" i="5" l="1"/>
  <c r="F121" i="5"/>
  <c r="C120" i="5"/>
  <c r="C119" i="5"/>
  <c r="D105" i="5"/>
  <c r="E105" i="5"/>
  <c r="F105" i="5"/>
  <c r="C105" i="5"/>
  <c r="D104" i="5"/>
  <c r="E104" i="5"/>
  <c r="F104" i="5"/>
  <c r="C104" i="5"/>
  <c r="D103" i="5"/>
  <c r="E103" i="5"/>
  <c r="F103" i="5"/>
  <c r="C103" i="5"/>
  <c r="D98" i="5"/>
  <c r="E98" i="5"/>
  <c r="F98" i="5"/>
  <c r="C98" i="5"/>
  <c r="C97" i="5"/>
  <c r="C8" i="5"/>
  <c r="C39" i="5"/>
  <c r="C42" i="5" s="1"/>
  <c r="D39" i="5"/>
  <c r="D42" i="5" s="1"/>
  <c r="D44" i="5" s="1"/>
  <c r="D13" i="5"/>
  <c r="D26" i="5" s="1"/>
  <c r="E39" i="5"/>
  <c r="E42" i="5" s="1"/>
  <c r="E44" i="5" s="1"/>
  <c r="E8" i="5"/>
  <c r="F95" i="5" l="1"/>
  <c r="F99" i="5" s="1"/>
  <c r="E95" i="5"/>
  <c r="E99" i="5" s="1"/>
  <c r="D111" i="5"/>
  <c r="D95" i="5"/>
  <c r="D99" i="5" s="1"/>
  <c r="D121" i="5"/>
  <c r="C111" i="5"/>
  <c r="C95" i="5"/>
  <c r="C99" i="5" s="1"/>
  <c r="C121" i="5"/>
  <c r="F39" i="5"/>
  <c r="F13" i="5"/>
  <c r="F26" i="5" s="1"/>
  <c r="D8" i="5"/>
  <c r="D31" i="5" s="1"/>
  <c r="D46" i="5" s="1"/>
  <c r="F8" i="5"/>
  <c r="E13" i="5"/>
  <c r="E26" i="5" s="1"/>
  <c r="E31" i="5" s="1"/>
  <c r="E46" i="5" s="1"/>
  <c r="C13" i="5"/>
  <c r="C26" i="5" s="1"/>
  <c r="C31" i="5" s="1"/>
  <c r="C44" i="5"/>
  <c r="G39" i="5"/>
  <c r="G13" i="5"/>
  <c r="G26" i="5" s="1"/>
  <c r="G8" i="5"/>
  <c r="F50" i="7"/>
  <c r="F59" i="7" s="1"/>
  <c r="E4" i="7"/>
  <c r="E6" i="7"/>
  <c r="D6" i="7"/>
  <c r="F60" i="7" l="1"/>
  <c r="C38" i="7"/>
  <c r="C41" i="7" s="1"/>
  <c r="B38" i="7"/>
  <c r="B41" i="7" s="1"/>
  <c r="F42" i="5"/>
  <c r="F44" i="5" s="1"/>
  <c r="F111" i="5"/>
  <c r="E111" i="5"/>
  <c r="F31" i="5"/>
  <c r="G42" i="5"/>
  <c r="G44" i="5" s="1"/>
  <c r="G31" i="5"/>
  <c r="C46" i="5"/>
  <c r="F46" i="5" l="1"/>
  <c r="G46" i="5"/>
  <c r="E23" i="8"/>
  <c r="F23" i="8"/>
  <c r="G23" i="8"/>
  <c r="D23" i="8"/>
  <c r="E22" i="8"/>
  <c r="F22" i="8"/>
  <c r="G22" i="8"/>
  <c r="D22" i="8"/>
  <c r="E21" i="8"/>
  <c r="F21" i="8"/>
  <c r="G21" i="8"/>
  <c r="D21" i="8"/>
  <c r="E21" i="2"/>
  <c r="F21" i="2"/>
  <c r="G21" i="2"/>
  <c r="H21" i="2"/>
  <c r="D21" i="2"/>
  <c r="H19" i="2"/>
  <c r="G19" i="2"/>
  <c r="F19" i="2"/>
  <c r="E19" i="2"/>
  <c r="D19" i="2"/>
  <c r="E39" i="8" l="1"/>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8" i="5" s="1"/>
  <c r="E106" i="2"/>
  <c r="E109" i="2" s="1"/>
  <c r="D64" i="5" s="1"/>
  <c r="D106" i="2"/>
  <c r="D109" i="2" s="1"/>
  <c r="C64" i="5" s="1"/>
  <c r="D96" i="2"/>
  <c r="D83" i="2" s="1"/>
  <c r="H94" i="2"/>
  <c r="H96" i="2" s="1"/>
  <c r="G94" i="2"/>
  <c r="G96" i="2" s="1"/>
  <c r="F94" i="2"/>
  <c r="F96" i="2" s="1"/>
  <c r="F83" i="2" s="1"/>
  <c r="E94" i="2"/>
  <c r="E96" i="2" s="1"/>
  <c r="E83" i="2" s="1"/>
  <c r="H87" i="2"/>
  <c r="G87" i="2"/>
  <c r="H76" i="2"/>
  <c r="G76" i="2"/>
  <c r="F76" i="2"/>
  <c r="E76" i="2"/>
  <c r="D76" i="2"/>
  <c r="H72" i="2"/>
  <c r="G72" i="2"/>
  <c r="F72" i="2"/>
  <c r="E72" i="2"/>
  <c r="D72" i="2"/>
  <c r="H66" i="2"/>
  <c r="H61" i="2" s="1"/>
  <c r="G66" i="2"/>
  <c r="G61" i="2" s="1"/>
  <c r="F66" i="2"/>
  <c r="F61" i="2" s="1"/>
  <c r="E66" i="2"/>
  <c r="E61" i="2" s="1"/>
  <c r="D66" i="2"/>
  <c r="D61" i="2" s="1"/>
  <c r="H55" i="2"/>
  <c r="G55" i="2"/>
  <c r="F55" i="2"/>
  <c r="F52" i="2" s="1"/>
  <c r="E52" i="5" s="1"/>
  <c r="E55" i="2"/>
  <c r="E52" i="2" s="1"/>
  <c r="D52" i="5" s="1"/>
  <c r="D55" i="2"/>
  <c r="F52" i="5" l="1"/>
  <c r="G52" i="2"/>
  <c r="E57" i="5"/>
  <c r="D101" i="5" s="1"/>
  <c r="D68" i="2"/>
  <c r="C54" i="5"/>
  <c r="E99" i="2"/>
  <c r="D61" i="5"/>
  <c r="D62" i="5" s="1"/>
  <c r="C110" i="5" s="1"/>
  <c r="F64" i="5"/>
  <c r="E88" i="5" s="1"/>
  <c r="F68" i="2"/>
  <c r="F70" i="2" s="1"/>
  <c r="F80" i="2" s="1"/>
  <c r="F101" i="2" s="1"/>
  <c r="F114" i="2" s="1"/>
  <c r="E54" i="5"/>
  <c r="E56" i="5" s="1"/>
  <c r="E59" i="5" s="1"/>
  <c r="E63" i="5" s="1"/>
  <c r="E65" i="5" s="1"/>
  <c r="E68" i="5" s="1"/>
  <c r="E71" i="5" s="1"/>
  <c r="F99" i="2"/>
  <c r="E28" i="8" s="1"/>
  <c r="E61" i="5"/>
  <c r="E62" i="5" s="1"/>
  <c r="D110" i="5" s="1"/>
  <c r="G68" i="2"/>
  <c r="F54" i="5"/>
  <c r="F56" i="5" s="1"/>
  <c r="C57" i="5"/>
  <c r="D99" i="2"/>
  <c r="C61" i="5"/>
  <c r="C62" i="5" s="1"/>
  <c r="C88" i="5"/>
  <c r="E102" i="5"/>
  <c r="E101" i="5" s="1"/>
  <c r="F57" i="5"/>
  <c r="E68" i="2"/>
  <c r="D54" i="5"/>
  <c r="D56" i="5" s="1"/>
  <c r="F102" i="5"/>
  <c r="F101" i="5" s="1"/>
  <c r="G57" i="5"/>
  <c r="H68" i="2"/>
  <c r="G54" i="5"/>
  <c r="D57" i="5"/>
  <c r="D13" i="8"/>
  <c r="E13" i="8"/>
  <c r="G13" i="8"/>
  <c r="D28" i="8"/>
  <c r="F13" i="8"/>
  <c r="H83" i="2"/>
  <c r="G61" i="5" s="1"/>
  <c r="G62" i="5" s="1"/>
  <c r="D52" i="2"/>
  <c r="E70" i="2"/>
  <c r="E80" i="2" s="1"/>
  <c r="E101" i="2" s="1"/>
  <c r="E114" i="2" s="1"/>
  <c r="H52" i="2"/>
  <c r="G83" i="2"/>
  <c r="F61" i="5" s="1"/>
  <c r="F62" i="5" s="1"/>
  <c r="G70" i="2"/>
  <c r="G80" i="2" s="1"/>
  <c r="E39" i="2"/>
  <c r="F39" i="2"/>
  <c r="G39" i="2"/>
  <c r="H39" i="2"/>
  <c r="D39" i="2"/>
  <c r="D42" i="2" s="1"/>
  <c r="E13" i="2"/>
  <c r="F13" i="2"/>
  <c r="G13" i="2"/>
  <c r="H13" i="2"/>
  <c r="D13" i="2"/>
  <c r="F59" i="5" l="1"/>
  <c r="E34" i="8"/>
  <c r="H11" i="9"/>
  <c r="H6" i="9"/>
  <c r="D34" i="8"/>
  <c r="F6" i="9"/>
  <c r="D59" i="5"/>
  <c r="D63" i="5" s="1"/>
  <c r="D102" i="5"/>
  <c r="F63" i="5"/>
  <c r="F65" i="5" s="1"/>
  <c r="F68" i="5" s="1"/>
  <c r="F71" i="5" s="1"/>
  <c r="E87" i="5"/>
  <c r="H70" i="2"/>
  <c r="H80" i="2" s="1"/>
  <c r="H101" i="2" s="1"/>
  <c r="H114" i="2" s="1"/>
  <c r="G52" i="5"/>
  <c r="G56" i="5" s="1"/>
  <c r="G59" i="5" s="1"/>
  <c r="G63" i="5" s="1"/>
  <c r="G65" i="5" s="1"/>
  <c r="G68" i="5" s="1"/>
  <c r="G71" i="5" s="1"/>
  <c r="F116" i="5" s="1"/>
  <c r="E5" i="7"/>
  <c r="C37" i="7" s="1"/>
  <c r="C40" i="7" s="1"/>
  <c r="D5" i="7"/>
  <c r="G42" i="2"/>
  <c r="G44" i="2" s="1"/>
  <c r="G29" i="8"/>
  <c r="D70" i="2"/>
  <c r="D80" i="2" s="1"/>
  <c r="D101" i="2" s="1"/>
  <c r="D114" i="2" s="1"/>
  <c r="C52" i="5"/>
  <c r="C56" i="5" s="1"/>
  <c r="C59" i="5" s="1"/>
  <c r="C63" i="5" s="1"/>
  <c r="C65" i="5" s="1"/>
  <c r="C68" i="5" s="1"/>
  <c r="C71" i="5" s="1"/>
  <c r="C101" i="5"/>
  <c r="C102" i="5"/>
  <c r="F42" i="2"/>
  <c r="F44" i="2" s="1"/>
  <c r="F29" i="8"/>
  <c r="E42" i="2"/>
  <c r="E44" i="2" s="1"/>
  <c r="E29" i="8"/>
  <c r="D87" i="5"/>
  <c r="H99" i="2"/>
  <c r="G28" i="8" s="1"/>
  <c r="G99" i="2"/>
  <c r="F28" i="8" s="1"/>
  <c r="F16" i="8"/>
  <c r="E16" i="8"/>
  <c r="E7" i="8"/>
  <c r="G16" i="8"/>
  <c r="H42" i="2"/>
  <c r="H44" i="2" s="1"/>
  <c r="D7" i="8"/>
  <c r="D16" i="8"/>
  <c r="D44" i="2"/>
  <c r="D29" i="8"/>
  <c r="G101" i="2"/>
  <c r="G114" i="2" s="1"/>
  <c r="F34" i="8" l="1"/>
  <c r="J6" i="9"/>
  <c r="J11" i="9"/>
  <c r="H18" i="9" s="1"/>
  <c r="G34" i="8"/>
  <c r="L6" i="9"/>
  <c r="L11" i="9"/>
  <c r="C87" i="5"/>
  <c r="F87" i="5"/>
  <c r="D65" i="5"/>
  <c r="D68" i="5" s="1"/>
  <c r="D71" i="5" s="1"/>
  <c r="C116" i="5" s="1"/>
  <c r="C89" i="5"/>
  <c r="C112" i="5" s="1"/>
  <c r="D116" i="5"/>
  <c r="D89" i="5"/>
  <c r="D112" i="5" s="1"/>
  <c r="E8" i="8"/>
  <c r="E30" i="8"/>
  <c r="E110" i="5"/>
  <c r="D8" i="8"/>
  <c r="D30" i="8"/>
  <c r="F110" i="5"/>
  <c r="G7" i="8"/>
  <c r="F7" i="8"/>
  <c r="E20" i="2"/>
  <c r="F20" i="2"/>
  <c r="G20" i="2"/>
  <c r="H20" i="2"/>
  <c r="D20" i="2"/>
  <c r="G50" i="1"/>
  <c r="H50" i="1"/>
  <c r="I50" i="1"/>
  <c r="J50" i="1"/>
  <c r="F50" i="1"/>
  <c r="H19" i="9" l="1"/>
  <c r="M19" i="9" s="1"/>
  <c r="C90" i="5"/>
  <c r="C107" i="5" s="1"/>
  <c r="C113" i="5" s="1"/>
  <c r="C117" i="5" s="1"/>
  <c r="C123" i="5" s="1"/>
  <c r="D90" i="5"/>
  <c r="D107" i="5" s="1"/>
  <c r="D113" i="5" s="1"/>
  <c r="D117" i="5" s="1"/>
  <c r="D123" i="5" s="1"/>
  <c r="E89" i="5"/>
  <c r="E116" i="5"/>
  <c r="G8" i="8"/>
  <c r="G30" i="8"/>
  <c r="F8" i="8"/>
  <c r="F30" i="8"/>
  <c r="M20" i="9" l="1"/>
  <c r="K24" i="9"/>
  <c r="E112" i="5"/>
  <c r="E90" i="5"/>
  <c r="E107"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K25" i="9" l="1"/>
  <c r="X8" i="9" s="1"/>
  <c r="X11" i="9" s="1"/>
  <c r="E113" i="5"/>
  <c r="E117" i="5" s="1"/>
  <c r="E123" i="5" s="1"/>
  <c r="I59" i="3"/>
  <c r="T8" i="3"/>
  <c r="I28" i="3"/>
  <c r="T23" i="3"/>
  <c r="T46" i="3"/>
  <c r="T25" i="3"/>
  <c r="T33" i="3"/>
  <c r="F28" i="3"/>
  <c r="F39" i="3" s="1"/>
  <c r="H10" i="3"/>
  <c r="T10" i="3" s="1"/>
  <c r="T53" i="3"/>
  <c r="G28" i="3"/>
  <c r="G39" i="3" s="1"/>
  <c r="E28" i="3"/>
  <c r="E39" i="3" s="1"/>
  <c r="E61" i="3" s="1"/>
  <c r="E71" i="3" s="1"/>
  <c r="E74" i="3" s="1"/>
  <c r="H28" i="3"/>
  <c r="T17" i="3"/>
  <c r="H59" i="3"/>
  <c r="T58" i="3" s="1"/>
  <c r="T55" i="3"/>
  <c r="T69" i="3"/>
  <c r="I37" i="3"/>
  <c r="T15" i="3"/>
  <c r="T66" i="3"/>
  <c r="W8" i="9" l="1"/>
  <c r="Z8" i="9" s="1"/>
  <c r="I39" i="3"/>
  <c r="G61" i="3"/>
  <c r="G71" i="3" s="1"/>
  <c r="G74" i="3" s="1"/>
  <c r="F61" i="3"/>
  <c r="F71" i="3" s="1"/>
  <c r="F74" i="3" s="1"/>
  <c r="T27" i="3"/>
  <c r="H39" i="3"/>
  <c r="T36" i="3"/>
  <c r="Y8" i="9" l="1"/>
  <c r="Z11" i="9"/>
  <c r="AB8" i="9"/>
  <c r="I61" i="3"/>
  <c r="I71" i="3" s="1"/>
  <c r="I74" i="3" s="1"/>
  <c r="I77" i="3" s="1"/>
  <c r="I92" i="3" s="1"/>
  <c r="I93" i="3" s="1"/>
  <c r="T38" i="3"/>
  <c r="H61" i="3"/>
  <c r="AA8" i="9" l="1"/>
  <c r="AB11" i="9"/>
  <c r="M18" i="9" s="1"/>
  <c r="T60" i="3"/>
  <c r="H71" i="3"/>
  <c r="H74" i="3" l="1"/>
  <c r="T70" i="3"/>
  <c r="H77" i="3" l="1"/>
  <c r="T73" i="3"/>
  <c r="H92" i="3" l="1"/>
  <c r="H93" i="3" s="1"/>
  <c r="T76" i="3"/>
  <c r="F173" i="1" l="1"/>
  <c r="F166" i="1"/>
  <c r="F141" i="1"/>
  <c r="F134" i="1"/>
  <c r="F130" i="1"/>
  <c r="F123" i="1"/>
  <c r="F119" i="1"/>
  <c r="F108" i="1"/>
  <c r="F85" i="1"/>
  <c r="D17" i="2" s="1"/>
  <c r="F80" i="1"/>
  <c r="R66" i="1"/>
  <c r="Q66" i="1"/>
  <c r="P66" i="1"/>
  <c r="F60" i="1"/>
  <c r="F55" i="1"/>
  <c r="F40" i="1"/>
  <c r="D18" i="2" s="1"/>
  <c r="F27" i="1"/>
  <c r="D6" i="2" s="1"/>
  <c r="F16" i="1"/>
  <c r="R146" i="1"/>
  <c r="Q146" i="1"/>
  <c r="P147" i="1"/>
  <c r="R67" i="1"/>
  <c r="Q67" i="1"/>
  <c r="Q71" i="1"/>
  <c r="Q142" i="1"/>
  <c r="R142" i="1"/>
  <c r="Q141" i="1"/>
  <c r="R141" i="1"/>
  <c r="P169" i="1"/>
  <c r="T165" i="1"/>
  <c r="S164" i="1"/>
  <c r="R164" i="1"/>
  <c r="Q164" i="1"/>
  <c r="P164" i="1"/>
  <c r="J173" i="1"/>
  <c r="I173" i="1"/>
  <c r="H173" i="1"/>
  <c r="G173" i="1"/>
  <c r="R162" i="1"/>
  <c r="Q162" i="1"/>
  <c r="P162" i="1"/>
  <c r="R161" i="1"/>
  <c r="Q161" i="1"/>
  <c r="P161" i="1"/>
  <c r="R160" i="1"/>
  <c r="Q160" i="1"/>
  <c r="P160" i="1"/>
  <c r="R159" i="1"/>
  <c r="Q159" i="1"/>
  <c r="P159" i="1"/>
  <c r="R158" i="1"/>
  <c r="Q158" i="1"/>
  <c r="P158" i="1"/>
  <c r="J166" i="1"/>
  <c r="I166" i="1"/>
  <c r="H166" i="1"/>
  <c r="G166" i="1"/>
  <c r="R155" i="1"/>
  <c r="Q155" i="1"/>
  <c r="P155" i="1"/>
  <c r="R154" i="1"/>
  <c r="Q154" i="1"/>
  <c r="P154" i="1"/>
  <c r="R153" i="1"/>
  <c r="Q153" i="1"/>
  <c r="P153" i="1"/>
  <c r="R152" i="1"/>
  <c r="Q152" i="1"/>
  <c r="P152" i="1"/>
  <c r="R151" i="1"/>
  <c r="Q151" i="1"/>
  <c r="P151" i="1"/>
  <c r="R150" i="1"/>
  <c r="Q150" i="1"/>
  <c r="P150" i="1"/>
  <c r="R149" i="1"/>
  <c r="Q149" i="1"/>
  <c r="P149" i="1"/>
  <c r="R148" i="1"/>
  <c r="R147" i="1"/>
  <c r="P146" i="1"/>
  <c r="R145" i="1"/>
  <c r="Q145" i="1"/>
  <c r="P145" i="1"/>
  <c r="R144" i="1"/>
  <c r="Q144" i="1"/>
  <c r="P144" i="1"/>
  <c r="R143" i="1"/>
  <c r="Q143" i="1"/>
  <c r="P143" i="1"/>
  <c r="P142" i="1"/>
  <c r="P141" i="1"/>
  <c r="R140" i="1"/>
  <c r="Q140" i="1"/>
  <c r="P140" i="1"/>
  <c r="R139" i="1"/>
  <c r="Q139" i="1"/>
  <c r="P139" i="1"/>
  <c r="R138" i="1"/>
  <c r="Q138" i="1"/>
  <c r="P138" i="1"/>
  <c r="R137" i="1"/>
  <c r="Q137" i="1"/>
  <c r="P137" i="1"/>
  <c r="R136" i="1"/>
  <c r="Q136" i="1"/>
  <c r="P136" i="1"/>
  <c r="R135" i="1"/>
  <c r="Q135" i="1"/>
  <c r="P135" i="1"/>
  <c r="R134" i="1"/>
  <c r="Q134" i="1"/>
  <c r="P134" i="1"/>
  <c r="R133" i="1"/>
  <c r="Q133" i="1"/>
  <c r="P133" i="1"/>
  <c r="J141" i="1"/>
  <c r="I141" i="1"/>
  <c r="H141" i="1"/>
  <c r="G141" i="1"/>
  <c r="R130" i="1"/>
  <c r="Q130" i="1"/>
  <c r="P130" i="1"/>
  <c r="R129" i="1"/>
  <c r="Q129" i="1"/>
  <c r="P129" i="1"/>
  <c r="T125" i="1"/>
  <c r="J134" i="1"/>
  <c r="I134" i="1"/>
  <c r="H134" i="1"/>
  <c r="G134" i="1"/>
  <c r="R123" i="1"/>
  <c r="Q123" i="1"/>
  <c r="P123" i="1"/>
  <c r="R122" i="1"/>
  <c r="Q122" i="1"/>
  <c r="P122" i="1"/>
  <c r="J130" i="1"/>
  <c r="I130" i="1"/>
  <c r="H130" i="1"/>
  <c r="G130" i="1"/>
  <c r="R119" i="1"/>
  <c r="Q119" i="1"/>
  <c r="P119" i="1"/>
  <c r="R118" i="1"/>
  <c r="Q118" i="1"/>
  <c r="P118" i="1"/>
  <c r="R117" i="1"/>
  <c r="Q117" i="1"/>
  <c r="P117" i="1"/>
  <c r="R116" i="1"/>
  <c r="Q116" i="1"/>
  <c r="P116" i="1"/>
  <c r="R115" i="1"/>
  <c r="Q115" i="1"/>
  <c r="P115" i="1"/>
  <c r="J123" i="1"/>
  <c r="I123" i="1"/>
  <c r="H123" i="1"/>
  <c r="G123" i="1"/>
  <c r="R112" i="1"/>
  <c r="Q112" i="1"/>
  <c r="P112" i="1"/>
  <c r="R111" i="1"/>
  <c r="Q111" i="1"/>
  <c r="P111" i="1"/>
  <c r="J119" i="1"/>
  <c r="I119" i="1"/>
  <c r="H119" i="1"/>
  <c r="G119" i="1"/>
  <c r="R108" i="1"/>
  <c r="Q108" i="1"/>
  <c r="P108" i="1"/>
  <c r="R107" i="1"/>
  <c r="Q107" i="1"/>
  <c r="P107" i="1"/>
  <c r="R106" i="1"/>
  <c r="Q106" i="1"/>
  <c r="P106" i="1"/>
  <c r="R105" i="1"/>
  <c r="Q105" i="1"/>
  <c r="P105" i="1"/>
  <c r="S99" i="1"/>
  <c r="R99" i="1"/>
  <c r="Q99" i="1"/>
  <c r="P99" i="1"/>
  <c r="T98" i="1"/>
  <c r="T100" i="1" s="1"/>
  <c r="J108" i="1"/>
  <c r="I108" i="1"/>
  <c r="H108" i="1"/>
  <c r="G108" i="1"/>
  <c r="S97" i="1"/>
  <c r="R97" i="1"/>
  <c r="Q97" i="1"/>
  <c r="P97" i="1"/>
  <c r="J106" i="1"/>
  <c r="I106" i="1"/>
  <c r="H106" i="1"/>
  <c r="G106" i="1"/>
  <c r="R95" i="1"/>
  <c r="Q95" i="1"/>
  <c r="P95" i="1"/>
  <c r="R94" i="1"/>
  <c r="Q94" i="1"/>
  <c r="P94" i="1"/>
  <c r="J103" i="1"/>
  <c r="I103" i="1"/>
  <c r="H103" i="1"/>
  <c r="G103" i="1"/>
  <c r="R92" i="1"/>
  <c r="Q92" i="1"/>
  <c r="R91" i="1"/>
  <c r="Q91" i="1"/>
  <c r="P91" i="1"/>
  <c r="S89" i="1"/>
  <c r="R89" i="1"/>
  <c r="Q89" i="1"/>
  <c r="P89" i="1"/>
  <c r="S88" i="1"/>
  <c r="R88" i="1"/>
  <c r="Q88" i="1"/>
  <c r="P88" i="1"/>
  <c r="S87" i="1"/>
  <c r="R87" i="1"/>
  <c r="Q87" i="1"/>
  <c r="P87" i="1"/>
  <c r="R83" i="1"/>
  <c r="Q83" i="1"/>
  <c r="P83" i="1"/>
  <c r="T81" i="1"/>
  <c r="S80" i="1"/>
  <c r="R80" i="1"/>
  <c r="Q80" i="1"/>
  <c r="P80" i="1"/>
  <c r="S79" i="1"/>
  <c r="R79" i="1"/>
  <c r="Q79" i="1"/>
  <c r="P79" i="1"/>
  <c r="J85" i="1"/>
  <c r="I85" i="1"/>
  <c r="H85" i="1"/>
  <c r="G85" i="1"/>
  <c r="P77" i="1"/>
  <c r="R76" i="1"/>
  <c r="Q76" i="1"/>
  <c r="P76" i="1"/>
  <c r="R75" i="1"/>
  <c r="Q75" i="1"/>
  <c r="P75" i="1"/>
  <c r="J80" i="1"/>
  <c r="I80" i="1"/>
  <c r="H80" i="1"/>
  <c r="G80" i="1"/>
  <c r="R72" i="1"/>
  <c r="Q72" i="1"/>
  <c r="P72" i="1"/>
  <c r="P71" i="1"/>
  <c r="R70" i="1"/>
  <c r="Q70" i="1"/>
  <c r="P70" i="1"/>
  <c r="R69" i="1"/>
  <c r="Q69" i="1"/>
  <c r="P69" i="1"/>
  <c r="Q68" i="1"/>
  <c r="P68" i="1"/>
  <c r="P67" i="1"/>
  <c r="R65" i="1"/>
  <c r="Q65" i="1"/>
  <c r="P65" i="1"/>
  <c r="R64" i="1"/>
  <c r="Q64" i="1"/>
  <c r="R63" i="1"/>
  <c r="Q63" i="1"/>
  <c r="P63" i="1"/>
  <c r="R62" i="1"/>
  <c r="Q62" i="1"/>
  <c r="P62" i="1"/>
  <c r="R61" i="1"/>
  <c r="Q61" i="1"/>
  <c r="P61" i="1"/>
  <c r="R60" i="1"/>
  <c r="Q60" i="1"/>
  <c r="P60" i="1"/>
  <c r="R59" i="1"/>
  <c r="Q59" i="1"/>
  <c r="P59" i="1"/>
  <c r="R58" i="1"/>
  <c r="Q58" i="1"/>
  <c r="P58" i="1"/>
  <c r="R57" i="1"/>
  <c r="Q57" i="1"/>
  <c r="P57" i="1"/>
  <c r="R56" i="1"/>
  <c r="Q56" i="1"/>
  <c r="P56" i="1"/>
  <c r="R55" i="1"/>
  <c r="Q55" i="1"/>
  <c r="P55" i="1"/>
  <c r="J60" i="1"/>
  <c r="I60" i="1"/>
  <c r="H60" i="1"/>
  <c r="G60" i="1"/>
  <c r="R52" i="1"/>
  <c r="Q52" i="1"/>
  <c r="P52" i="1"/>
  <c r="R51" i="1"/>
  <c r="Q51" i="1"/>
  <c r="P51" i="1"/>
  <c r="R50" i="1"/>
  <c r="Q50" i="1"/>
  <c r="P50" i="1"/>
  <c r="R47" i="1"/>
  <c r="Q47" i="1"/>
  <c r="P47" i="1"/>
  <c r="H53" i="1"/>
  <c r="H55" i="1" s="1"/>
  <c r="G53" i="1"/>
  <c r="R45" i="1"/>
  <c r="Q45" i="1"/>
  <c r="P45" i="1"/>
  <c r="R44" i="1"/>
  <c r="Q44" i="1"/>
  <c r="P44" i="1"/>
  <c r="J53" i="1"/>
  <c r="J55" i="1" s="1"/>
  <c r="Q43" i="1"/>
  <c r="P43" i="1"/>
  <c r="R42" i="1"/>
  <c r="Q42" i="1"/>
  <c r="P42" i="1"/>
  <c r="R41" i="1"/>
  <c r="Q41" i="1"/>
  <c r="P41" i="1"/>
  <c r="J40" i="1"/>
  <c r="I40" i="1"/>
  <c r="G18" i="2" s="1"/>
  <c r="H40" i="1"/>
  <c r="F18" i="2" s="1"/>
  <c r="G40" i="1"/>
  <c r="E18" i="2" s="1"/>
  <c r="R35" i="1"/>
  <c r="Q35" i="1"/>
  <c r="P35" i="1"/>
  <c r="R34" i="1"/>
  <c r="P34" i="1"/>
  <c r="S32" i="1"/>
  <c r="R32" i="1"/>
  <c r="Q32" i="1"/>
  <c r="P32" i="1"/>
  <c r="T31" i="1"/>
  <c r="T37" i="1" s="1"/>
  <c r="S30" i="1"/>
  <c r="R30" i="1"/>
  <c r="Q30" i="1"/>
  <c r="P30" i="1"/>
  <c r="S29" i="1"/>
  <c r="R29" i="1"/>
  <c r="Q29" i="1"/>
  <c r="P29" i="1"/>
  <c r="J27" i="1"/>
  <c r="I27" i="1"/>
  <c r="G6" i="2" s="1"/>
  <c r="H27" i="1"/>
  <c r="F6" i="2" s="1"/>
  <c r="G27" i="1"/>
  <c r="E6" i="2" s="1"/>
  <c r="R26" i="1"/>
  <c r="Q26" i="1"/>
  <c r="P26" i="1"/>
  <c r="R25" i="1"/>
  <c r="Q25" i="1"/>
  <c r="P25" i="1"/>
  <c r="R24" i="1"/>
  <c r="Q24" i="1"/>
  <c r="P24" i="1"/>
  <c r="R23" i="1"/>
  <c r="Q23" i="1"/>
  <c r="P23" i="1"/>
  <c r="R22" i="1"/>
  <c r="Q22" i="1"/>
  <c r="P22" i="1"/>
  <c r="S20" i="1"/>
  <c r="R20" i="1"/>
  <c r="Q20" i="1"/>
  <c r="P20" i="1"/>
  <c r="S19" i="1"/>
  <c r="R19" i="1"/>
  <c r="Q19" i="1"/>
  <c r="P19" i="1"/>
  <c r="S18" i="1"/>
  <c r="R18" i="1"/>
  <c r="Q18" i="1"/>
  <c r="P18" i="1"/>
  <c r="J16" i="1"/>
  <c r="I16" i="1"/>
  <c r="G5" i="2" s="1"/>
  <c r="H16" i="1"/>
  <c r="F5" i="2" s="1"/>
  <c r="G16" i="1"/>
  <c r="E5" i="2" s="1"/>
  <c r="R15" i="1"/>
  <c r="Q15" i="1"/>
  <c r="P15" i="1"/>
  <c r="R14" i="1"/>
  <c r="Q14" i="1"/>
  <c r="P14" i="1"/>
  <c r="R13" i="1"/>
  <c r="Q13" i="1"/>
  <c r="P13" i="1"/>
  <c r="R12" i="1"/>
  <c r="Q12" i="1"/>
  <c r="P12" i="1"/>
  <c r="R11" i="1"/>
  <c r="Q11" i="1"/>
  <c r="P11" i="1"/>
  <c r="R10" i="1"/>
  <c r="Q10" i="1"/>
  <c r="P10" i="1"/>
  <c r="R9" i="1"/>
  <c r="Q9" i="1"/>
  <c r="P9" i="1"/>
  <c r="R8" i="1"/>
  <c r="Q8" i="1"/>
  <c r="P8" i="1"/>
  <c r="R7" i="1"/>
  <c r="Q7" i="1"/>
  <c r="P7" i="1"/>
  <c r="F19" i="8" l="1"/>
  <c r="E19" i="8"/>
  <c r="F8" i="2"/>
  <c r="G8" i="2"/>
  <c r="E8" i="2"/>
  <c r="G17" i="2"/>
  <c r="S53" i="1"/>
  <c r="G16" i="2"/>
  <c r="S78" i="1"/>
  <c r="H17" i="2"/>
  <c r="S163" i="1"/>
  <c r="F175" i="1"/>
  <c r="F16" i="2"/>
  <c r="S48" i="1"/>
  <c r="S27" i="1"/>
  <c r="H6" i="2"/>
  <c r="S73" i="1"/>
  <c r="H16" i="2"/>
  <c r="E17" i="2"/>
  <c r="S120" i="1"/>
  <c r="S156" i="1"/>
  <c r="D5" i="2"/>
  <c r="D19" i="8" s="1"/>
  <c r="F89" i="1"/>
  <c r="D16" i="2"/>
  <c r="D15" i="2" s="1"/>
  <c r="S36" i="1"/>
  <c r="H18" i="2"/>
  <c r="S124" i="1"/>
  <c r="S16" i="1"/>
  <c r="H5" i="2"/>
  <c r="E16" i="2"/>
  <c r="F17" i="2"/>
  <c r="S113" i="1"/>
  <c r="S109" i="1"/>
  <c r="J110" i="1"/>
  <c r="I110" i="1"/>
  <c r="F110" i="1"/>
  <c r="G110" i="1"/>
  <c r="F135" i="1"/>
  <c r="H110" i="1"/>
  <c r="Q156" i="1"/>
  <c r="H175" i="1"/>
  <c r="Q124" i="1"/>
  <c r="Q131" i="1"/>
  <c r="P131" i="1"/>
  <c r="P156" i="1"/>
  <c r="R109" i="1"/>
  <c r="S100" i="1"/>
  <c r="P113" i="1"/>
  <c r="P73" i="1"/>
  <c r="Q78" i="1"/>
  <c r="Q109" i="1"/>
  <c r="R53" i="1"/>
  <c r="Q73" i="1"/>
  <c r="P96" i="1"/>
  <c r="I175" i="1"/>
  <c r="J175" i="1"/>
  <c r="S165" i="1" s="1"/>
  <c r="Q16" i="1"/>
  <c r="Q36" i="1"/>
  <c r="P53" i="1"/>
  <c r="R78" i="1"/>
  <c r="Q93" i="1"/>
  <c r="P109" i="1"/>
  <c r="Q113" i="1"/>
  <c r="R120" i="1"/>
  <c r="P124" i="1"/>
  <c r="Q163" i="1"/>
  <c r="R27" i="1"/>
  <c r="R96" i="1"/>
  <c r="I135" i="1"/>
  <c r="P163" i="1"/>
  <c r="T85" i="1"/>
  <c r="R124" i="1"/>
  <c r="T167" i="1"/>
  <c r="T171" i="1" s="1"/>
  <c r="H135" i="1"/>
  <c r="P27" i="1"/>
  <c r="R43" i="1"/>
  <c r="Q53" i="1"/>
  <c r="R73" i="1"/>
  <c r="P93" i="1"/>
  <c r="Q96" i="1"/>
  <c r="Q98" i="1"/>
  <c r="P120" i="1"/>
  <c r="R131" i="1"/>
  <c r="R156" i="1"/>
  <c r="R163" i="1"/>
  <c r="G175" i="1"/>
  <c r="R16" i="1"/>
  <c r="P78" i="1"/>
  <c r="G135" i="1"/>
  <c r="P16" i="1"/>
  <c r="Q27" i="1"/>
  <c r="R36" i="1"/>
  <c r="S98" i="1"/>
  <c r="J135" i="1"/>
  <c r="S125" i="1" s="1"/>
  <c r="G55" i="1"/>
  <c r="P46" i="1"/>
  <c r="P36" i="1"/>
  <c r="I53" i="1"/>
  <c r="R93" i="1"/>
  <c r="R113" i="1"/>
  <c r="Q120" i="1"/>
  <c r="S131" i="1"/>
  <c r="H89" i="1"/>
  <c r="J89" i="1"/>
  <c r="P98" i="1"/>
  <c r="R98" i="1"/>
  <c r="F177" i="1" l="1"/>
  <c r="D3" i="7"/>
  <c r="B37" i="7" s="1"/>
  <c r="B40" i="7" s="1"/>
  <c r="G19" i="8"/>
  <c r="D26" i="2"/>
  <c r="G15" i="2"/>
  <c r="G26" i="2" s="1"/>
  <c r="H8" i="2"/>
  <c r="H15" i="2"/>
  <c r="H26" i="2" s="1"/>
  <c r="D8" i="2"/>
  <c r="F15" i="2"/>
  <c r="F26" i="2" s="1"/>
  <c r="E15" i="2"/>
  <c r="E26" i="2" s="1"/>
  <c r="F181" i="1"/>
  <c r="Q100" i="1"/>
  <c r="P48" i="1"/>
  <c r="R100" i="1"/>
  <c r="P100" i="1"/>
  <c r="T172" i="1"/>
  <c r="Q125" i="1"/>
  <c r="I177" i="1"/>
  <c r="I181" i="1" s="1"/>
  <c r="R165" i="1"/>
  <c r="Q165" i="1"/>
  <c r="H177" i="1"/>
  <c r="P125" i="1"/>
  <c r="S81" i="1"/>
  <c r="I55" i="1"/>
  <c r="R46" i="1"/>
  <c r="Q46" i="1"/>
  <c r="R125" i="1"/>
  <c r="G177" i="1"/>
  <c r="P165" i="1"/>
  <c r="J177" i="1"/>
  <c r="G89" i="1"/>
  <c r="R167" i="1" l="1"/>
  <c r="H31" i="2"/>
  <c r="H45" i="2" s="1"/>
  <c r="D31" i="2"/>
  <c r="D45" i="2" s="1"/>
  <c r="F15" i="8"/>
  <c r="F17" i="8" s="1"/>
  <c r="F25" i="8" s="1"/>
  <c r="E15" i="8"/>
  <c r="E17" i="8" s="1"/>
  <c r="E25" i="8" s="1"/>
  <c r="G15" i="8"/>
  <c r="G17" i="8" s="1"/>
  <c r="D15" i="8"/>
  <c r="D17" i="8" s="1"/>
  <c r="D25" i="8" s="1"/>
  <c r="Q167" i="1"/>
  <c r="H181" i="1"/>
  <c r="R48" i="1"/>
  <c r="I89" i="1"/>
  <c r="Q48" i="1"/>
  <c r="G181" i="1"/>
  <c r="P167" i="1"/>
  <c r="P81" i="1"/>
  <c r="J181" i="1"/>
  <c r="S167" i="1"/>
  <c r="G25" i="8" l="1"/>
  <c r="G31" i="2"/>
  <c r="G45" i="2" s="1"/>
  <c r="E31" i="2"/>
  <c r="E45" i="2" s="1"/>
  <c r="F31" i="2"/>
  <c r="F45" i="2" s="1"/>
  <c r="D26" i="8"/>
  <c r="D31" i="8"/>
  <c r="D35" i="8" s="1"/>
  <c r="D41" i="8" s="1"/>
  <c r="G26" i="8"/>
  <c r="G31" i="8"/>
  <c r="G35" i="8" s="1"/>
  <c r="G41" i="8" s="1"/>
  <c r="E26" i="8"/>
  <c r="E31" i="8"/>
  <c r="E35" i="8" s="1"/>
  <c r="E41" i="8" s="1"/>
  <c r="F26" i="8"/>
  <c r="F31" i="8"/>
  <c r="F35" i="8" s="1"/>
  <c r="F41" i="8" s="1"/>
  <c r="P171" i="1"/>
  <c r="Q171" i="1"/>
  <c r="S171" i="1"/>
  <c r="R171" i="1"/>
  <c r="R81" i="1"/>
  <c r="Q81" i="1"/>
  <c r="F88" i="5"/>
  <c r="F89" i="5"/>
  <c r="F90" i="5" s="1"/>
  <c r="F107" i="5" s="1"/>
  <c r="F112" i="5" l="1"/>
  <c r="F113" i="5" s="1"/>
  <c r="F117" i="5" s="1"/>
  <c r="F123" i="5" s="1"/>
  <c r="J182" i="1" l="1"/>
  <c r="G182" i="1"/>
  <c r="R37" i="1"/>
  <c r="J93" i="1"/>
  <c r="S85" i="1"/>
  <c r="S172" i="1"/>
  <c r="G93" i="1"/>
  <c r="P85" i="1"/>
  <c r="P172" i="1"/>
  <c r="G44" i="1"/>
  <c r="P37" i="1"/>
  <c r="J44" i="1"/>
  <c r="S37" i="1"/>
  <c r="F182" i="1"/>
  <c r="F31" i="1"/>
  <c r="F44" i="1"/>
  <c r="F93" i="1"/>
  <c r="H182" i="1"/>
  <c r="I182" i="1"/>
  <c r="G31" i="1"/>
  <c r="P31" i="1"/>
  <c r="Q31" i="1"/>
  <c r="J31" i="1"/>
  <c r="S31" i="1"/>
  <c r="R31" i="1"/>
  <c r="Q37" i="1"/>
  <c r="H31" i="1"/>
  <c r="H44" i="1"/>
  <c r="H93" i="1"/>
  <c r="Q85" i="1"/>
  <c r="Q172" i="1"/>
  <c r="I31" i="1"/>
  <c r="I44" i="1"/>
  <c r="I93" i="1"/>
  <c r="R85" i="1"/>
  <c r="R172" i="1"/>
</calcChain>
</file>

<file path=xl/sharedStrings.xml><?xml version="1.0" encoding="utf-8"?>
<sst xmlns="http://schemas.openxmlformats.org/spreadsheetml/2006/main" count="957" uniqueCount="600">
  <si>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</si>
  <si>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</si>
  <si>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</si>
  <si>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</si>
  <si>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</si>
  <si>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</si>
  <si>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</si>
  <si>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</si>
  <si>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</si>
  <si>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</si>
  <si>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</si>
  <si>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</si>
  <si>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</si>
  <si>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</si>
  <si>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</si>
  <si>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</si>
  <si>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</si>
  <si>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</si>
  <si>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</si>
  <si>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</si>
  <si>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</si>
  <si>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</si>
  <si>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</si>
  <si>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</si>
  <si>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</si>
  <si>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</si>
  <si>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</si>
  <si>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</si>
  <si>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</si>
  <si>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</si>
  <si>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</si>
  <si>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</si>
  <si>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</si>
  <si>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</si>
  <si>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</si>
  <si>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</si>
  <si>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</si>
  <si>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</si>
  <si>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</si>
  <si>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</si>
  <si>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</si>
  <si>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</si>
  <si>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</si>
  <si>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</si>
  <si>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</si>
  <si>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</si>
  <si>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</si>
  <si>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</si>
  <si>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</si>
  <si>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</si>
  <si>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</si>
  <si>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</si>
  <si>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</si>
  <si>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</si>
  <si>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</si>
  <si>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</si>
  <si>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</si>
  <si>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</si>
  <si>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</si>
  <si>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</si>
  <si>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</si>
  <si>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</si>
  <si>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</si>
  <si>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</si>
  <si>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</si>
  <si>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</si>
  <si>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</si>
  <si>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</si>
  <si>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</si>
  <si>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</si>
  <si>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</si>
  <si>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</si>
  <si>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</si>
  <si>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</si>
  <si>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</si>
  <si>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</si>
  <si>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</si>
  <si>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</si>
  <si>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</si>
  <si>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</si>
  <si>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</si>
  <si>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</si>
  <si>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</si>
  <si>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</si>
  <si>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</si>
  <si>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</si>
  <si>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</si>
  <si>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</si>
  <si>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</si>
  <si>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</si>
  <si>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</si>
  <si>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</si>
  <si>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</si>
  <si>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</si>
  <si>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</si>
  <si>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</si>
  <si>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</si>
  <si>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</si>
  <si>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</si>
  <si>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</si>
  <si>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</si>
  <si>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</si>
  <si>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</si>
  <si>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</si>
  <si>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</si>
  <si>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</si>
  <si>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</si>
  <si>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</si>
  <si>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</si>
  <si>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</si>
  <si>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</si>
  <si>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</si>
  <si>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</si>
  <si>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</si>
  <si>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</si>
  <si>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</si>
  <si>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</si>
  <si>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</si>
  <si>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</si>
  <si>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</si>
  <si>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</si>
  <si>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</si>
  <si>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</si>
  <si>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</si>
  <si>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</si>
  <si>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</si>
  <si>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</si>
  <si>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</si>
  <si>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</si>
  <si>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</si>
  <si>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</si>
  <si>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</si>
  <si>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</si>
  <si>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</si>
  <si>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</si>
  <si>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</si>
  <si>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</si>
  <si>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</si>
  <si>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</si>
  <si>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</si>
  <si>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</si>
  <si>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</si>
  <si>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</si>
  <si>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</si>
  <si>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</si>
  <si>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</si>
  <si>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</si>
  <si>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</si>
  <si>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</si>
  <si>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</si>
  <si>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</si>
  <si>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</si>
  <si>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</si>
  <si>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</si>
  <si>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</si>
  <si>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</si>
  <si>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</si>
  <si>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</si>
  <si>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</si>
  <si>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</si>
  <si>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</si>
  <si>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</si>
  <si>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</si>
  <si>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</si>
  <si>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</si>
  <si>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</si>
  <si>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</si>
  <si>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</si>
  <si>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</si>
  <si>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</si>
  <si>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</si>
  <si>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</si>
  <si>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</si>
  <si>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</si>
  <si>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</si>
  <si>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</si>
  <si>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</si>
  <si>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</si>
  <si>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</si>
  <si>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</si>
  <si>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</si>
  <si>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</si>
  <si>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</si>
  <si>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</si>
  <si>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</si>
  <si>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</si>
  <si>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</si>
  <si>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</si>
  <si>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</si>
  <si>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</si>
  <si>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</si>
  <si>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</si>
  <si>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</si>
  <si>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</si>
  <si>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</si>
  <si>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</si>
  <si>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</si>
  <si>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</si>
  <si>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</si>
  <si>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</si>
  <si>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</si>
  <si>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</si>
  <si>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</si>
  <si>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</si>
  <si>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</si>
  <si>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</si>
  <si>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</si>
  <si>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</si>
  <si>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</si>
  <si>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</si>
  <si>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</si>
  <si>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</si>
  <si>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</si>
  <si>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</si>
  <si>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</si>
  <si>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</si>
  <si>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</si>
  <si>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</si>
  <si>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</si>
  <si>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</si>
  <si>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</si>
  <si>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</si>
  <si>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</si>
  <si>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</si>
  <si>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</si>
  <si>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</si>
  <si>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</si>
  <si>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</si>
  <si>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</si>
  <si>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</si>
  <si>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</si>
  <si>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</si>
  <si>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</si>
  <si>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</si>
  <si>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</si>
  <si>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</si>
  <si>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</si>
  <si>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</si>
  <si>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</si>
  <si>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</si>
  <si>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</si>
  <si>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</si>
  <si>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</si>
  <si>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</si>
  <si>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</si>
  <si>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</si>
  <si>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</si>
  <si>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</si>
  <si>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</si>
  <si>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</si>
  <si>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</si>
  <si>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</si>
  <si>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</si>
  <si>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</si>
  <si>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</si>
  <si>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</si>
  <si>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</si>
  <si>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</si>
  <si>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</si>
  <si>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</si>
  <si>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</si>
  <si>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</si>
  <si>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</si>
  <si>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</si>
  <si>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</si>
  <si>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</si>
  <si>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</si>
  <si>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</si>
  <si>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</si>
  <si>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</si>
  <si>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</si>
  <si>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</si>
  <si>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</si>
  <si>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</si>
  <si>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</si>
  <si>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</si>
  <si>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</si>
  <si>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</si>
  <si>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</si>
  <si>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</si>
  <si>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</si>
  <si>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</si>
  <si>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</si>
  <si>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</si>
  <si>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</si>
  <si>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</si>
  <si>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</si>
  <si>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</si>
  <si>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</si>
  <si>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</si>
  <si>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</si>
  <si>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</si>
  <si>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</si>
  <si>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</si>
  <si>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</si>
  <si>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</si>
  <si>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</si>
  <si>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</si>
  <si>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</si>
  <si>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</si>
  <si>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</si>
  <si>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</si>
  <si>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</si>
  <si>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</si>
  <si>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</si>
  <si>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</si>
  <si>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</si>
  <si>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ROA</t>
  </si>
  <si>
    <t>Ebit(1-t) / Total assets</t>
  </si>
  <si>
    <t xml:space="preserve">Ebit(1-t)/Sales x Salex/BV of capital </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</si>
  <si>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</si>
  <si>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</si>
  <si>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</si>
  <si>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</si>
  <si>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</si>
  <si>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</si>
  <si>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</si>
  <si>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</si>
  <si>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</si>
  <si>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</si>
  <si>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</si>
  <si>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</si>
  <si>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</si>
  <si>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</si>
  <si>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</si>
  <si>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</si>
  <si>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</si>
  <si>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</si>
  <si>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</si>
  <si>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</si>
  <si>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</si>
  <si>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</si>
  <si>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</si>
  <si>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</si>
  <si>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</si>
  <si>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</si>
  <si>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</si>
  <si>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</si>
  <si>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</si>
  <si>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</si>
  <si>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</si>
  <si>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</si>
  <si>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</si>
  <si>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</si>
  <si>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</si>
  <si>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</si>
  <si>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</si>
  <si>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</si>
  <si>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</si>
  <si>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</si>
  <si>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</si>
  <si>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</si>
  <si>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</si>
  <si>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</si>
  <si>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</si>
  <si>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</si>
  <si>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</si>
  <si>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</si>
  <si>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</si>
  <si>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</si>
  <si>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</si>
  <si>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</si>
  <si>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</si>
  <si>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</si>
  <si>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</si>
  <si>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</si>
  <si>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</si>
  <si>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</si>
  <si>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</si>
  <si>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</si>
  <si>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</si>
  <si>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</si>
  <si>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</si>
  <si>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</si>
  <si>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</si>
  <si>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</si>
  <si>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</si>
  <si>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</si>
  <si>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</si>
  <si>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</si>
  <si>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</si>
  <si>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WACC </t>
  </si>
  <si>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</si>
  <si>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</si>
  <si>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</si>
  <si>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</si>
  <si>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</si>
  <si>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</si>
  <si>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</si>
  <si>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</si>
  <si>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</si>
  <si>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</si>
  <si>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</si>
  <si>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</si>
  <si>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</si>
  <si>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</si>
  <si>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</si>
  <si>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</si>
  <si>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</si>
  <si>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</si>
  <si>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</si>
  <si>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</si>
  <si>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</si>
  <si>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</si>
  <si>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</si>
  <si>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</si>
  <si>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</si>
  <si>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</si>
  <si>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</si>
  <si>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</si>
  <si>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</si>
  <si>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</si>
  <si>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</si>
  <si>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</si>
  <si>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</si>
  <si>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</si>
  <si>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</si>
  <si>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</si>
  <si>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</si>
  <si>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</si>
  <si>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</si>
  <si>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</si>
  <si>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</si>
  <si>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</si>
  <si>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</si>
  <si>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</si>
  <si>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</si>
  <si>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</si>
  <si>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</si>
  <si>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</si>
  <si>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</si>
  <si>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</si>
  <si>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</si>
  <si>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</si>
  <si>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</si>
  <si>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</si>
  <si>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</si>
  <si>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</si>
  <si>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</si>
  <si>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</si>
  <si>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</si>
  <si>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</si>
  <si>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</si>
  <si>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</si>
  <si>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</si>
  <si>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REORGANIZED INCOME STATEMENT (Trailing 12 Months)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</si>
  <si>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</si>
  <si>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</si>
  <si>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</si>
  <si>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</si>
  <si>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</si>
  <si>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</si>
  <si>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</si>
  <si>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</si>
  <si>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</si>
  <si>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</si>
  <si>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</si>
  <si>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</si>
  <si>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Reorganized balance sheet trailing 12 m</t>
  </si>
  <si>
    <t>Other assets:</t>
  </si>
  <si>
    <t xml:space="preserve">CHECK NET INVESTED CAPITAL </t>
  </si>
  <si>
    <t>Accruals</t>
  </si>
  <si>
    <t xml:space="preserve">Minorities + Net result from discontinued operations </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</si>
  <si>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</si>
  <si>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</si>
  <si>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</si>
  <si>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</si>
  <si>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</si>
  <si>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</si>
  <si>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</si>
  <si>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</si>
  <si>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</si>
  <si>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</si>
  <si>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</si>
  <si>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</si>
  <si>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</si>
  <si>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</si>
  <si>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Forecasts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</si>
  <si>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</si>
  <si>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</si>
  <si>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</si>
  <si>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</si>
  <si>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</si>
  <si>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</si>
  <si>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</si>
  <si>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</si>
  <si>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</si>
  <si>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Conservative wrt A2A's disclosure (2,8%)</t>
  </si>
  <si>
    <t xml:space="preserve">Dividend discount model </t>
  </si>
  <si>
    <t xml:space="preserve">A2A Dividend policy </t>
  </si>
  <si>
    <t>Distributed</t>
  </si>
  <si>
    <t>DPS</t>
  </si>
  <si>
    <t xml:space="preserve">Dividend payout ratio </t>
  </si>
  <si>
    <t>Change %</t>
  </si>
  <si>
    <t xml:space="preserve">EPS </t>
  </si>
  <si>
    <t>Outstanding shares</t>
  </si>
  <si>
    <t xml:space="preserve">Steady payout ratio: </t>
  </si>
  <si>
    <t xml:space="preserve">Stable WACC Beta = 1 </t>
  </si>
  <si>
    <t xml:space="preserve">Stable dividend growth: ROE (utility sectore) * Steady retention ratio </t>
  </si>
  <si>
    <t xml:space="preserve">Present Value of future dividends </t>
  </si>
  <si>
    <t xml:space="preserve">Present value of terminal value </t>
  </si>
  <si>
    <t xml:space="preserve">Expected price per share </t>
  </si>
  <si>
    <t>Terminal Value assumptions (stricty)</t>
  </si>
  <si>
    <t xml:space="preserve">Stable cost of equity (Beta = 1) </t>
  </si>
  <si>
    <t xml:space="preserve">Stable Cost of Equity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</si>
  <si>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</si>
  <si>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</si>
  <si>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</si>
  <si>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</si>
  <si>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</si>
  <si>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</si>
  <si>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</si>
  <si>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</si>
  <si>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</si>
  <si>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</si>
  <si>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</si>
  <si>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</si>
  <si>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</si>
  <si>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Decreasing growth Phase (3Y)</t>
  </si>
  <si>
    <t xml:space="preserve">Steady Phase </t>
  </si>
  <si>
    <t>Cost of eq</t>
  </si>
  <si>
    <t xml:space="preserve">Pres Val </t>
  </si>
  <si>
    <t>Output</t>
  </si>
  <si>
    <t>RATIOS</t>
  </si>
  <si>
    <t>formula</t>
  </si>
  <si>
    <t>Profitability analysis</t>
  </si>
  <si>
    <t>ROA (decomposed)</t>
  </si>
  <si>
    <t xml:space="preserve">(NI + Int exp(1-t) )/ Tot assets </t>
  </si>
  <si>
    <t xml:space="preserve">ROIC </t>
  </si>
  <si>
    <t>Ebit(1-t)/ (Bv Debt + Bv equity)</t>
  </si>
  <si>
    <t>ROIC(based on average)</t>
  </si>
  <si>
    <t>Ebit(1-t)/ (Bv Debt + Bv equity) (average)</t>
  </si>
  <si>
    <t>ROIC (decomposed)</t>
  </si>
  <si>
    <t xml:space="preserve">ROE </t>
  </si>
  <si>
    <t>ROC + D/E (ROC - i(1-t))</t>
  </si>
  <si>
    <t>ROE</t>
  </si>
  <si>
    <t xml:space="preserve">NI/ Book value of common equity  </t>
  </si>
  <si>
    <t xml:space="preserve">NI/ Book value of common equity (average) </t>
  </si>
  <si>
    <t>Liquidity analysis</t>
  </si>
  <si>
    <t>Current ratio</t>
  </si>
  <si>
    <t>current asset/current liabilities</t>
  </si>
  <si>
    <t xml:space="preserve">Quick ratio </t>
  </si>
  <si>
    <t xml:space="preserve">(Cash + marketable securities )/ current liabilities </t>
  </si>
  <si>
    <t>Acid test (quick ratio by campari )</t>
  </si>
  <si>
    <t>(current asset-inventories)/current liabilities</t>
  </si>
  <si>
    <r>
      <rPr>
        <b/>
        <sz val="16"/>
        <color theme="1"/>
        <rFont val="Biome"/>
        <family val="2"/>
      </rPr>
      <t>Financing analy</t>
    </r>
    <r>
      <rPr>
        <b/>
        <sz val="14"/>
        <color theme="1"/>
        <rFont val="Biome"/>
        <family val="2"/>
      </rPr>
      <t>sis</t>
    </r>
  </si>
  <si>
    <t>Interest coverage ratio</t>
  </si>
  <si>
    <t xml:space="preserve">Ebit/interest expenses </t>
  </si>
  <si>
    <t>Operating cash flows to capex</t>
  </si>
  <si>
    <t>Cash flows from operations /Capex</t>
  </si>
  <si>
    <t xml:space="preserve">Debt to capital </t>
  </si>
  <si>
    <t>debt/ debt + equity</t>
  </si>
  <si>
    <t>debt/net invested capital</t>
  </si>
  <si>
    <t>Debt to equity ratio</t>
  </si>
  <si>
    <t>debt / equity</t>
  </si>
  <si>
    <t>Firm valuation model - The cost of capital approach (general verion)</t>
  </si>
  <si>
    <t>Assumption:</t>
  </si>
  <si>
    <t>Reinvestment rate</t>
  </si>
  <si>
    <t>(net capex + change in wc)/ ebit(1-t)</t>
  </si>
  <si>
    <t>average =</t>
  </si>
  <si>
    <t>Tax rate = 27,9%</t>
  </si>
  <si>
    <t>=</t>
  </si>
  <si>
    <t xml:space="preserve">WACC = </t>
  </si>
  <si>
    <r>
      <t xml:space="preserve">Stable WACC with </t>
    </r>
    <r>
      <rPr>
        <sz val="11"/>
        <color theme="1"/>
        <rFont val="Calibri"/>
        <family val="2"/>
      </rPr>
      <t>β</t>
    </r>
    <r>
      <rPr>
        <sz val="11"/>
        <color theme="1"/>
        <rFont val="Biome"/>
        <family val="2"/>
      </rPr>
      <t>=1</t>
    </r>
  </si>
  <si>
    <t xml:space="preserve">Present value </t>
  </si>
  <si>
    <t>EBIT*(1-t)</t>
  </si>
  <si>
    <t xml:space="preserve">low ebit </t>
  </si>
  <si>
    <t>this value is imported from Damodaran's dataset and represent the average growth rate of utility companies in Euro zone</t>
  </si>
  <si>
    <t>D&amp;A</t>
  </si>
  <si>
    <t xml:space="preserve">Since we have used a more datild way to compute FCFF, I must modify a little Damodaran's model. I'm going to consider, in addition to tax in EBIT, also the tax shild generated by financial items and changes in provision, employee benefit, tax ansset annd other minor </t>
  </si>
  <si>
    <t xml:space="preserve">CAPEX </t>
  </si>
  <si>
    <t>D&amp;A as a % of CAPEX</t>
  </si>
  <si>
    <t>Forecast</t>
  </si>
  <si>
    <t>CAPEX as a % of revenues</t>
  </si>
  <si>
    <t>Expected growth rate for EBIT =</t>
  </si>
  <si>
    <t>Being the Reinvestment Rate too volatile over the last four years, i'm going to use an average RR=</t>
  </si>
  <si>
    <t>∆ NWC</t>
  </si>
  <si>
    <t>changes %</t>
  </si>
  <si>
    <t xml:space="preserve">computed with </t>
  </si>
  <si>
    <t>HIGER THAN MANAGMENT FORECAST(maybe they want to beat the expectation)COVID??</t>
  </si>
  <si>
    <t>Assuming an average of % for D&amp;A, but not considering the outlier in 2017 =</t>
  </si>
  <si>
    <t>Assuming a growth rate to forecast revenues equal to the last growth rate=</t>
  </si>
  <si>
    <t>Assuming an average of "capex as a % of revenues" to forecast capex =</t>
  </si>
  <si>
    <t>Assuming an average of "D&amp;A as % of CAPEX" but not considering the outlier in 2017 to forecast D&amp;A =</t>
  </si>
  <si>
    <t>Assuming an average of "changes%" of Provision =</t>
  </si>
  <si>
    <t>Assuming an average of "changes%" of Employees Benefit =</t>
  </si>
  <si>
    <t>Assuming an average of "changes%" of TAX Asset =</t>
  </si>
  <si>
    <t>Assuming an average of "changes%" of Other minor=</t>
  </si>
  <si>
    <t>compounded WACC</t>
  </si>
  <si>
    <t>TOTAL VALUE =</t>
  </si>
  <si>
    <t xml:space="preserve">discounted </t>
  </si>
  <si>
    <t>Terminal value =</t>
  </si>
  <si>
    <t xml:space="preserve">cash and marketable securityes + </t>
  </si>
  <si>
    <t xml:space="preserve">Debt and non-operating asset - </t>
  </si>
  <si>
    <t xml:space="preserve">Minority interest - </t>
  </si>
  <si>
    <t xml:space="preserve">value of equity in commo stock </t>
  </si>
  <si>
    <t xml:space="preserve">eps </t>
  </si>
  <si>
    <t xml:space="preserve">COSTANTI </t>
  </si>
  <si>
    <t>% SALES NEG?</t>
  </si>
  <si>
    <t xml:space="preserve">NON PREVEDIBILI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</si>
</sst>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yyyy"/>
    <numFmt numFmtId="165" formatCode="0.000%"/>
    <numFmt numFmtId="166" formatCode="0.000"/>
    <numFmt numFmtId="167" formatCode="0_);\(0\)"/>
    <numFmt numFmtId="168" formatCode="_(* #,##0_);_(* \(#,##0\);_(* &quot;-&quot;??_);_(@_)"/>
    <numFmt numFmtId="169" formatCode="0.000000%"/>
    <numFmt numFmtId="170" formatCode="0.00000%"/>
    <numFmt numFmtId="171" formatCode="_-* #,##0.0000_-;\-* #,##0.0000_-;_-* &quot;-&quot;??_-;_-@_-"/>
    <numFmt numFmtId="172"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1"/>
      <color theme="2"/>
      <name val="Calibri"/>
      <family val="2"/>
      <scheme val="minor"/>
    </font>
    <font>
      <sz val="8"/>
      <name val="Calibri"/>
      <family val="2"/>
      <scheme val="minor"/>
    </font>
    <font>
      <sz val="12"/>
      <color theme="1"/>
      <name val="Calibri"/>
      <family val="2"/>
      <scheme val="minor"/>
    </font>
    <font>
      <sz val="11"/>
      <color rgb="FFFF0000"/>
      <name val="Calibri"/>
      <family val="2"/>
      <scheme val="minor"/>
    </font>
    <font>
      <sz val="9"/>
      <color theme="1"/>
      <name val="Arial"/>
      <family val="2"/>
    </font>
    <font>
      <sz val="11"/>
      <color rgb="FFFFFF00"/>
      <name val="Calibri"/>
      <family val="2"/>
      <scheme val="minor"/>
    </font>
    <font>
      <sz val="11"/>
      <color theme="1"/>
      <name val="Arial"/>
      <family val="2"/>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sz val="11"/>
      <color theme="1"/>
      <name val="Calibri"/>
      <family val="2"/>
    </font>
    <font>
      <b/>
      <i/>
      <sz val="11"/>
      <color rgb="FF002060"/>
      <name val="Biome"/>
      <family val="2"/>
    </font>
    <font>
      <sz val="11"/>
      <color theme="0" tint="-0.14999847407452621"/>
      <name val="Biome"/>
      <family val="2"/>
    </font>
  </fonts>
  <fills count="2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003399"/>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s>
  <borders count="58">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5" fillId="0" borderId="0"/>
  </cellStyleXfs>
  <cellXfs count="587">
    <xf numFmtId="0" fontId="0" fillId="0" borderId="0" xfId="0"/>
    <xf numFmtId="0" fontId="0" fillId="2" borderId="0" xfId="0" applyFill="1"/>
    <xf numFmtId="0" fontId="2" fillId="2" borderId="0" xfId="0" applyFont="1" applyFill="1"/>
    <xf numFmtId="0" fontId="2" fillId="2" borderId="0" xfId="0" applyFont="1" applyFill="1" applyAlignment="1">
      <alignment wrapText="1"/>
    </xf>
    <xf numFmtId="0" fontId="0" fillId="2" borderId="0" xfId="0" applyFill="1" applyAlignment="1">
      <alignment vertical="center" wrapText="1"/>
    </xf>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5" fontId="6" fillId="2" borderId="3" xfId="1" applyNumberFormat="1" applyFont="1" applyFill="1" applyBorder="1"/>
    <xf numFmtId="0" fontId="6" fillId="0" borderId="4" xfId="0" applyFont="1" applyBorder="1"/>
    <xf numFmtId="165" fontId="10" fillId="4" borderId="3" xfId="1" applyNumberFormat="1" applyFont="1" applyFill="1" applyBorder="1"/>
    <xf numFmtId="3" fontId="10" fillId="4" borderId="4" xfId="0" applyNumberFormat="1" applyFont="1" applyFill="1" applyBorder="1"/>
    <xf numFmtId="165" fontId="14" fillId="2" borderId="3" xfId="1" applyNumberFormat="1" applyFont="1" applyFill="1" applyBorder="1"/>
    <xf numFmtId="0" fontId="14" fillId="2" borderId="4" xfId="0" applyFont="1" applyFill="1" applyBorder="1"/>
    <xf numFmtId="0" fontId="10" fillId="4" borderId="4" xfId="0" applyFont="1" applyFill="1" applyBorder="1"/>
    <xf numFmtId="165" fontId="11" fillId="6" borderId="3" xfId="1" applyNumberFormat="1" applyFont="1" applyFill="1" applyBorder="1"/>
    <xf numFmtId="0" fontId="11" fillId="6" borderId="4" xfId="0" applyFont="1" applyFill="1" applyBorder="1"/>
    <xf numFmtId="165" fontId="11" fillId="7" borderId="3" xfId="1" applyNumberFormat="1" applyFont="1" applyFill="1" applyBorder="1"/>
    <xf numFmtId="0" fontId="11" fillId="7" borderId="4" xfId="0" applyFont="1" applyFill="1" applyBorder="1"/>
    <xf numFmtId="165"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5"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5" fillId="8" borderId="0" xfId="0" applyFont="1" applyFill="1" applyBorder="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5" fontId="0" fillId="2" borderId="10" xfId="1" applyNumberFormat="1" applyFont="1" applyFill="1" applyBorder="1"/>
    <xf numFmtId="0" fontId="0" fillId="0" borderId="10" xfId="0" applyBorder="1"/>
    <xf numFmtId="0" fontId="0" fillId="0" borderId="11" xfId="0" applyBorder="1"/>
    <xf numFmtId="165"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6" fontId="0" fillId="0" borderId="10" xfId="0" applyNumberFormat="1" applyBorder="1"/>
    <xf numFmtId="165" fontId="0" fillId="0" borderId="10" xfId="1" applyNumberFormat="1" applyFont="1" applyBorder="1"/>
    <xf numFmtId="0" fontId="0" fillId="0" borderId="21" xfId="0" applyBorder="1"/>
    <xf numFmtId="0" fontId="0" fillId="0" borderId="22" xfId="0" applyBorder="1"/>
    <xf numFmtId="165"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5" fontId="6" fillId="2" borderId="0" xfId="1" applyNumberFormat="1" applyFont="1" applyFill="1" applyBorder="1"/>
    <xf numFmtId="0" fontId="22" fillId="3" borderId="0" xfId="0" applyFont="1" applyFill="1" applyBorder="1"/>
    <xf numFmtId="164"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7" fontId="11" fillId="2" borderId="0" xfId="0" applyNumberFormat="1" applyFont="1" applyFill="1" applyBorder="1"/>
    <xf numFmtId="167" fontId="6" fillId="2" borderId="0" xfId="0" applyNumberFormat="1" applyFont="1" applyFill="1" applyBorder="1"/>
    <xf numFmtId="167" fontId="14" fillId="2" borderId="0" xfId="0" applyNumberFormat="1" applyFont="1" applyFill="1" applyBorder="1"/>
    <xf numFmtId="167" fontId="6" fillId="2" borderId="3" xfId="0" applyNumberFormat="1" applyFont="1" applyFill="1" applyBorder="1"/>
    <xf numFmtId="167" fontId="14" fillId="2" borderId="3" xfId="0" applyNumberFormat="1" applyFont="1" applyFill="1" applyBorder="1"/>
    <xf numFmtId="167" fontId="11" fillId="2" borderId="3" xfId="0" applyNumberFormat="1" applyFont="1" applyFill="1" applyBorder="1"/>
    <xf numFmtId="167" fontId="11" fillId="5" borderId="3" xfId="0" applyNumberFormat="1" applyFont="1" applyFill="1" applyBorder="1"/>
    <xf numFmtId="167" fontId="6" fillId="2" borderId="3" xfId="1" applyNumberFormat="1" applyFont="1" applyFill="1" applyBorder="1"/>
    <xf numFmtId="167" fontId="11" fillId="7" borderId="3" xfId="0" applyNumberFormat="1" applyFont="1" applyFill="1" applyBorder="1"/>
    <xf numFmtId="0" fontId="23" fillId="2" borderId="0" xfId="0" applyFont="1" applyFill="1" applyBorder="1" applyAlignment="1"/>
    <xf numFmtId="167" fontId="11" fillId="2" borderId="2" xfId="0" applyNumberFormat="1" applyFont="1" applyFill="1" applyBorder="1"/>
    <xf numFmtId="167" fontId="6" fillId="2" borderId="2" xfId="0" applyNumberFormat="1" applyFont="1" applyFill="1" applyBorder="1"/>
    <xf numFmtId="167" fontId="14" fillId="2" borderId="2" xfId="0" applyNumberFormat="1" applyFont="1" applyFill="1" applyBorder="1"/>
    <xf numFmtId="167" fontId="6" fillId="2" borderId="0" xfId="0" applyNumberFormat="1" applyFont="1" applyFill="1" applyBorder="1" applyAlignment="1">
      <alignment wrapText="1"/>
    </xf>
    <xf numFmtId="167" fontId="6" fillId="2" borderId="0" xfId="1" applyNumberFormat="1" applyFont="1" applyFill="1" applyBorder="1"/>
    <xf numFmtId="167" fontId="11" fillId="7" borderId="2" xfId="0" applyNumberFormat="1" applyFont="1" applyFill="1" applyBorder="1"/>
    <xf numFmtId="167" fontId="11" fillId="5" borderId="2" xfId="0" applyNumberFormat="1" applyFont="1" applyFill="1" applyBorder="1"/>
    <xf numFmtId="167" fontId="6" fillId="5" borderId="2" xfId="0" applyNumberFormat="1" applyFont="1" applyFill="1" applyBorder="1"/>
    <xf numFmtId="167" fontId="6" fillId="5" borderId="3" xfId="0" applyNumberFormat="1" applyFont="1" applyFill="1" applyBorder="1"/>
    <xf numFmtId="167" fontId="11" fillId="6" borderId="2" xfId="0" applyNumberFormat="1" applyFont="1" applyFill="1" applyBorder="1"/>
    <xf numFmtId="167" fontId="11" fillId="6" borderId="3" xfId="0" applyNumberFormat="1" applyFont="1" applyFill="1" applyBorder="1"/>
    <xf numFmtId="167" fontId="14" fillId="6" borderId="2" xfId="0" applyNumberFormat="1" applyFont="1" applyFill="1" applyBorder="1"/>
    <xf numFmtId="167" fontId="14" fillId="6" borderId="3" xfId="0" applyNumberFormat="1" applyFont="1" applyFill="1" applyBorder="1"/>
    <xf numFmtId="0" fontId="29" fillId="2" borderId="0" xfId="0" applyFont="1" applyFill="1"/>
    <xf numFmtId="0" fontId="4" fillId="2" borderId="1" xfId="0" applyFont="1" applyFill="1" applyBorder="1"/>
    <xf numFmtId="0" fontId="4" fillId="2" borderId="0"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7"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43" fontId="6" fillId="2" borderId="2" xfId="2" applyFont="1" applyFill="1" applyBorder="1"/>
    <xf numFmtId="43" fontId="6" fillId="2" borderId="3" xfId="2" applyFont="1" applyFill="1" applyBorder="1"/>
    <xf numFmtId="168" fontId="11" fillId="2" borderId="2" xfId="2" applyNumberFormat="1" applyFont="1" applyFill="1" applyBorder="1"/>
    <xf numFmtId="168" fontId="11" fillId="2"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6" fillId="5" borderId="2" xfId="2" applyNumberFormat="1" applyFont="1" applyFill="1" applyBorder="1"/>
    <xf numFmtId="168" fontId="6" fillId="5" borderId="3" xfId="2" applyNumberFormat="1" applyFont="1" applyFill="1" applyBorder="1"/>
    <xf numFmtId="168" fontId="6" fillId="7" borderId="2" xfId="2" applyNumberFormat="1" applyFont="1" applyFill="1" applyBorder="1"/>
    <xf numFmtId="168" fontId="6" fillId="7" borderId="3" xfId="2" applyNumberFormat="1" applyFont="1" applyFill="1" applyBorder="1"/>
    <xf numFmtId="168" fontId="6" fillId="2" borderId="2" xfId="0" applyNumberFormat="1" applyFont="1" applyFill="1" applyBorder="1"/>
    <xf numFmtId="168" fontId="6" fillId="2" borderId="3" xfId="0" applyNumberFormat="1" applyFont="1" applyFill="1" applyBorder="1"/>
    <xf numFmtId="10" fontId="6" fillId="2" borderId="2" xfId="2" applyNumberFormat="1" applyFont="1" applyFill="1" applyBorder="1"/>
    <xf numFmtId="43" fontId="14" fillId="2" borderId="2" xfId="2" applyFont="1" applyFill="1" applyBorder="1"/>
    <xf numFmtId="43" fontId="14" fillId="2" borderId="3" xfId="2" applyFont="1" applyFill="1" applyBorder="1"/>
    <xf numFmtId="168" fontId="14" fillId="2" borderId="3" xfId="2" applyNumberFormat="1" applyFont="1" applyFill="1" applyBorder="1"/>
    <xf numFmtId="168" fontId="11" fillId="6" borderId="3" xfId="2" applyNumberFormat="1" applyFont="1" applyFill="1" applyBorder="1"/>
    <xf numFmtId="168" fontId="11" fillId="5" borderId="3" xfId="2" applyNumberFormat="1" applyFont="1" applyFill="1" applyBorder="1"/>
    <xf numFmtId="167" fontId="6" fillId="2" borderId="2" xfId="2" applyNumberFormat="1" applyFont="1" applyFill="1" applyBorder="1"/>
    <xf numFmtId="167" fontId="6" fillId="2" borderId="3" xfId="2" applyNumberFormat="1" applyFont="1" applyFill="1" applyBorder="1"/>
    <xf numFmtId="167" fontId="10" fillId="4" borderId="2" xfId="2" applyNumberFormat="1" applyFont="1" applyFill="1" applyBorder="1"/>
    <xf numFmtId="167" fontId="10" fillId="4" borderId="3" xfId="2" applyNumberFormat="1" applyFont="1" applyFill="1" applyBorder="1"/>
    <xf numFmtId="167" fontId="14" fillId="2" borderId="2" xfId="2" applyNumberFormat="1" applyFont="1" applyFill="1" applyBorder="1"/>
    <xf numFmtId="167" fontId="14" fillId="2" borderId="3" xfId="2" applyNumberFormat="1" applyFont="1" applyFill="1" applyBorder="1"/>
    <xf numFmtId="167" fontId="29" fillId="2" borderId="2" xfId="2" applyNumberFormat="1" applyFont="1" applyFill="1" applyBorder="1"/>
    <xf numFmtId="167" fontId="29" fillId="2" borderId="3" xfId="2" applyNumberFormat="1" applyFont="1" applyFill="1" applyBorder="1"/>
    <xf numFmtId="167" fontId="0" fillId="2" borderId="2" xfId="2" applyNumberFormat="1" applyFont="1" applyFill="1" applyBorder="1"/>
    <xf numFmtId="167" fontId="0" fillId="2" borderId="3" xfId="2" applyNumberFormat="1" applyFont="1" applyFill="1" applyBorder="1"/>
    <xf numFmtId="167" fontId="0" fillId="0" borderId="2" xfId="2" applyNumberFormat="1" applyFont="1" applyBorder="1"/>
    <xf numFmtId="167" fontId="0" fillId="0" borderId="3" xfId="2" applyNumberFormat="1" applyFont="1" applyBorder="1"/>
    <xf numFmtId="167" fontId="11" fillId="2" borderId="2" xfId="2" applyNumberFormat="1" applyFont="1" applyFill="1" applyBorder="1"/>
    <xf numFmtId="167" fontId="11" fillId="2" borderId="3" xfId="2" applyNumberFormat="1" applyFont="1" applyFill="1" applyBorder="1"/>
    <xf numFmtId="167" fontId="11" fillId="6" borderId="2" xfId="2" applyNumberFormat="1" applyFont="1" applyFill="1" applyBorder="1"/>
    <xf numFmtId="167" fontId="11" fillId="6" borderId="3" xfId="2" applyNumberFormat="1" applyFont="1" applyFill="1" applyBorder="1"/>
    <xf numFmtId="167" fontId="6" fillId="0" borderId="2" xfId="2" applyNumberFormat="1" applyFont="1" applyBorder="1"/>
    <xf numFmtId="167" fontId="11" fillId="7" borderId="2" xfId="2" applyNumberFormat="1" applyFont="1" applyFill="1" applyBorder="1"/>
    <xf numFmtId="167" fontId="11" fillId="7" borderId="3" xfId="2" applyNumberFormat="1" applyFont="1" applyFill="1" applyBorder="1"/>
    <xf numFmtId="167" fontId="16" fillId="2" borderId="2" xfId="2" applyNumberFormat="1" applyFont="1" applyFill="1" applyBorder="1"/>
    <xf numFmtId="167" fontId="11" fillId="5" borderId="2" xfId="2" applyNumberFormat="1" applyFont="1" applyFill="1" applyBorder="1"/>
    <xf numFmtId="167" fontId="11" fillId="5" borderId="3" xfId="2" applyNumberFormat="1" applyFont="1" applyFill="1" applyBorder="1"/>
    <xf numFmtId="168" fontId="6" fillId="2" borderId="0" xfId="2" applyNumberFormat="1" applyFont="1" applyFill="1" applyBorder="1"/>
    <xf numFmtId="168" fontId="7" fillId="15" borderId="0" xfId="2" applyNumberFormat="1" applyFont="1" applyFill="1" applyBorder="1"/>
    <xf numFmtId="168" fontId="7" fillId="15" borderId="3" xfId="2" applyNumberFormat="1" applyFont="1" applyFill="1" applyBorder="1"/>
    <xf numFmtId="168" fontId="10" fillId="8" borderId="0" xfId="2" applyNumberFormat="1" applyFont="1" applyFill="1" applyBorder="1"/>
    <xf numFmtId="168" fontId="10" fillId="8" borderId="3" xfId="2" applyNumberFormat="1" applyFont="1" applyFill="1" applyBorder="1"/>
    <xf numFmtId="168" fontId="14" fillId="2" borderId="0" xfId="2" applyNumberFormat="1" applyFont="1" applyFill="1" applyBorder="1"/>
    <xf numFmtId="168" fontId="10" fillId="2" borderId="0" xfId="2" applyNumberFormat="1" applyFont="1" applyFill="1" applyBorder="1"/>
    <xf numFmtId="168" fontId="10" fillId="2" borderId="3" xfId="2" applyNumberFormat="1" applyFont="1" applyFill="1" applyBorder="1"/>
    <xf numFmtId="168" fontId="11" fillId="6" borderId="0" xfId="2" applyNumberFormat="1" applyFont="1" applyFill="1" applyBorder="1"/>
    <xf numFmtId="168" fontId="14" fillId="15" borderId="0" xfId="2" applyNumberFormat="1" applyFont="1" applyFill="1" applyBorder="1"/>
    <xf numFmtId="168" fontId="14" fillId="15" borderId="3" xfId="2" applyNumberFormat="1" applyFont="1" applyFill="1" applyBorder="1"/>
    <xf numFmtId="168" fontId="11" fillId="5" borderId="0" xfId="2" applyNumberFormat="1" applyFont="1" applyFill="1" applyBorder="1"/>
    <xf numFmtId="168" fontId="6" fillId="15" borderId="0" xfId="2" applyNumberFormat="1" applyFont="1" applyFill="1" applyBorder="1"/>
    <xf numFmtId="168" fontId="6" fillId="15" borderId="3" xfId="2" applyNumberFormat="1" applyFont="1" applyFill="1" applyBorder="1"/>
    <xf numFmtId="168" fontId="14" fillId="8" borderId="0" xfId="2" applyNumberFormat="1" applyFont="1" applyFill="1" applyBorder="1"/>
    <xf numFmtId="168" fontId="14" fillId="8" borderId="3" xfId="2" applyNumberFormat="1" applyFont="1" applyFill="1" applyBorder="1"/>
    <xf numFmtId="168" fontId="25" fillId="8" borderId="0" xfId="2" applyNumberFormat="1" applyFont="1" applyFill="1" applyBorder="1"/>
    <xf numFmtId="168" fontId="25" fillId="8" borderId="3" xfId="2" applyNumberFormat="1" applyFont="1" applyFill="1" applyBorder="1"/>
    <xf numFmtId="168" fontId="11" fillId="2" borderId="0" xfId="2" applyNumberFormat="1" applyFont="1" applyFill="1" applyBorder="1"/>
    <xf numFmtId="168" fontId="6" fillId="5" borderId="0" xfId="2" applyNumberFormat="1" applyFont="1" applyFill="1" applyBorder="1"/>
    <xf numFmtId="168" fontId="30" fillId="8" borderId="0" xfId="2" applyNumberFormat="1" applyFont="1" applyFill="1" applyBorder="1"/>
    <xf numFmtId="168" fontId="30" fillId="8" borderId="3" xfId="2" applyNumberFormat="1" applyFont="1" applyFill="1" applyBorder="1"/>
    <xf numFmtId="167" fontId="6" fillId="2" borderId="2" xfId="1" applyNumberFormat="1" applyFont="1" applyFill="1" applyBorder="1"/>
    <xf numFmtId="167"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43" fontId="6" fillId="2" borderId="2" xfId="2" applyNumberFormat="1" applyFont="1" applyFill="1" applyBorder="1"/>
    <xf numFmtId="43"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8" fontId="11" fillId="2" borderId="37" xfId="2" applyNumberFormat="1" applyFont="1" applyFill="1" applyBorder="1"/>
    <xf numFmtId="168" fontId="6" fillId="2" borderId="37" xfId="2" applyNumberFormat="1" applyFont="1" applyFill="1" applyBorder="1"/>
    <xf numFmtId="43" fontId="6" fillId="2" borderId="37" xfId="2" applyNumberFormat="1" applyFont="1" applyFill="1" applyBorder="1"/>
    <xf numFmtId="168" fontId="6" fillId="5" borderId="37" xfId="2" applyNumberFormat="1" applyFont="1" applyFill="1" applyBorder="1"/>
    <xf numFmtId="168" fontId="6" fillId="2" borderId="30" xfId="2" applyNumberFormat="1" applyFont="1" applyFill="1" applyBorder="1"/>
    <xf numFmtId="168" fontId="6" fillId="7" borderId="30" xfId="2" applyNumberFormat="1" applyFont="1" applyFill="1" applyBorder="1"/>
    <xf numFmtId="10" fontId="6" fillId="2" borderId="30" xfId="2" applyNumberFormat="1" applyFont="1" applyFill="1" applyBorder="1"/>
    <xf numFmtId="168" fontId="6" fillId="7" borderId="37" xfId="2" applyNumberFormat="1" applyFont="1" applyFill="1" applyBorder="1"/>
    <xf numFmtId="168" fontId="6" fillId="2" borderId="37" xfId="0" applyNumberFormat="1" applyFont="1" applyFill="1" applyBorder="1"/>
    <xf numFmtId="168" fontId="6" fillId="2" borderId="30" xfId="0" applyNumberFormat="1" applyFont="1" applyFill="1" applyBorder="1"/>
    <xf numFmtId="0" fontId="0" fillId="2" borderId="31" xfId="0" applyFill="1" applyBorder="1"/>
    <xf numFmtId="0" fontId="6" fillId="2" borderId="22" xfId="0" applyFont="1" applyFill="1" applyBorder="1"/>
    <xf numFmtId="168" fontId="6" fillId="2" borderId="38" xfId="0" applyNumberFormat="1" applyFont="1" applyFill="1" applyBorder="1"/>
    <xf numFmtId="168"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6" borderId="29" xfId="0" applyFill="1" applyBorder="1"/>
    <xf numFmtId="0" fontId="0" fillId="6" borderId="31" xfId="0" applyFill="1" applyBorder="1"/>
    <xf numFmtId="0" fontId="0" fillId="0" borderId="0" xfId="0" applyFill="1" applyBorder="1"/>
    <xf numFmtId="0" fontId="0" fillId="6" borderId="22" xfId="0" applyFill="1" applyBorder="1"/>
    <xf numFmtId="0" fontId="33" fillId="16" borderId="19" xfId="0" applyFont="1" applyFill="1" applyBorder="1"/>
    <xf numFmtId="0" fontId="31" fillId="13" borderId="42" xfId="0" applyFont="1" applyFill="1" applyBorder="1"/>
    <xf numFmtId="0" fontId="31" fillId="18" borderId="40" xfId="0" applyFont="1" applyFill="1" applyBorder="1"/>
    <xf numFmtId="0" fontId="31" fillId="18" borderId="43" xfId="0" applyFont="1" applyFill="1" applyBorder="1"/>
    <xf numFmtId="169" fontId="0" fillId="2" borderId="30" xfId="1" applyNumberFormat="1" applyFont="1" applyFill="1" applyBorder="1"/>
    <xf numFmtId="0" fontId="0" fillId="2" borderId="44" xfId="0" applyFill="1" applyBorder="1"/>
    <xf numFmtId="10" fontId="0" fillId="2" borderId="45" xfId="0" applyNumberFormat="1" applyFill="1" applyBorder="1"/>
    <xf numFmtId="0" fontId="2" fillId="2" borderId="29" xfId="0" applyFont="1" applyFill="1" applyBorder="1"/>
    <xf numFmtId="169" fontId="0" fillId="2" borderId="30" xfId="0" applyNumberFormat="1" applyFill="1" applyBorder="1"/>
    <xf numFmtId="170" fontId="0" fillId="2" borderId="30" xfId="1" applyNumberFormat="1" applyFont="1" applyFill="1" applyBorder="1"/>
    <xf numFmtId="0" fontId="0" fillId="2" borderId="30" xfId="0" applyFill="1" applyBorder="1"/>
    <xf numFmtId="170" fontId="0" fillId="2" borderId="30" xfId="0" applyNumberFormat="1" applyFill="1" applyBorder="1"/>
    <xf numFmtId="0" fontId="2" fillId="2" borderId="44" xfId="0" applyFont="1" applyFill="1" applyBorder="1"/>
    <xf numFmtId="171" fontId="0" fillId="2" borderId="45" xfId="2" applyNumberFormat="1" applyFont="1" applyFill="1" applyBorder="1"/>
    <xf numFmtId="169" fontId="2" fillId="2" borderId="29" xfId="0" applyNumberFormat="1" applyFont="1" applyFill="1" applyBorder="1"/>
    <xf numFmtId="0" fontId="0" fillId="2" borderId="45" xfId="0" applyFill="1" applyBorder="1"/>
    <xf numFmtId="170" fontId="0" fillId="2" borderId="45" xfId="0" applyNumberFormat="1" applyFill="1" applyBorder="1"/>
    <xf numFmtId="9" fontId="0" fillId="2" borderId="30" xfId="1" applyFont="1" applyFill="1" applyBorder="1"/>
    <xf numFmtId="0" fontId="31" fillId="17" borderId="28" xfId="0" applyFont="1" applyFill="1" applyBorder="1"/>
    <xf numFmtId="0" fontId="31" fillId="17" borderId="27" xfId="0" applyFont="1" applyFill="1" applyBorder="1"/>
    <xf numFmtId="0" fontId="0" fillId="2" borderId="27" xfId="0" applyFill="1" applyBorder="1"/>
    <xf numFmtId="170" fontId="0" fillId="2" borderId="0" xfId="1" applyNumberFormat="1" applyFont="1" applyFill="1" applyBorder="1"/>
    <xf numFmtId="0" fontId="0" fillId="2" borderId="32" xfId="0" applyFill="1" applyBorder="1"/>
    <xf numFmtId="0" fontId="0" fillId="2" borderId="1" xfId="0" applyFill="1" applyBorder="1"/>
    <xf numFmtId="0" fontId="31" fillId="13" borderId="5" xfId="0" applyFont="1" applyFill="1" applyBorder="1"/>
    <xf numFmtId="170" fontId="31" fillId="13" borderId="39" xfId="1" applyNumberFormat="1" applyFont="1"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9" borderId="0" xfId="0" applyFont="1" applyFill="1" applyBorder="1"/>
    <xf numFmtId="168" fontId="0" fillId="2" borderId="0" xfId="2" applyNumberFormat="1" applyFont="1" applyFill="1" applyBorder="1"/>
    <xf numFmtId="14" fontId="0" fillId="0" borderId="0" xfId="0" applyNumberFormat="1" applyFill="1" applyBorder="1"/>
    <xf numFmtId="0" fontId="0" fillId="20"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7" fontId="6" fillId="2" borderId="29" xfId="0" applyNumberFormat="1" applyFont="1" applyFill="1" applyBorder="1"/>
    <xf numFmtId="167" fontId="6" fillId="2" borderId="37" xfId="0" applyNumberFormat="1" applyFont="1" applyFill="1" applyBorder="1"/>
    <xf numFmtId="167" fontId="11" fillId="5" borderId="29" xfId="0" applyNumberFormat="1" applyFont="1" applyFill="1" applyBorder="1"/>
    <xf numFmtId="167" fontId="11" fillId="5" borderId="0" xfId="0" applyNumberFormat="1" applyFont="1" applyFill="1" applyBorder="1"/>
    <xf numFmtId="167" fontId="11" fillId="5" borderId="37" xfId="0" applyNumberFormat="1" applyFont="1" applyFill="1" applyBorder="1"/>
    <xf numFmtId="167" fontId="11" fillId="6" borderId="29" xfId="0" applyNumberFormat="1" applyFont="1" applyFill="1" applyBorder="1"/>
    <xf numFmtId="167" fontId="11" fillId="6" borderId="0" xfId="0" applyNumberFormat="1" applyFont="1" applyFill="1" applyBorder="1"/>
    <xf numFmtId="167" fontId="11" fillId="6" borderId="37" xfId="0" applyNumberFormat="1" applyFont="1" applyFill="1" applyBorder="1"/>
    <xf numFmtId="167" fontId="11" fillId="2" borderId="29" xfId="0" applyNumberFormat="1" applyFont="1" applyFill="1" applyBorder="1"/>
    <xf numFmtId="167" fontId="11" fillId="2" borderId="37" xfId="0" applyNumberFormat="1" applyFont="1" applyFill="1" applyBorder="1"/>
    <xf numFmtId="167" fontId="14" fillId="2" borderId="29" xfId="0" applyNumberFormat="1" applyFont="1" applyFill="1" applyBorder="1"/>
    <xf numFmtId="167" fontId="6" fillId="2" borderId="29" xfId="0" applyNumberFormat="1" applyFont="1" applyFill="1" applyBorder="1" applyAlignment="1">
      <alignment wrapText="1"/>
    </xf>
    <xf numFmtId="167" fontId="6" fillId="2" borderId="30" xfId="0" applyNumberFormat="1" applyFont="1" applyFill="1" applyBorder="1"/>
    <xf numFmtId="167" fontId="11" fillId="5" borderId="30" xfId="0" applyNumberFormat="1" applyFont="1" applyFill="1" applyBorder="1"/>
    <xf numFmtId="167" fontId="11" fillId="7" borderId="29" xfId="0" applyNumberFormat="1" applyFont="1" applyFill="1" applyBorder="1"/>
    <xf numFmtId="167" fontId="11" fillId="7" borderId="0" xfId="0" applyNumberFormat="1" applyFont="1" applyFill="1" applyBorder="1"/>
    <xf numFmtId="167" fontId="11" fillId="7" borderId="30" xfId="0" applyNumberFormat="1" applyFont="1" applyFill="1" applyBorder="1"/>
    <xf numFmtId="167" fontId="6" fillId="5" borderId="29" xfId="0" applyNumberFormat="1" applyFont="1" applyFill="1" applyBorder="1"/>
    <xf numFmtId="167" fontId="6" fillId="5" borderId="0" xfId="0" applyNumberFormat="1" applyFont="1" applyFill="1" applyBorder="1"/>
    <xf numFmtId="167" fontId="14" fillId="6" borderId="29" xfId="0" applyNumberFormat="1" applyFont="1" applyFill="1" applyBorder="1"/>
    <xf numFmtId="167" fontId="14" fillId="6" borderId="0" xfId="0" applyNumberFormat="1" applyFont="1" applyFill="1" applyBorder="1"/>
    <xf numFmtId="167" fontId="7" fillId="6" borderId="37" xfId="0" applyNumberFormat="1" applyFont="1" applyFill="1" applyBorder="1"/>
    <xf numFmtId="167" fontId="14" fillId="2" borderId="37" xfId="0" applyNumberFormat="1" applyFont="1" applyFill="1" applyBorder="1"/>
    <xf numFmtId="167" fontId="11" fillId="7" borderId="31" xfId="0" applyNumberFormat="1" applyFont="1" applyFill="1" applyBorder="1"/>
    <xf numFmtId="167" fontId="11" fillId="7" borderId="22" xfId="0" applyNumberFormat="1" applyFont="1" applyFill="1" applyBorder="1"/>
    <xf numFmtId="167" fontId="11" fillId="7" borderId="38" xfId="0" applyNumberFormat="1" applyFont="1" applyFill="1" applyBorder="1"/>
    <xf numFmtId="167"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167" fontId="6" fillId="0" borderId="37" xfId="0" applyNumberFormat="1" applyFont="1" applyBorder="1"/>
    <xf numFmtId="0" fontId="6" fillId="19" borderId="29" xfId="0" applyFont="1" applyFill="1" applyBorder="1"/>
    <xf numFmtId="167" fontId="6" fillId="19" borderId="37" xfId="0" applyNumberFormat="1" applyFont="1" applyFill="1" applyBorder="1"/>
    <xf numFmtId="167" fontId="6" fillId="5" borderId="37" xfId="0" applyNumberFormat="1" applyFont="1" applyFill="1" applyBorder="1"/>
    <xf numFmtId="0" fontId="11" fillId="7" borderId="31" xfId="0" applyFont="1" applyFill="1" applyBorder="1"/>
    <xf numFmtId="0" fontId="0" fillId="7" borderId="22" xfId="0" applyFont="1" applyFill="1" applyBorder="1"/>
    <xf numFmtId="14" fontId="32" fillId="0" borderId="0" xfId="0" applyNumberFormat="1"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0" fontId="35" fillId="0" borderId="0" xfId="0" applyFont="1" applyFill="1" applyBorder="1"/>
    <xf numFmtId="0" fontId="32" fillId="0" borderId="0" xfId="0" applyFont="1" applyFill="1" applyBorder="1"/>
    <xf numFmtId="168" fontId="0" fillId="11" borderId="39" xfId="0" applyNumberFormat="1" applyFill="1" applyBorder="1"/>
    <xf numFmtId="0" fontId="31" fillId="0" borderId="0" xfId="0" applyFont="1" applyFill="1"/>
    <xf numFmtId="0" fontId="36" fillId="0" borderId="0" xfId="0" applyFont="1" applyFill="1"/>
    <xf numFmtId="168" fontId="0" fillId="11" borderId="39" xfId="2" applyNumberFormat="1" applyFont="1" applyFill="1" applyBorder="1"/>
    <xf numFmtId="0" fontId="0" fillId="6" borderId="30" xfId="0" applyFill="1" applyBorder="1"/>
    <xf numFmtId="0" fontId="0" fillId="6" borderId="32" xfId="0" applyFill="1" applyBorder="1"/>
    <xf numFmtId="0" fontId="0" fillId="2" borderId="5" xfId="0" applyFill="1" applyBorder="1"/>
    <xf numFmtId="0" fontId="0" fillId="2" borderId="6" xfId="0" applyFill="1" applyBorder="1"/>
    <xf numFmtId="0" fontId="0" fillId="2" borderId="21" xfId="0" applyFill="1" applyBorder="1"/>
    <xf numFmtId="0" fontId="0" fillId="2" borderId="20" xfId="0" applyFill="1" applyBorder="1"/>
    <xf numFmtId="0" fontId="0" fillId="2" borderId="26" xfId="0" applyFill="1" applyBorder="1"/>
    <xf numFmtId="0" fontId="31" fillId="22" borderId="26" xfId="0" applyFont="1" applyFill="1" applyBorder="1"/>
    <xf numFmtId="14" fontId="31" fillId="22" borderId="26" xfId="0" applyNumberFormat="1" applyFont="1" applyFill="1" applyBorder="1"/>
    <xf numFmtId="0" fontId="31" fillId="22" borderId="39" xfId="0" applyFont="1" applyFill="1" applyBorder="1"/>
    <xf numFmtId="0" fontId="31" fillId="22" borderId="5" xfId="0" applyFont="1" applyFill="1" applyBorder="1"/>
    <xf numFmtId="0" fontId="31" fillId="22" borderId="6" xfId="0" applyFont="1" applyFill="1" applyBorder="1"/>
    <xf numFmtId="0" fontId="0" fillId="6" borderId="39" xfId="0" applyFill="1" applyBorder="1"/>
    <xf numFmtId="165" fontId="38" fillId="18" borderId="43" xfId="1" applyNumberFormat="1" applyFont="1" applyFill="1" applyBorder="1"/>
    <xf numFmtId="165" fontId="38" fillId="13" borderId="17" xfId="1" applyNumberFormat="1" applyFont="1" applyFill="1" applyBorder="1"/>
    <xf numFmtId="0" fontId="31" fillId="0" borderId="0" xfId="0" applyFont="1" applyFill="1" applyBorder="1"/>
    <xf numFmtId="0" fontId="2" fillId="22" borderId="5" xfId="0" applyFont="1" applyFill="1" applyBorder="1"/>
    <xf numFmtId="0" fontId="31" fillId="23" borderId="19" xfId="0" applyFont="1" applyFill="1" applyBorder="1"/>
    <xf numFmtId="0" fontId="31" fillId="23" borderId="21" xfId="0" applyFont="1" applyFill="1" applyBorder="1"/>
    <xf numFmtId="0" fontId="31" fillId="24" borderId="19" xfId="0" applyFont="1" applyFill="1" applyBorder="1"/>
    <xf numFmtId="0" fontId="31" fillId="24" borderId="21" xfId="0" applyFont="1" applyFill="1" applyBorder="1"/>
    <xf numFmtId="0" fontId="0" fillId="6" borderId="28" xfId="0" applyFill="1" applyBorder="1"/>
    <xf numFmtId="0" fontId="2" fillId="6" borderId="27" xfId="0" applyFont="1" applyFill="1" applyBorder="1"/>
    <xf numFmtId="0" fontId="2" fillId="6" borderId="32" xfId="0" applyFont="1" applyFill="1" applyBorder="1"/>
    <xf numFmtId="0" fontId="0" fillId="21" borderId="28" xfId="0" applyFill="1" applyBorder="1"/>
    <xf numFmtId="0" fontId="2" fillId="21" borderId="27" xfId="0" applyFont="1" applyFill="1" applyBorder="1"/>
    <xf numFmtId="0" fontId="0" fillId="21" borderId="31" xfId="0" applyFill="1" applyBorder="1"/>
    <xf numFmtId="0" fontId="2" fillId="21" borderId="32" xfId="0" applyFont="1" applyFill="1" applyBorder="1"/>
    <xf numFmtId="0" fontId="0" fillId="10" borderId="49" xfId="0" applyFill="1" applyBorder="1"/>
    <xf numFmtId="0" fontId="0" fillId="10" borderId="48" xfId="0" applyFill="1" applyBorder="1"/>
    <xf numFmtId="0" fontId="0" fillId="10" borderId="50" xfId="0" applyFill="1" applyBorder="1"/>
    <xf numFmtId="0" fontId="0" fillId="10" borderId="34" xfId="0" applyFill="1" applyBorder="1"/>
    <xf numFmtId="0" fontId="0" fillId="22" borderId="39" xfId="0" applyFill="1" applyBorder="1"/>
    <xf numFmtId="0" fontId="31" fillId="23" borderId="5" xfId="0" applyFont="1" applyFill="1" applyBorder="1"/>
    <xf numFmtId="0" fontId="31" fillId="23" borderId="1" xfId="0" applyFont="1" applyFill="1" applyBorder="1"/>
    <xf numFmtId="0" fontId="31" fillId="23" borderId="27" xfId="0" applyFont="1" applyFill="1" applyBorder="1"/>
    <xf numFmtId="0" fontId="31" fillId="2" borderId="0" xfId="0" applyFont="1" applyFill="1" applyBorder="1"/>
    <xf numFmtId="0" fontId="31" fillId="2" borderId="1" xfId="0" applyFont="1" applyFill="1" applyBorder="1"/>
    <xf numFmtId="0" fontId="2" fillId="2" borderId="10" xfId="0" applyFont="1" applyFill="1" applyBorder="1"/>
    <xf numFmtId="0" fontId="2" fillId="2" borderId="40" xfId="0" applyFont="1" applyFill="1" applyBorder="1"/>
    <xf numFmtId="0" fontId="2" fillId="2" borderId="8" xfId="0" applyFont="1" applyFill="1" applyBorder="1"/>
    <xf numFmtId="0" fontId="2" fillId="2" borderId="41" xfId="0" applyFont="1" applyFill="1" applyBorder="1"/>
    <xf numFmtId="0" fontId="2" fillId="2" borderId="42" xfId="0" applyFont="1" applyFill="1" applyBorder="1"/>
    <xf numFmtId="0" fontId="2" fillId="2" borderId="12" xfId="0" applyFont="1" applyFill="1" applyBorder="1"/>
    <xf numFmtId="0" fontId="2" fillId="2" borderId="9" xfId="0" applyFont="1" applyFill="1" applyBorder="1"/>
    <xf numFmtId="0" fontId="2" fillId="2" borderId="11" xfId="0" applyFont="1" applyFill="1" applyBorder="1"/>
    <xf numFmtId="0" fontId="2" fillId="2" borderId="13" xfId="0" applyFont="1" applyFill="1" applyBorder="1"/>
    <xf numFmtId="0" fontId="0" fillId="22" borderId="23" xfId="0" applyFill="1" applyBorder="1"/>
    <xf numFmtId="0" fontId="2" fillId="6" borderId="51" xfId="0" applyFont="1" applyFill="1" applyBorder="1"/>
    <xf numFmtId="0" fontId="2" fillId="6" borderId="52" xfId="0" applyFont="1" applyFill="1" applyBorder="1"/>
    <xf numFmtId="0" fontId="2" fillId="21" borderId="51" xfId="0" applyFont="1" applyFill="1" applyBorder="1"/>
    <xf numFmtId="0" fontId="2" fillId="21" borderId="52" xfId="0" applyFont="1" applyFill="1" applyBorder="1"/>
    <xf numFmtId="0" fontId="0" fillId="10" borderId="14" xfId="0" applyFill="1" applyBorder="1"/>
    <xf numFmtId="0" fontId="0" fillId="10" borderId="25" xfId="0" applyFill="1" applyBorder="1"/>
    <xf numFmtId="165" fontId="0" fillId="2" borderId="0" xfId="1" applyNumberFormat="1" applyFont="1" applyFill="1" applyBorder="1"/>
    <xf numFmtId="167" fontId="0" fillId="0" borderId="2" xfId="0" applyNumberFormat="1" applyBorder="1"/>
    <xf numFmtId="167" fontId="0" fillId="0" borderId="3" xfId="0" applyNumberFormat="1" applyBorder="1"/>
    <xf numFmtId="167" fontId="11" fillId="6" borderId="30" xfId="0" applyNumberFormat="1" applyFont="1" applyFill="1" applyBorder="1"/>
    <xf numFmtId="167" fontId="14" fillId="2" borderId="29" xfId="0" applyNumberFormat="1" applyFont="1" applyFill="1" applyBorder="1" applyAlignment="1">
      <alignment wrapText="1"/>
    </xf>
    <xf numFmtId="167" fontId="14" fillId="2" borderId="0" xfId="0" applyNumberFormat="1" applyFont="1" applyFill="1" applyBorder="1" applyAlignment="1">
      <alignment wrapText="1"/>
    </xf>
    <xf numFmtId="167" fontId="14" fillId="6" borderId="37" xfId="0" applyNumberFormat="1" applyFont="1" applyFill="1" applyBorder="1"/>
    <xf numFmtId="0" fontId="28" fillId="2" borderId="31" xfId="0" applyFont="1" applyFill="1" applyBorder="1"/>
    <xf numFmtId="0" fontId="28" fillId="2" borderId="22" xfId="0" applyFont="1" applyFill="1" applyBorder="1"/>
    <xf numFmtId="167" fontId="28" fillId="2" borderId="22" xfId="0" applyNumberFormat="1" applyFont="1" applyFill="1" applyBorder="1"/>
    <xf numFmtId="167"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7" fontId="6" fillId="2" borderId="37" xfId="1" applyNumberFormat="1" applyFont="1" applyFill="1" applyBorder="1"/>
    <xf numFmtId="0" fontId="6" fillId="2" borderId="29" xfId="0" applyFont="1" applyFill="1" applyBorder="1" applyAlignment="1">
      <alignment wrapText="1"/>
    </xf>
    <xf numFmtId="167" fontId="0" fillId="0" borderId="37" xfId="0" applyNumberFormat="1" applyBorder="1"/>
    <xf numFmtId="0" fontId="0" fillId="7" borderId="22" xfId="0" applyFill="1" applyBorder="1"/>
    <xf numFmtId="167" fontId="11" fillId="7" borderId="53" xfId="0" applyNumberFormat="1" applyFont="1" applyFill="1" applyBorder="1"/>
    <xf numFmtId="43" fontId="6" fillId="2" borderId="37" xfId="2" applyFont="1" applyFill="1" applyBorder="1"/>
    <xf numFmtId="43" fontId="6" fillId="7" borderId="2" xfId="2" applyNumberFormat="1" applyFont="1" applyFill="1" applyBorder="1"/>
    <xf numFmtId="10" fontId="6" fillId="2" borderId="2" xfId="1" applyNumberFormat="1" applyFont="1" applyFill="1" applyBorder="1"/>
    <xf numFmtId="168" fontId="6" fillId="5" borderId="30" xfId="2" applyNumberFormat="1" applyFont="1" applyFill="1" applyBorder="1"/>
    <xf numFmtId="43" fontId="6" fillId="2" borderId="30" xfId="2" applyNumberFormat="1" applyFont="1" applyFill="1" applyBorder="1"/>
    <xf numFmtId="43" fontId="6" fillId="7" borderId="30" xfId="2" applyNumberFormat="1" applyFont="1" applyFill="1" applyBorder="1"/>
    <xf numFmtId="10" fontId="6" fillId="2" borderId="30" xfId="1" applyNumberFormat="1" applyFont="1" applyFill="1" applyBorder="1"/>
    <xf numFmtId="0" fontId="39" fillId="2" borderId="0" xfId="0" applyFont="1" applyFill="1" applyBorder="1"/>
    <xf numFmtId="167" fontId="39" fillId="2" borderId="0" xfId="0" applyNumberFormat="1" applyFont="1" applyFill="1" applyBorder="1"/>
    <xf numFmtId="0" fontId="39" fillId="2" borderId="0" xfId="0" applyFont="1" applyFill="1"/>
    <xf numFmtId="0" fontId="29" fillId="2" borderId="35" xfId="0" applyFont="1" applyFill="1" applyBorder="1"/>
    <xf numFmtId="0" fontId="0" fillId="2" borderId="48" xfId="0" applyFill="1" applyBorder="1"/>
    <xf numFmtId="10" fontId="0" fillId="2" borderId="0" xfId="0" applyNumberFormat="1" applyFill="1" applyBorder="1"/>
    <xf numFmtId="10" fontId="0" fillId="2" borderId="0" xfId="1" applyNumberFormat="1" applyFont="1" applyFill="1" applyBorder="1"/>
    <xf numFmtId="10" fontId="0" fillId="2" borderId="0" xfId="1" applyNumberFormat="1" applyFont="1" applyFill="1"/>
    <xf numFmtId="167" fontId="11" fillId="7" borderId="37" xfId="0" applyNumberFormat="1" applyFont="1" applyFill="1" applyBorder="1"/>
    <xf numFmtId="0" fontId="0" fillId="14" borderId="28" xfId="0" applyFill="1" applyBorder="1"/>
    <xf numFmtId="0" fontId="0" fillId="2" borderId="29" xfId="0" applyFill="1" applyBorder="1" applyAlignment="1"/>
    <xf numFmtId="167" fontId="0" fillId="0" borderId="37" xfId="0" applyNumberFormat="1" applyFont="1" applyBorder="1"/>
    <xf numFmtId="167" fontId="37" fillId="2" borderId="0" xfId="0" applyNumberFormat="1" applyFont="1" applyFill="1" applyBorder="1"/>
    <xf numFmtId="167" fontId="39" fillId="6" borderId="0" xfId="0" applyNumberFormat="1" applyFont="1" applyFill="1" applyBorder="1"/>
    <xf numFmtId="10" fontId="0" fillId="6" borderId="0" xfId="0" applyNumberFormat="1" applyFill="1" applyBorder="1"/>
    <xf numFmtId="10" fontId="0" fillId="6" borderId="0" xfId="1" applyNumberFormat="1" applyFont="1" applyFill="1" applyBorder="1"/>
    <xf numFmtId="167" fontId="39" fillId="6" borderId="48" xfId="0" applyNumberFormat="1" applyFont="1" applyFill="1" applyBorder="1"/>
    <xf numFmtId="0" fontId="0" fillId="6" borderId="48" xfId="0" applyFill="1" applyBorder="1"/>
    <xf numFmtId="10" fontId="0" fillId="6" borderId="48" xfId="1" applyNumberFormat="1" applyFont="1" applyFill="1" applyBorder="1"/>
    <xf numFmtId="0" fontId="39" fillId="6" borderId="0" xfId="0" applyFont="1" applyFill="1"/>
    <xf numFmtId="0" fontId="0" fillId="6" borderId="0" xfId="0" applyFill="1"/>
    <xf numFmtId="0" fontId="0" fillId="2" borderId="50" xfId="0" applyFill="1" applyBorder="1"/>
    <xf numFmtId="4" fontId="0" fillId="0" borderId="0" xfId="0" applyNumberFormat="1" applyBorder="1"/>
    <xf numFmtId="4" fontId="0" fillId="6" borderId="0" xfId="0" applyNumberFormat="1" applyFill="1" applyBorder="1"/>
    <xf numFmtId="0" fontId="0" fillId="2" borderId="19" xfId="0" applyFill="1" applyBorder="1"/>
    <xf numFmtId="0" fontId="31" fillId="25" borderId="5" xfId="0" applyFont="1" applyFill="1" applyBorder="1"/>
    <xf numFmtId="0" fontId="31" fillId="25" borderId="6" xfId="0" applyFont="1" applyFill="1" applyBorder="1"/>
    <xf numFmtId="0" fontId="31" fillId="25" borderId="39" xfId="0" applyFont="1" applyFill="1" applyBorder="1"/>
    <xf numFmtId="0" fontId="2" fillId="2" borderId="35" xfId="0" applyFont="1" applyFill="1" applyBorder="1"/>
    <xf numFmtId="0" fontId="0" fillId="2" borderId="35" xfId="0" applyFont="1" applyFill="1" applyBorder="1"/>
    <xf numFmtId="0" fontId="0" fillId="2" borderId="54" xfId="0" applyFill="1" applyBorder="1"/>
    <xf numFmtId="0" fontId="39" fillId="6" borderId="48" xfId="0" applyFont="1" applyFill="1" applyBorder="1"/>
    <xf numFmtId="0" fontId="39" fillId="6" borderId="0" xfId="0" applyFont="1" applyFill="1" applyBorder="1"/>
    <xf numFmtId="10" fontId="0" fillId="6" borderId="0" xfId="0" applyNumberFormat="1" applyFill="1"/>
    <xf numFmtId="10" fontId="0" fillId="6" borderId="48" xfId="0" applyNumberFormat="1" applyFill="1" applyBorder="1"/>
    <xf numFmtId="10" fontId="0" fillId="2" borderId="55" xfId="0" applyNumberFormat="1" applyFill="1" applyBorder="1"/>
    <xf numFmtId="10" fontId="0" fillId="2" borderId="14" xfId="1" applyNumberFormat="1" applyFont="1" applyFill="1" applyBorder="1"/>
    <xf numFmtId="0" fontId="0" fillId="2" borderId="47" xfId="0" applyFill="1" applyBorder="1"/>
    <xf numFmtId="0" fontId="0" fillId="2" borderId="22" xfId="0" applyFill="1" applyBorder="1"/>
    <xf numFmtId="0" fontId="0" fillId="2" borderId="56" xfId="0" applyFill="1" applyBorder="1"/>
    <xf numFmtId="0" fontId="3" fillId="8" borderId="0" xfId="0" applyFont="1" applyFill="1"/>
    <xf numFmtId="0" fontId="6" fillId="8" borderId="0" xfId="0" applyFont="1" applyFill="1"/>
    <xf numFmtId="0" fontId="5" fillId="8" borderId="0" xfId="0" applyFont="1" applyFill="1"/>
    <xf numFmtId="0" fontId="20" fillId="2" borderId="0" xfId="0" applyFont="1" applyFill="1"/>
    <xf numFmtId="0" fontId="6" fillId="3" borderId="0" xfId="0" applyFont="1" applyFill="1"/>
    <xf numFmtId="164" fontId="40" fillId="3" borderId="0" xfId="0" applyNumberFormat="1" applyFont="1" applyFill="1" applyAlignment="1">
      <alignment horizontal="center" vertical="center"/>
    </xf>
    <xf numFmtId="14" fontId="22" fillId="3" borderId="0" xfId="0" applyNumberFormat="1" applyFont="1" applyFill="1" applyAlignment="1">
      <alignment horizontal="center" vertical="center"/>
    </xf>
    <xf numFmtId="0" fontId="16" fillId="2" borderId="0" xfId="0" applyFont="1" applyFill="1"/>
    <xf numFmtId="0" fontId="41" fillId="2" borderId="0" xfId="0" applyFont="1" applyFill="1" applyAlignment="1">
      <alignment wrapText="1"/>
    </xf>
    <xf numFmtId="165" fontId="6" fillId="2" borderId="2" xfId="1" applyNumberFormat="1" applyFont="1" applyFill="1" applyBorder="1"/>
    <xf numFmtId="0" fontId="41" fillId="2" borderId="0" xfId="0" applyFont="1" applyFill="1"/>
    <xf numFmtId="10" fontId="6" fillId="2" borderId="3" xfId="1" applyNumberFormat="1" applyFont="1" applyFill="1" applyBorder="1"/>
    <xf numFmtId="10" fontId="6" fillId="9" borderId="3" xfId="1" applyNumberFormat="1" applyFont="1" applyFill="1" applyBorder="1"/>
    <xf numFmtId="10" fontId="6" fillId="0" borderId="0" xfId="1" applyNumberFormat="1" applyFont="1"/>
    <xf numFmtId="172" fontId="6" fillId="2" borderId="0" xfId="0" applyNumberFormat="1" applyFont="1" applyFill="1"/>
    <xf numFmtId="0" fontId="41" fillId="9" borderId="0" xfId="0" applyFont="1" applyFill="1"/>
    <xf numFmtId="0" fontId="6" fillId="9" borderId="0" xfId="0" applyFont="1" applyFill="1"/>
    <xf numFmtId="165" fontId="6" fillId="9" borderId="2" xfId="0" applyNumberFormat="1" applyFont="1" applyFill="1" applyBorder="1"/>
    <xf numFmtId="165" fontId="6" fillId="9" borderId="3" xfId="0" applyNumberFormat="1" applyFont="1" applyFill="1" applyBorder="1"/>
    <xf numFmtId="165" fontId="0" fillId="2" borderId="2" xfId="0" applyNumberFormat="1" applyFill="1" applyBorder="1"/>
    <xf numFmtId="165" fontId="0" fillId="2" borderId="3" xfId="0" applyNumberFormat="1" applyFill="1" applyBorder="1"/>
    <xf numFmtId="10" fontId="6" fillId="2" borderId="0" xfId="1" applyNumberFormat="1" applyFont="1" applyFill="1"/>
    <xf numFmtId="165" fontId="6" fillId="9" borderId="3" xfId="1" applyNumberFormat="1" applyFont="1" applyFill="1" applyBorder="1"/>
    <xf numFmtId="165" fontId="6" fillId="2" borderId="3" xfId="0" applyNumberFormat="1" applyFont="1" applyFill="1" applyBorder="1"/>
    <xf numFmtId="166" fontId="6" fillId="2" borderId="2" xfId="0" applyNumberFormat="1" applyFont="1" applyFill="1" applyBorder="1"/>
    <xf numFmtId="166" fontId="6" fillId="2" borderId="3" xfId="0" applyNumberFormat="1" applyFont="1" applyFill="1" applyBorder="1"/>
    <xf numFmtId="166" fontId="0" fillId="2" borderId="2" xfId="0" applyNumberFormat="1" applyFill="1" applyBorder="1"/>
    <xf numFmtId="166" fontId="0" fillId="2" borderId="3" xfId="0" applyNumberFormat="1" applyFill="1" applyBorder="1"/>
    <xf numFmtId="0" fontId="11" fillId="2" borderId="0" xfId="0" applyFont="1" applyFill="1"/>
    <xf numFmtId="0" fontId="0" fillId="9" borderId="2" xfId="0" applyFill="1" applyBorder="1"/>
    <xf numFmtId="165"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42" fillId="2" borderId="0" xfId="0" applyFont="1" applyFill="1"/>
    <xf numFmtId="0" fontId="3" fillId="2" borderId="0" xfId="0" applyFont="1" applyFill="1" applyBorder="1"/>
    <xf numFmtId="0" fontId="43" fillId="8" borderId="0" xfId="0" applyFont="1" applyFill="1"/>
    <xf numFmtId="0" fontId="44" fillId="8" borderId="0" xfId="0" applyFont="1" applyFill="1"/>
    <xf numFmtId="10" fontId="6" fillId="2" borderId="0" xfId="0" applyNumberFormat="1" applyFont="1" applyFill="1"/>
    <xf numFmtId="165" fontId="6" fillId="2" borderId="0" xfId="0" applyNumberFormat="1" applyFont="1" applyFill="1"/>
    <xf numFmtId="0" fontId="0" fillId="2" borderId="0" xfId="0" applyFill="1" applyAlignment="1">
      <alignment horizontal="right"/>
    </xf>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168" fontId="6" fillId="2" borderId="4" xfId="2"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7" fillId="2" borderId="0" xfId="0" applyFont="1" applyFill="1"/>
    <xf numFmtId="10" fontId="47" fillId="2" borderId="0" xfId="1" applyNumberFormat="1" applyFont="1" applyFill="1"/>
    <xf numFmtId="0" fontId="47" fillId="2" borderId="0" xfId="0" applyFont="1" applyFill="1" applyAlignment="1">
      <alignment horizontal="left"/>
    </xf>
    <xf numFmtId="14" fontId="22" fillId="3" borderId="49" xfId="0" applyNumberFormat="1" applyFont="1" applyFill="1" applyBorder="1"/>
    <xf numFmtId="0" fontId="6" fillId="2" borderId="49" xfId="0" applyFont="1" applyFill="1" applyBorder="1"/>
    <xf numFmtId="43" fontId="6" fillId="2" borderId="49" xfId="2" applyFont="1" applyFill="1" applyBorder="1"/>
    <xf numFmtId="43" fontId="6" fillId="2" borderId="0" xfId="2" applyFont="1" applyFill="1" applyBorder="1"/>
    <xf numFmtId="43" fontId="47" fillId="2" borderId="0" xfId="2" applyFont="1" applyFill="1"/>
    <xf numFmtId="43" fontId="47" fillId="2" borderId="49" xfId="2" applyFont="1" applyFill="1" applyBorder="1"/>
    <xf numFmtId="43" fontId="47" fillId="2" borderId="0" xfId="2" applyFont="1" applyFill="1" applyBorder="1"/>
    <xf numFmtId="10" fontId="47" fillId="2" borderId="49" xfId="1" applyNumberFormat="1" applyFont="1" applyFill="1" applyBorder="1"/>
    <xf numFmtId="10" fontId="47" fillId="2" borderId="0" xfId="1" applyNumberFormat="1" applyFont="1" applyFill="1" applyBorder="1"/>
    <xf numFmtId="10" fontId="47" fillId="2" borderId="49" xfId="1" applyNumberFormat="1" applyFont="1" applyFill="1" applyBorder="1" applyAlignment="1">
      <alignment horizontal="right"/>
    </xf>
    <xf numFmtId="10" fontId="47" fillId="2" borderId="0" xfId="1" applyNumberFormat="1" applyFont="1" applyFill="1" applyBorder="1" applyAlignment="1">
      <alignment horizontal="right"/>
    </xf>
    <xf numFmtId="0" fontId="6" fillId="7" borderId="0" xfId="0" applyFont="1" applyFill="1"/>
    <xf numFmtId="168" fontId="6" fillId="2" borderId="0" xfId="2" applyNumberFormat="1" applyFont="1" applyFill="1"/>
    <xf numFmtId="168" fontId="6" fillId="2" borderId="49" xfId="2" applyNumberFormat="1" applyFont="1" applyFill="1" applyBorder="1"/>
    <xf numFmtId="168" fontId="6" fillId="7" borderId="0" xfId="2" applyNumberFormat="1" applyFont="1" applyFill="1"/>
    <xf numFmtId="168" fontId="6" fillId="7" borderId="49" xfId="2" applyNumberFormat="1" applyFont="1" applyFill="1" applyBorder="1"/>
    <xf numFmtId="168" fontId="6" fillId="7" borderId="0" xfId="2" applyNumberFormat="1" applyFont="1" applyFill="1" applyBorder="1"/>
    <xf numFmtId="43" fontId="6" fillId="2" borderId="0" xfId="0" applyNumberFormat="1" applyFont="1" applyFill="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46" fillId="8" borderId="49" xfId="0" applyFont="1" applyFill="1" applyBorder="1" applyAlignment="1">
      <alignment horizontal="center"/>
    </xf>
    <xf numFmtId="0" fontId="46" fillId="8" borderId="0" xfId="0" applyFont="1" applyFill="1" applyBorder="1" applyAlignment="1">
      <alignment horizontal="center"/>
    </xf>
    <xf numFmtId="0" fontId="6" fillId="2" borderId="0" xfId="0" applyFont="1" applyFill="1" applyAlignment="1">
      <alignment horizontal="left"/>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0" xfId="0" applyFont="1" applyFill="1" applyAlignment="1">
      <alignment horizontal="center"/>
    </xf>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114301</xdr:colOff>
      <xdr:row>85</xdr:row>
      <xdr:rowOff>9525</xdr:rowOff>
    </xdr:from>
    <xdr:to>
      <xdr:col>10</xdr:col>
      <xdr:colOff>3038475</xdr:colOff>
      <xdr:row>88</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190500</xdr:colOff>
      <xdr:row>26</xdr:row>
      <xdr:rowOff>137583</xdr:rowOff>
    </xdr:from>
    <xdr:to>
      <xdr:col>9</xdr:col>
      <xdr:colOff>560916</xdr:colOff>
      <xdr:row>30</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249833" y="3799416"/>
          <a:ext cx="2286000" cy="687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8</xdr:col>
      <xdr:colOff>129540</xdr:colOff>
      <xdr:row>5</xdr:row>
      <xdr:rowOff>91440</xdr:rowOff>
    </xdr:from>
    <xdr:to>
      <xdr:col>13</xdr:col>
      <xdr:colOff>320040</xdr:colOff>
      <xdr:row>8</xdr:row>
      <xdr:rowOff>15240</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8923020" y="1303020"/>
          <a:ext cx="323850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5</xdr:col>
      <xdr:colOff>476250</xdr:colOff>
      <xdr:row>3</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23</xdr:col>
      <xdr:colOff>123824</xdr:colOff>
      <xdr:row>6</xdr:row>
      <xdr:rowOff>161925</xdr:rowOff>
    </xdr:from>
    <xdr:ext cx="5438775" cy="1715277"/>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535024" y="1752600"/>
          <a:ext cx="5438775" cy="1715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endParaRPr lang="it-IT" sz="1100"/>
        </a:p>
      </xdr:txBody>
    </xdr:sp>
    <xdr:clientData/>
  </xdr:oneCellAnchor>
  <xdr:oneCellAnchor>
    <xdr:from>
      <xdr:col>27</xdr:col>
      <xdr:colOff>581025</xdr:colOff>
      <xdr:row>2</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27</xdr:col>
      <xdr:colOff>476250</xdr:colOff>
      <xdr:row>3</xdr:row>
      <xdr:rowOff>28575</xdr:rowOff>
    </xdr:from>
    <xdr:to>
      <xdr:col>29</xdr:col>
      <xdr:colOff>171450</xdr:colOff>
      <xdr:row>7</xdr:row>
      <xdr:rowOff>66675</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16325850" y="9334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xdr:txBody>
    </xdr:sp>
    <xdr:clientData/>
  </xdr:twoCellAnchor>
  <xdr:twoCellAnchor>
    <xdr:from>
      <xdr:col>1</xdr:col>
      <xdr:colOff>19050</xdr:colOff>
      <xdr:row>2</xdr:row>
      <xdr:rowOff>104776</xdr:rowOff>
    </xdr:from>
    <xdr:to>
      <xdr:col>16</xdr:col>
      <xdr:colOff>95250</xdr:colOff>
      <xdr:row>3</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4</xdr:col>
      <xdr:colOff>57150</xdr:colOff>
      <xdr:row>11</xdr:row>
      <xdr:rowOff>171450</xdr:rowOff>
    </xdr:from>
    <xdr:ext cx="276225" cy="247650"/>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𝑘</m:t>
                        </m:r>
                      </m:e>
                      <m:sub>
                        <m:r>
                          <a:rPr lang="it-IT" sz="1400" b="0" i="1">
                            <a:latin typeface="Cambria Math" panose="02040503050406030204" pitchFamily="18" charset="0"/>
                          </a:rPr>
                          <m:t>𝑒</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it-IT" sz="1400" b="0" i="0">
                  <a:latin typeface="Cambria Math" panose="02040503050406030204" pitchFamily="18" charset="0"/>
                </a:rPr>
                <a:t>𝑘_𝑒</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12</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14</xdr:row>
      <xdr:rowOff>9525</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47625</xdr:colOff>
      <xdr:row>9</xdr:row>
      <xdr:rowOff>114300</xdr:rowOff>
    </xdr:from>
    <xdr:to>
      <xdr:col>1</xdr:col>
      <xdr:colOff>28575</xdr:colOff>
      <xdr:row>9</xdr:row>
      <xdr:rowOff>114300</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47625" y="2324100"/>
          <a:ext cx="133350"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11</xdr:row>
      <xdr:rowOff>123825</xdr:rowOff>
    </xdr:from>
    <xdr:to>
      <xdr:col>1</xdr:col>
      <xdr:colOff>0</xdr:colOff>
      <xdr:row>11</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12</xdr:row>
      <xdr:rowOff>123825</xdr:rowOff>
    </xdr:from>
    <xdr:to>
      <xdr:col>0</xdr:col>
      <xdr:colOff>123825</xdr:colOff>
      <xdr:row>12</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13</xdr:row>
      <xdr:rowOff>123825</xdr:rowOff>
    </xdr:from>
    <xdr:to>
      <xdr:col>0</xdr:col>
      <xdr:colOff>133350</xdr:colOff>
      <xdr:row>13</xdr:row>
      <xdr:rowOff>123826</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28575" y="3095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14</xdr:row>
      <xdr:rowOff>104775</xdr:rowOff>
    </xdr:from>
    <xdr:to>
      <xdr:col>1</xdr:col>
      <xdr:colOff>0</xdr:colOff>
      <xdr:row>14</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15</xdr:row>
      <xdr:rowOff>104775</xdr:rowOff>
    </xdr:from>
    <xdr:to>
      <xdr:col>1</xdr:col>
      <xdr:colOff>0</xdr:colOff>
      <xdr:row>15</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7</xdr:row>
      <xdr:rowOff>142875</xdr:rowOff>
    </xdr:from>
    <xdr:to>
      <xdr:col>1</xdr:col>
      <xdr:colOff>0</xdr:colOff>
      <xdr:row>7</xdr:row>
      <xdr:rowOff>142876</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716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10</xdr:row>
      <xdr:rowOff>123825</xdr:rowOff>
    </xdr:from>
    <xdr:to>
      <xdr:col>0</xdr:col>
      <xdr:colOff>142875</xdr:colOff>
      <xdr:row>10</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18</xdr:row>
      <xdr:rowOff>104775</xdr:rowOff>
    </xdr:from>
    <xdr:to>
      <xdr:col>0</xdr:col>
      <xdr:colOff>133350</xdr:colOff>
      <xdr:row>18</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21</xdr:row>
      <xdr:rowOff>85725</xdr:rowOff>
    </xdr:from>
    <xdr:to>
      <xdr:col>1</xdr:col>
      <xdr:colOff>0</xdr:colOff>
      <xdr:row>21</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19</xdr:row>
      <xdr:rowOff>95250</xdr:rowOff>
    </xdr:from>
    <xdr:to>
      <xdr:col>0</xdr:col>
      <xdr:colOff>142875</xdr:colOff>
      <xdr:row>19</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20</xdr:row>
      <xdr:rowOff>104775</xdr:rowOff>
    </xdr:from>
    <xdr:to>
      <xdr:col>0</xdr:col>
      <xdr:colOff>142875</xdr:colOff>
      <xdr:row>20</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17</xdr:row>
      <xdr:rowOff>114300</xdr:rowOff>
    </xdr:from>
    <xdr:to>
      <xdr:col>1</xdr:col>
      <xdr:colOff>9525</xdr:colOff>
      <xdr:row>17</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114300</xdr:rowOff>
    </xdr:from>
    <xdr:to>
      <xdr:col>1</xdr:col>
      <xdr:colOff>0</xdr:colOff>
      <xdr:row>16</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66675</xdr:colOff>
      <xdr:row>22</xdr:row>
      <xdr:rowOff>114300</xdr:rowOff>
    </xdr:from>
    <xdr:to>
      <xdr:col>1</xdr:col>
      <xdr:colOff>19050</xdr:colOff>
      <xdr:row>22</xdr:row>
      <xdr:rowOff>114301</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66675" y="4800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in 2015 the ratio is very high,</a:t>
          </a:r>
          <a:r>
            <a:rPr lang="it-IT" sz="1100" baseline="0"/>
            <a:t> it depends on an higher EBIT with respect to 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 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 </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firts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endParaRPr lang="it-IT">
            <a:effectLst/>
          </a:endParaRPr>
        </a:p>
        <a:p>
          <a:endParaRPr lang="it-IT" sz="1100"/>
        </a:p>
      </xdr:txBody>
    </xdr:sp>
    <xdr:clientData/>
  </xdr:twoCellAnchor>
  <xdr:twoCellAnchor>
    <xdr:from>
      <xdr:col>1</xdr:col>
      <xdr:colOff>0</xdr:colOff>
      <xdr:row>30</xdr:row>
      <xdr:rowOff>21167</xdr:rowOff>
    </xdr:from>
    <xdr:to>
      <xdr:col>3</xdr:col>
      <xdr:colOff>899584</xdr:colOff>
      <xdr:row>30</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105834</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668685"/>
          <a:ext cx="6172201" cy="28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21167</xdr:colOff>
      <xdr:row>7</xdr:row>
      <xdr:rowOff>402166</xdr:rowOff>
    </xdr:from>
    <xdr:to>
      <xdr:col>13</xdr:col>
      <xdr:colOff>232833</xdr:colOff>
      <xdr:row>8</xdr:row>
      <xdr:rowOff>169333</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241867" y="2392891"/>
          <a:ext cx="3974041" cy="291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pumped up by an high EBIT </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15</xdr:row>
      <xdr:rowOff>68580</xdr:rowOff>
    </xdr:from>
    <xdr:to>
      <xdr:col>4</xdr:col>
      <xdr:colOff>99060</xdr:colOff>
      <xdr:row>26</xdr:row>
      <xdr:rowOff>114300</xdr:rowOff>
    </xdr:to>
    <xdr:sp macro="" textlink="">
      <xdr:nvSpPr>
        <xdr:cNvPr id="2" name="CasellaDiTesto 1">
          <a:extLst>
            <a:ext uri="{FF2B5EF4-FFF2-40B4-BE49-F238E27FC236}">
              <a16:creationId xmlns:a16="http://schemas.microsoft.com/office/drawing/2014/main" id="{EBAE75B0-FDA7-4AFE-93CC-85EA8B3008DE}"/>
            </a:ext>
          </a:extLst>
        </xdr:cNvPr>
        <xdr:cNvSpPr txBox="1"/>
      </xdr:nvSpPr>
      <xdr:spPr>
        <a:xfrm>
          <a:off x="0" y="2453640"/>
          <a:ext cx="253746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r>
            <a:rPr lang="it-IT" sz="1100" baseline="0"/>
            <a:t>Looking at historical changes we decide to be conservative for 2020 and 2021, due to NCOVID2019, then augment from 2021 to 2022 (until 9%) reducing again until 5%.</a:t>
          </a:r>
        </a:p>
        <a:p>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ianmarco/Desktop/A2A%20con%20rat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atio"/>
      <sheetName val="Reorganised IS"/>
      <sheetName val="Trailing 12-months"/>
      <sheetName val="analysis"/>
    </sheetNames>
    <sheetDataSet>
      <sheetData sheetId="0"/>
      <sheetData sheetId="1">
        <row r="55">
          <cell r="F55">
            <v>184</v>
          </cell>
          <cell r="G55">
            <v>159</v>
          </cell>
          <cell r="H55">
            <v>147</v>
          </cell>
          <cell r="I55">
            <v>187</v>
          </cell>
          <cell r="J55">
            <v>184</v>
          </cell>
        </row>
        <row r="85">
          <cell r="F85">
            <v>171</v>
          </cell>
          <cell r="G85">
            <v>218</v>
          </cell>
          <cell r="H85">
            <v>8</v>
          </cell>
          <cell r="I85">
            <v>16</v>
          </cell>
          <cell r="J85">
            <v>10</v>
          </cell>
        </row>
        <row r="87">
          <cell r="F87">
            <v>71</v>
          </cell>
          <cell r="G87">
            <v>70</v>
          </cell>
          <cell r="H87">
            <v>107</v>
          </cell>
          <cell r="I87">
            <v>49</v>
          </cell>
          <cell r="J87">
            <v>63</v>
          </cell>
        </row>
        <row r="88">
          <cell r="F88">
            <v>636</v>
          </cell>
          <cell r="G88">
            <v>402</v>
          </cell>
          <cell r="H88">
            <v>691</v>
          </cell>
          <cell r="I88">
            <v>624</v>
          </cell>
          <cell r="J88">
            <v>434</v>
          </cell>
        </row>
        <row r="89">
          <cell r="F89">
            <v>2730</v>
          </cell>
          <cell r="G89">
            <v>3059</v>
          </cell>
          <cell r="H89">
            <v>2840</v>
          </cell>
          <cell r="I89">
            <v>2970</v>
          </cell>
          <cell r="J89">
            <v>3110</v>
          </cell>
        </row>
        <row r="94">
          <cell r="F94">
            <v>9801</v>
          </cell>
          <cell r="G94">
            <v>10387</v>
          </cell>
          <cell r="H94">
            <v>9949</v>
          </cell>
          <cell r="I94">
            <v>10333</v>
          </cell>
          <cell r="J94">
            <v>10725</v>
          </cell>
        </row>
        <row r="110">
          <cell r="F110">
            <v>3259</v>
          </cell>
          <cell r="G110">
            <v>3279</v>
          </cell>
          <cell r="H110">
            <v>3013</v>
          </cell>
          <cell r="I110">
            <v>3523</v>
          </cell>
          <cell r="J110">
            <v>3651</v>
          </cell>
        </row>
        <row r="119">
          <cell r="F119">
            <v>3089</v>
          </cell>
          <cell r="G119">
            <v>3436</v>
          </cell>
          <cell r="H119">
            <v>3501</v>
          </cell>
          <cell r="I119">
            <v>2984</v>
          </cell>
          <cell r="J119">
            <v>3307</v>
          </cell>
        </row>
        <row r="175">
          <cell r="F175">
            <v>2426</v>
          </cell>
          <cell r="G175">
            <v>2520</v>
          </cell>
          <cell r="H175">
            <v>2343</v>
          </cell>
          <cell r="I175">
            <v>2722</v>
          </cell>
          <cell r="J175">
            <v>2635</v>
          </cell>
        </row>
      </sheetData>
      <sheetData sheetId="2">
        <row r="10">
          <cell r="E10">
            <v>4921</v>
          </cell>
          <cell r="F10">
            <v>4860</v>
          </cell>
          <cell r="G10">
            <v>5796</v>
          </cell>
          <cell r="H10">
            <v>6494</v>
          </cell>
          <cell r="I10">
            <v>7324</v>
          </cell>
        </row>
        <row r="48">
          <cell r="J48">
            <v>140</v>
          </cell>
          <cell r="K48">
            <v>134</v>
          </cell>
          <cell r="L48">
            <v>113</v>
          </cell>
          <cell r="M48">
            <v>108</v>
          </cell>
          <cell r="N48">
            <v>98</v>
          </cell>
        </row>
        <row r="50">
          <cell r="J50">
            <v>3.2677241825833606E-2</v>
          </cell>
          <cell r="K50">
            <v>2.8118160651920836E-2</v>
          </cell>
          <cell r="L50">
            <v>2.3271351042559268E-2</v>
          </cell>
          <cell r="M50">
            <v>2.6095174262734586E-2</v>
          </cell>
          <cell r="N50">
            <v>2.1366192924100393E-2</v>
          </cell>
        </row>
        <row r="77">
          <cell r="E77">
            <v>73</v>
          </cell>
          <cell r="F77">
            <v>232</v>
          </cell>
          <cell r="G77">
            <v>293</v>
          </cell>
          <cell r="H77">
            <v>344</v>
          </cell>
          <cell r="I77">
            <v>389</v>
          </cell>
        </row>
      </sheetData>
      <sheetData sheetId="3">
        <row r="42">
          <cell r="D42">
            <v>-3145</v>
          </cell>
          <cell r="E42">
            <v>-3393</v>
          </cell>
          <cell r="F42">
            <v>-3247</v>
          </cell>
          <cell r="G42">
            <v>-3054</v>
          </cell>
          <cell r="H42">
            <v>-3177</v>
          </cell>
        </row>
        <row r="44">
          <cell r="D44">
            <v>-6404</v>
          </cell>
          <cell r="E44">
            <v>-6672</v>
          </cell>
          <cell r="F44">
            <v>-6260</v>
          </cell>
          <cell r="G44">
            <v>-6577</v>
          </cell>
          <cell r="H44">
            <v>-6828</v>
          </cell>
        </row>
        <row r="80">
          <cell r="D80">
            <v>215</v>
          </cell>
          <cell r="E80">
            <v>443</v>
          </cell>
          <cell r="F80">
            <v>710</v>
          </cell>
          <cell r="G80">
            <v>588</v>
          </cell>
          <cell r="H80">
            <v>687</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1"/>
  <sheetViews>
    <sheetView topLeftCell="B1" zoomScaleNormal="100" workbookViewId="0">
      <pane xSplit="3" ySplit="3" topLeftCell="E55" activePane="bottomRight" state="frozen"/>
      <selection activeCell="B1" sqref="B1"/>
      <selection pane="topRight" activeCell="D1" sqref="D1"/>
      <selection pane="bottomLeft" activeCell="B4" sqref="B4"/>
      <selection pane="bottomRight" activeCell="F93" sqref="F93"/>
    </sheetView>
  </sheetViews>
  <sheetFormatPr defaultRowHeight="15" x14ac:dyDescent="0.25"/>
  <cols>
    <col min="1" max="1" width="9.140625" style="1"/>
    <col min="2" max="2" width="2" style="1" customWidth="1"/>
    <col min="3" max="3" width="68.28515625" customWidth="1"/>
    <col min="4" max="4" width="54.7109375" hidden="1" customWidth="1"/>
    <col min="5" max="5" width="8.140625" style="51" bestFit="1" customWidth="1"/>
    <col min="6" max="10" width="14.28515625" style="52" bestFit="1" customWidth="1"/>
    <col min="11" max="11" width="100.140625" style="52" bestFit="1" customWidth="1"/>
    <col min="12" max="12" width="11.7109375" style="52" customWidth="1"/>
    <col min="13" max="13" width="16.140625" style="52" bestFit="1" customWidth="1"/>
    <col min="14" max="14" width="11.7109375" style="52" customWidth="1"/>
    <col min="15" max="15" width="16.140625" style="53" customWidth="1"/>
    <col min="16" max="19" width="0" hidden="1" customWidth="1"/>
    <col min="20" max="20" width="9.140625" hidden="1" customWidth="1"/>
  </cols>
  <sheetData>
    <row r="1" spans="2:144" ht="27" customHeight="1" x14ac:dyDescent="0.4">
      <c r="B1" s="62"/>
      <c r="C1" s="60" t="s">
        <v>0</v>
      </c>
      <c r="D1" s="61"/>
      <c r="E1" s="61"/>
      <c r="F1" s="61"/>
      <c r="G1" s="61"/>
      <c r="H1" s="61"/>
      <c r="I1" s="61"/>
      <c r="J1" s="61"/>
      <c r="K1" s="164"/>
      <c r="L1" s="164"/>
      <c r="M1" s="164"/>
      <c r="N1" s="164"/>
      <c r="O1" s="165"/>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row>
    <row r="2" spans="2:144" ht="15" customHeight="1" x14ac:dyDescent="0.4">
      <c r="B2" s="62"/>
      <c r="C2" s="63"/>
      <c r="D2" s="64"/>
      <c r="E2" s="572" t="s">
        <v>158</v>
      </c>
      <c r="F2" s="572"/>
      <c r="G2" s="572"/>
      <c r="H2" s="572"/>
      <c r="I2" s="572"/>
      <c r="J2" s="572"/>
      <c r="K2" s="166"/>
      <c r="L2" s="166"/>
      <c r="M2" s="166"/>
      <c r="N2" s="166"/>
      <c r="O2" s="166"/>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row>
    <row r="3" spans="2:144" ht="18" customHeight="1" x14ac:dyDescent="0.25">
      <c r="B3" s="66"/>
      <c r="C3" s="126"/>
      <c r="D3" s="65"/>
      <c r="E3" s="126" t="s">
        <v>1</v>
      </c>
      <c r="F3" s="128">
        <v>42369</v>
      </c>
      <c r="G3" s="128">
        <v>42735</v>
      </c>
      <c r="H3" s="128">
        <v>43100</v>
      </c>
      <c r="I3" s="128">
        <v>43465</v>
      </c>
      <c r="J3" s="128">
        <v>43830</v>
      </c>
      <c r="K3" s="55"/>
      <c r="L3" s="55"/>
      <c r="M3" s="55"/>
      <c r="N3" s="55"/>
      <c r="O3" s="55"/>
      <c r="P3" s="167" t="s">
        <v>313</v>
      </c>
      <c r="Q3" s="168" t="s">
        <v>314</v>
      </c>
      <c r="R3" s="168" t="s">
        <v>315</v>
      </c>
      <c r="S3" s="168" t="s">
        <v>316</v>
      </c>
      <c r="T3" s="167">
        <v>43921</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row>
    <row r="4" spans="2:144" ht="21" x14ac:dyDescent="0.35">
      <c r="C4" s="123" t="s">
        <v>2</v>
      </c>
      <c r="D4" s="5"/>
      <c r="E4" s="7"/>
      <c r="F4" s="199"/>
      <c r="G4" s="200"/>
      <c r="H4" s="200"/>
      <c r="I4" s="200"/>
      <c r="J4" s="200"/>
      <c r="K4" s="50"/>
      <c r="L4" s="55"/>
      <c r="M4" s="55"/>
      <c r="N4" s="55"/>
      <c r="O4" s="55"/>
      <c r="P4" s="28"/>
      <c r="Q4" s="29"/>
      <c r="R4" s="29"/>
      <c r="S4" s="29"/>
      <c r="T4" s="30"/>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18.75" x14ac:dyDescent="0.3">
      <c r="C5" s="6" t="s">
        <v>3</v>
      </c>
      <c r="D5" s="5" t="s">
        <v>4</v>
      </c>
      <c r="E5" s="5"/>
      <c r="F5" s="199"/>
      <c r="G5" s="200"/>
      <c r="H5" s="200"/>
      <c r="I5" s="200"/>
      <c r="J5" s="200"/>
      <c r="K5" s="50"/>
      <c r="L5" s="55"/>
      <c r="M5" s="55"/>
      <c r="N5" s="55"/>
      <c r="O5" s="55"/>
      <c r="P5" s="29"/>
      <c r="Q5" s="29"/>
      <c r="R5" s="29"/>
      <c r="S5" s="29"/>
      <c r="T5" s="30"/>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x14ac:dyDescent="0.25">
      <c r="C6" s="8" t="s">
        <v>5</v>
      </c>
      <c r="D6" s="5" t="s">
        <v>6</v>
      </c>
      <c r="E6" s="5"/>
      <c r="F6" s="199"/>
      <c r="G6" s="200"/>
      <c r="H6" s="200"/>
      <c r="I6" s="200"/>
      <c r="J6" s="200"/>
      <c r="K6" s="50"/>
      <c r="L6" s="55"/>
      <c r="M6" s="55"/>
      <c r="N6" s="55"/>
      <c r="O6" s="55"/>
      <c r="P6" s="29"/>
      <c r="Q6" s="29"/>
      <c r="R6" s="29"/>
      <c r="S6" s="29"/>
      <c r="T6" s="30"/>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x14ac:dyDescent="0.25">
      <c r="C7" s="5" t="s">
        <v>7</v>
      </c>
      <c r="D7" s="5"/>
      <c r="E7" s="5"/>
      <c r="F7" s="199">
        <v>266</v>
      </c>
      <c r="G7" s="200">
        <v>235</v>
      </c>
      <c r="H7" s="200">
        <v>113</v>
      </c>
      <c r="I7" s="200">
        <v>116</v>
      </c>
      <c r="J7" s="200">
        <v>112</v>
      </c>
      <c r="K7" s="50"/>
      <c r="L7" s="55"/>
      <c r="M7" s="55"/>
      <c r="N7" s="55"/>
      <c r="O7" s="55"/>
      <c r="P7" s="32">
        <f t="shared" ref="P7:P16" si="0">SUM(H7,-G7)/G7</f>
        <v>-0.51914893617021274</v>
      </c>
      <c r="Q7" s="32">
        <f t="shared" ref="Q7:Q16" si="1">SUM(I7,-H7)/H7</f>
        <v>2.6548672566371681E-2</v>
      </c>
      <c r="R7" s="32">
        <f t="shared" ref="R7:R16" si="2">SUM(J7,-I7)/I7</f>
        <v>-3.4482758620689655E-2</v>
      </c>
      <c r="S7" s="32"/>
      <c r="T7" s="30"/>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x14ac:dyDescent="0.25">
      <c r="C8" s="5" t="s">
        <v>8</v>
      </c>
      <c r="D8" s="5"/>
      <c r="E8" s="5"/>
      <c r="F8" s="199">
        <v>913</v>
      </c>
      <c r="G8" s="200">
        <v>821</v>
      </c>
      <c r="H8" s="200">
        <v>606</v>
      </c>
      <c r="I8" s="200">
        <v>590</v>
      </c>
      <c r="J8" s="200">
        <v>594</v>
      </c>
      <c r="K8" s="50"/>
      <c r="L8" s="55"/>
      <c r="M8" s="55"/>
      <c r="N8" s="55"/>
      <c r="O8" s="55"/>
      <c r="P8" s="32">
        <f t="shared" si="0"/>
        <v>-0.26187576126674789</v>
      </c>
      <c r="Q8" s="32">
        <f t="shared" si="1"/>
        <v>-2.6402640264026403E-2</v>
      </c>
      <c r="R8" s="32">
        <f t="shared" si="2"/>
        <v>6.7796610169491523E-3</v>
      </c>
      <c r="S8" s="32"/>
      <c r="T8" s="30"/>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x14ac:dyDescent="0.25">
      <c r="C9" s="5" t="s">
        <v>9</v>
      </c>
      <c r="D9" s="5"/>
      <c r="E9" s="5"/>
      <c r="F9" s="199">
        <v>3608</v>
      </c>
      <c r="G9" s="200">
        <v>3703</v>
      </c>
      <c r="H9" s="200">
        <v>3459</v>
      </c>
      <c r="I9" s="200">
        <v>3460</v>
      </c>
      <c r="J9" s="200">
        <v>3591</v>
      </c>
      <c r="K9" s="50"/>
      <c r="L9" s="55"/>
      <c r="M9" s="55"/>
      <c r="N9" s="55"/>
      <c r="O9" s="55"/>
      <c r="P9" s="32">
        <f t="shared" si="0"/>
        <v>-6.5892519578719957E-2</v>
      </c>
      <c r="Q9" s="32">
        <f t="shared" si="1"/>
        <v>2.8910089621277829E-4</v>
      </c>
      <c r="R9" s="32">
        <f t="shared" si="2"/>
        <v>3.786127167630058E-2</v>
      </c>
      <c r="S9" s="32"/>
      <c r="T9" s="30"/>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x14ac:dyDescent="0.25">
      <c r="C10" s="5" t="s">
        <v>10</v>
      </c>
      <c r="D10" s="5"/>
      <c r="E10" s="5"/>
      <c r="F10" s="199">
        <v>24</v>
      </c>
      <c r="G10" s="200">
        <v>33</v>
      </c>
      <c r="H10" s="200">
        <v>36</v>
      </c>
      <c r="I10" s="200">
        <v>38</v>
      </c>
      <c r="J10" s="200">
        <v>45</v>
      </c>
      <c r="K10" s="50"/>
      <c r="L10" s="55"/>
      <c r="M10" s="55"/>
      <c r="N10" s="55"/>
      <c r="O10" s="55"/>
      <c r="P10" s="32">
        <f t="shared" si="0"/>
        <v>9.0909090909090912E-2</v>
      </c>
      <c r="Q10" s="32">
        <f t="shared" si="1"/>
        <v>5.5555555555555552E-2</v>
      </c>
      <c r="R10" s="32">
        <f t="shared" si="2"/>
        <v>0.18421052631578946</v>
      </c>
      <c r="S10" s="32"/>
      <c r="T10" s="30"/>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x14ac:dyDescent="0.25">
      <c r="C11" s="5" t="s">
        <v>11</v>
      </c>
      <c r="D11" s="5"/>
      <c r="E11" s="5"/>
      <c r="F11" s="199">
        <v>56</v>
      </c>
      <c r="G11" s="200">
        <v>72</v>
      </c>
      <c r="H11" s="200">
        <v>98</v>
      </c>
      <c r="I11" s="200">
        <v>120</v>
      </c>
      <c r="J11" s="200">
        <v>127</v>
      </c>
      <c r="K11" s="50"/>
      <c r="L11" s="55"/>
      <c r="M11" s="55"/>
      <c r="N11" s="55"/>
      <c r="O11" s="55"/>
      <c r="P11" s="32">
        <f t="shared" si="0"/>
        <v>0.3611111111111111</v>
      </c>
      <c r="Q11" s="32">
        <f t="shared" si="1"/>
        <v>0.22448979591836735</v>
      </c>
      <c r="R11" s="32">
        <f t="shared" si="2"/>
        <v>5.8333333333333334E-2</v>
      </c>
      <c r="S11" s="32"/>
      <c r="T11" s="30"/>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x14ac:dyDescent="0.25">
      <c r="C12" s="5" t="s">
        <v>12</v>
      </c>
      <c r="D12" s="5"/>
      <c r="E12" s="5"/>
      <c r="F12" s="199">
        <v>23</v>
      </c>
      <c r="G12" s="200">
        <v>73</v>
      </c>
      <c r="H12" s="200">
        <v>66</v>
      </c>
      <c r="I12" s="200">
        <v>66</v>
      </c>
      <c r="J12" s="200">
        <v>28</v>
      </c>
      <c r="K12" s="50"/>
      <c r="L12" s="55"/>
      <c r="M12" s="55"/>
      <c r="N12" s="55"/>
      <c r="O12" s="55"/>
      <c r="P12" s="32">
        <f t="shared" si="0"/>
        <v>-9.5890410958904104E-2</v>
      </c>
      <c r="Q12" s="32">
        <f t="shared" si="1"/>
        <v>0</v>
      </c>
      <c r="R12" s="32">
        <f t="shared" si="2"/>
        <v>-0.5757575757575758</v>
      </c>
      <c r="S12" s="32"/>
      <c r="T12" s="30"/>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x14ac:dyDescent="0.25">
      <c r="C13" s="5" t="s">
        <v>13</v>
      </c>
      <c r="D13" s="5"/>
      <c r="E13" s="5"/>
      <c r="F13" s="199">
        <v>103</v>
      </c>
      <c r="G13" s="200">
        <v>101</v>
      </c>
      <c r="H13" s="200">
        <v>95</v>
      </c>
      <c r="I13" s="200">
        <v>85</v>
      </c>
      <c r="J13" s="200">
        <v>131</v>
      </c>
      <c r="K13" s="50"/>
      <c r="L13" s="108"/>
      <c r="M13" s="55"/>
      <c r="N13" s="55"/>
      <c r="O13" s="55"/>
      <c r="P13" s="32">
        <f t="shared" si="0"/>
        <v>-5.9405940594059403E-2</v>
      </c>
      <c r="Q13" s="32">
        <f t="shared" si="1"/>
        <v>-0.10526315789473684</v>
      </c>
      <c r="R13" s="32">
        <f t="shared" si="2"/>
        <v>0.54117647058823526</v>
      </c>
      <c r="S13" s="32"/>
      <c r="T13" s="30"/>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x14ac:dyDescent="0.25">
      <c r="C14" s="5" t="s">
        <v>14</v>
      </c>
      <c r="D14" s="5"/>
      <c r="E14" s="5"/>
      <c r="F14" s="199">
        <v>72</v>
      </c>
      <c r="G14" s="200">
        <v>82</v>
      </c>
      <c r="H14" s="200">
        <v>83</v>
      </c>
      <c r="I14" s="200">
        <v>91</v>
      </c>
      <c r="J14" s="200">
        <v>101</v>
      </c>
      <c r="K14" s="50"/>
      <c r="L14" s="55"/>
      <c r="M14" s="55"/>
      <c r="N14" s="55"/>
      <c r="O14" s="55"/>
      <c r="P14" s="32">
        <f t="shared" si="0"/>
        <v>1.2195121951219513E-2</v>
      </c>
      <c r="Q14" s="32">
        <f t="shared" si="1"/>
        <v>9.6385542168674704E-2</v>
      </c>
      <c r="R14" s="32">
        <f t="shared" si="2"/>
        <v>0.10989010989010989</v>
      </c>
      <c r="S14" s="32"/>
      <c r="T14" s="30"/>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x14ac:dyDescent="0.25">
      <c r="C15" s="5" t="s">
        <v>15</v>
      </c>
      <c r="D15" s="5"/>
      <c r="E15" s="5"/>
      <c r="F15" s="199">
        <v>2</v>
      </c>
      <c r="G15" s="200">
        <v>9</v>
      </c>
      <c r="H15" s="200">
        <v>50</v>
      </c>
      <c r="I15" s="200">
        <v>54</v>
      </c>
      <c r="J15" s="200">
        <v>140</v>
      </c>
      <c r="K15" s="50"/>
      <c r="L15" s="55"/>
      <c r="M15" s="55"/>
      <c r="N15" s="55"/>
      <c r="O15" s="55"/>
      <c r="P15" s="32">
        <f t="shared" si="0"/>
        <v>4.5555555555555554</v>
      </c>
      <c r="Q15" s="32">
        <f t="shared" si="1"/>
        <v>0.08</v>
      </c>
      <c r="R15" s="32">
        <f t="shared" si="2"/>
        <v>1.5925925925925926</v>
      </c>
      <c r="S15" s="32"/>
      <c r="T15" s="33"/>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x14ac:dyDescent="0.25">
      <c r="C16" s="10" t="s">
        <v>16</v>
      </c>
      <c r="D16" s="11"/>
      <c r="E16" s="12"/>
      <c r="F16" s="201">
        <f t="shared" ref="F16:G16" si="3">SUM(F7:F15)</f>
        <v>5067</v>
      </c>
      <c r="G16" s="201">
        <f t="shared" si="3"/>
        <v>5129</v>
      </c>
      <c r="H16" s="202">
        <f>SUM(H7:H15)</f>
        <v>4606</v>
      </c>
      <c r="I16" s="202">
        <f>SUM(I7:I15)</f>
        <v>4620</v>
      </c>
      <c r="J16" s="202">
        <f>SUM(J7:J15)</f>
        <v>4869</v>
      </c>
      <c r="K16" s="50"/>
      <c r="L16" s="55"/>
      <c r="M16" s="55"/>
      <c r="N16" s="55"/>
      <c r="O16" s="55"/>
      <c r="P16" s="34">
        <f t="shared" si="0"/>
        <v>-0.10196919477480991</v>
      </c>
      <c r="Q16" s="34">
        <f t="shared" si="1"/>
        <v>3.0395136778115501E-3</v>
      </c>
      <c r="R16" s="34">
        <f t="shared" si="2"/>
        <v>5.3896103896103893E-2</v>
      </c>
      <c r="S16" s="34">
        <f>SUM(T16,-J16)/J16</f>
        <v>9.8582871226124465E-3</v>
      </c>
      <c r="T16" s="35">
        <v>4917</v>
      </c>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x14ac:dyDescent="0.25">
      <c r="C17" s="14" t="s">
        <v>17</v>
      </c>
      <c r="D17" s="14"/>
      <c r="E17" s="14"/>
      <c r="F17" s="203"/>
      <c r="G17" s="204"/>
      <c r="H17" s="204"/>
      <c r="I17" s="204"/>
      <c r="J17" s="204"/>
      <c r="K17" s="50"/>
      <c r="L17" s="55"/>
      <c r="M17" s="55"/>
      <c r="N17" s="55"/>
      <c r="O17" s="55"/>
      <c r="P17" s="36"/>
      <c r="Q17" s="36"/>
      <c r="R17" s="36"/>
      <c r="S17" s="36"/>
      <c r="T17" s="37"/>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x14ac:dyDescent="0.25">
      <c r="C18" s="14" t="s">
        <v>18</v>
      </c>
      <c r="D18" s="14"/>
      <c r="E18" s="14"/>
      <c r="F18" s="203">
        <v>9838</v>
      </c>
      <c r="G18" s="204">
        <v>10421</v>
      </c>
      <c r="H18" s="204">
        <v>10070</v>
      </c>
      <c r="I18" s="204">
        <v>10520</v>
      </c>
      <c r="J18" s="204">
        <v>11065</v>
      </c>
      <c r="K18" s="50"/>
      <c r="L18" s="55"/>
      <c r="M18" s="55"/>
      <c r="N18" s="55"/>
      <c r="O18" s="55"/>
      <c r="P18" s="36">
        <f t="shared" ref="P18:R20" si="4">SUM(H18,-G18)/G18</f>
        <v>-3.3681988292870169E-2</v>
      </c>
      <c r="Q18" s="36">
        <f t="shared" si="4"/>
        <v>4.4687189672293945E-2</v>
      </c>
      <c r="R18" s="36">
        <f t="shared" si="4"/>
        <v>5.1806083650190113E-2</v>
      </c>
      <c r="S18" s="36">
        <f>SUM(T18,-J18)/J18</f>
        <v>-1</v>
      </c>
      <c r="T18" s="37"/>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x14ac:dyDescent="0.25">
      <c r="C19" s="14" t="s">
        <v>19</v>
      </c>
      <c r="D19" s="14"/>
      <c r="E19" s="14"/>
      <c r="F19" s="203">
        <v>-4253</v>
      </c>
      <c r="G19" s="204">
        <v>-4553</v>
      </c>
      <c r="H19" s="204">
        <v>-4725</v>
      </c>
      <c r="I19" s="204">
        <v>-5045</v>
      </c>
      <c r="J19" s="204">
        <v>-5376</v>
      </c>
      <c r="K19" s="50"/>
      <c r="L19" s="55"/>
      <c r="M19" s="55"/>
      <c r="N19" s="55"/>
      <c r="O19" s="55"/>
      <c r="P19" s="36">
        <f t="shared" si="4"/>
        <v>3.7777289699099492E-2</v>
      </c>
      <c r="Q19" s="36">
        <f t="shared" si="4"/>
        <v>6.7724867724867729E-2</v>
      </c>
      <c r="R19" s="36">
        <f t="shared" si="4"/>
        <v>6.5609514370664021E-2</v>
      </c>
      <c r="S19" s="36">
        <f>SUM(T19,-J19)/J19</f>
        <v>-1</v>
      </c>
      <c r="T19" s="37"/>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x14ac:dyDescent="0.25">
      <c r="C20" s="14" t="s">
        <v>20</v>
      </c>
      <c r="D20" s="14"/>
      <c r="E20" s="14"/>
      <c r="F20" s="203">
        <v>-518</v>
      </c>
      <c r="G20" s="204">
        <v>-739</v>
      </c>
      <c r="H20" s="204">
        <v>-739</v>
      </c>
      <c r="I20" s="204">
        <v>-855</v>
      </c>
      <c r="J20" s="204">
        <v>-820</v>
      </c>
      <c r="K20" s="50"/>
      <c r="L20" s="55"/>
      <c r="M20" s="55"/>
      <c r="N20" s="55"/>
      <c r="O20" s="55"/>
      <c r="P20" s="36">
        <f t="shared" si="4"/>
        <v>0</v>
      </c>
      <c r="Q20" s="36">
        <f t="shared" si="4"/>
        <v>0.15696887686062247</v>
      </c>
      <c r="R20" s="36">
        <f t="shared" si="4"/>
        <v>-4.0935672514619881E-2</v>
      </c>
      <c r="S20" s="36">
        <f>SUM(T20,-J20)/J20</f>
        <v>-1</v>
      </c>
      <c r="T20" s="37"/>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x14ac:dyDescent="0.25">
      <c r="C21" s="8" t="s">
        <v>21</v>
      </c>
      <c r="D21" s="5" t="s">
        <v>22</v>
      </c>
      <c r="E21" s="5"/>
      <c r="F21" s="199"/>
      <c r="G21" s="200"/>
      <c r="H21" s="200"/>
      <c r="I21" s="200"/>
      <c r="J21" s="200"/>
      <c r="K21" s="50"/>
      <c r="L21" s="55"/>
      <c r="M21" s="55"/>
      <c r="N21" s="55"/>
      <c r="O21" s="55"/>
      <c r="P21" s="32"/>
      <c r="Q21" s="32"/>
      <c r="R21" s="32"/>
      <c r="S21" s="32"/>
      <c r="T21" s="30"/>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x14ac:dyDescent="0.25">
      <c r="C22" s="5" t="s">
        <v>23</v>
      </c>
      <c r="D22" s="5"/>
      <c r="E22" s="5"/>
      <c r="F22" s="199">
        <v>26</v>
      </c>
      <c r="G22" s="200">
        <v>21</v>
      </c>
      <c r="H22" s="200">
        <v>19</v>
      </c>
      <c r="I22" s="200">
        <v>24</v>
      </c>
      <c r="J22" s="200">
        <v>31</v>
      </c>
      <c r="K22" s="50"/>
      <c r="L22" s="55"/>
      <c r="M22" s="55"/>
      <c r="N22" s="55"/>
      <c r="O22" s="55"/>
      <c r="P22" s="32">
        <f t="shared" ref="P22:R27" si="5">SUM(H22,-G22)/G22</f>
        <v>-9.5238095238095233E-2</v>
      </c>
      <c r="Q22" s="32">
        <f t="shared" si="5"/>
        <v>0.26315789473684209</v>
      </c>
      <c r="R22" s="32">
        <f t="shared" si="5"/>
        <v>0.29166666666666669</v>
      </c>
      <c r="S22" s="32"/>
      <c r="T22" s="30"/>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x14ac:dyDescent="0.25">
      <c r="C23" s="5" t="s">
        <v>24</v>
      </c>
      <c r="D23" s="5"/>
      <c r="E23" s="5"/>
      <c r="F23" s="199">
        <v>799</v>
      </c>
      <c r="G23" s="200">
        <v>1046</v>
      </c>
      <c r="H23" s="200">
        <v>1130</v>
      </c>
      <c r="I23" s="200">
        <v>1502</v>
      </c>
      <c r="J23" s="200">
        <v>1616</v>
      </c>
      <c r="K23" s="50"/>
      <c r="L23" s="55"/>
      <c r="M23" s="55"/>
      <c r="N23" s="55"/>
      <c r="O23" s="55"/>
      <c r="P23" s="32">
        <f t="shared" si="5"/>
        <v>8.0305927342256209E-2</v>
      </c>
      <c r="Q23" s="32">
        <f t="shared" si="5"/>
        <v>0.32920353982300887</v>
      </c>
      <c r="R23" s="32">
        <f t="shared" si="5"/>
        <v>7.5898801597869506E-2</v>
      </c>
      <c r="S23" s="32"/>
      <c r="T23" s="30"/>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x14ac:dyDescent="0.25">
      <c r="C24" s="5" t="s">
        <v>25</v>
      </c>
      <c r="D24" s="5"/>
      <c r="E24" s="5"/>
      <c r="F24" s="199">
        <v>20</v>
      </c>
      <c r="G24" s="200">
        <v>500</v>
      </c>
      <c r="H24" s="200">
        <v>457</v>
      </c>
      <c r="I24" s="200">
        <v>444</v>
      </c>
      <c r="J24" s="200">
        <v>374</v>
      </c>
      <c r="K24" s="50"/>
      <c r="L24" s="55"/>
      <c r="M24" s="55"/>
      <c r="N24" s="55"/>
      <c r="O24" s="55"/>
      <c r="P24" s="32">
        <f t="shared" si="5"/>
        <v>-8.5999999999999993E-2</v>
      </c>
      <c r="Q24" s="32">
        <f t="shared" si="5"/>
        <v>-2.8446389496717725E-2</v>
      </c>
      <c r="R24" s="32">
        <f t="shared" si="5"/>
        <v>-0.15765765765765766</v>
      </c>
      <c r="S24" s="32"/>
      <c r="T24" s="30"/>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x14ac:dyDescent="0.25">
      <c r="C25" s="5" t="s">
        <v>26</v>
      </c>
      <c r="D25" s="5"/>
      <c r="E25" s="5"/>
      <c r="F25" s="199">
        <v>21</v>
      </c>
      <c r="G25" s="200">
        <v>26</v>
      </c>
      <c r="H25" s="200">
        <v>40</v>
      </c>
      <c r="I25" s="200">
        <v>44</v>
      </c>
      <c r="J25" s="200">
        <v>62</v>
      </c>
      <c r="K25" s="50"/>
      <c r="L25" s="55"/>
      <c r="M25" s="55"/>
      <c r="N25" s="55"/>
      <c r="O25" s="55"/>
      <c r="P25" s="32">
        <f t="shared" si="5"/>
        <v>0.53846153846153844</v>
      </c>
      <c r="Q25" s="32">
        <f t="shared" si="5"/>
        <v>0.1</v>
      </c>
      <c r="R25" s="32">
        <f t="shared" si="5"/>
        <v>0.40909090909090912</v>
      </c>
      <c r="S25" s="32"/>
      <c r="T25" s="30"/>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x14ac:dyDescent="0.25">
      <c r="C26" s="5" t="s">
        <v>27</v>
      </c>
      <c r="D26" s="5"/>
      <c r="E26" s="5"/>
      <c r="F26" s="199">
        <v>482</v>
      </c>
      <c r="G26" s="200">
        <v>111</v>
      </c>
      <c r="H26" s="200">
        <v>217</v>
      </c>
      <c r="I26" s="200">
        <v>288</v>
      </c>
      <c r="J26" s="200">
        <v>296</v>
      </c>
      <c r="K26" s="50"/>
      <c r="L26" s="55"/>
      <c r="M26" s="55"/>
      <c r="N26" s="55"/>
      <c r="O26" s="55"/>
      <c r="P26" s="32">
        <f t="shared" si="5"/>
        <v>0.95495495495495497</v>
      </c>
      <c r="Q26" s="32">
        <f t="shared" si="5"/>
        <v>0.32718894009216593</v>
      </c>
      <c r="R26" s="32">
        <f t="shared" si="5"/>
        <v>2.7777777777777776E-2</v>
      </c>
      <c r="S26" s="32"/>
      <c r="T26" s="30"/>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x14ac:dyDescent="0.25">
      <c r="C27" s="10" t="s">
        <v>16</v>
      </c>
      <c r="D27" s="12"/>
      <c r="E27" s="12"/>
      <c r="F27" s="201">
        <f t="shared" ref="F27:G27" si="6">SUM(F22:F26)</f>
        <v>1348</v>
      </c>
      <c r="G27" s="202">
        <f t="shared" si="6"/>
        <v>1704</v>
      </c>
      <c r="H27" s="202">
        <f>SUM(H22:H26)</f>
        <v>1863</v>
      </c>
      <c r="I27" s="202">
        <f>SUM(I22:I26)</f>
        <v>2302</v>
      </c>
      <c r="J27" s="202">
        <f>SUM(J22:J26)</f>
        <v>2379</v>
      </c>
      <c r="K27" s="50"/>
      <c r="L27" s="55"/>
      <c r="M27" s="55"/>
      <c r="N27" s="55"/>
      <c r="O27" s="55"/>
      <c r="P27" s="34">
        <f t="shared" si="5"/>
        <v>9.3309859154929578E-2</v>
      </c>
      <c r="Q27" s="34">
        <f t="shared" si="5"/>
        <v>0.23564143853998926</v>
      </c>
      <c r="R27" s="34">
        <f t="shared" si="5"/>
        <v>3.3449174630755862E-2</v>
      </c>
      <c r="S27" s="34">
        <f>SUM(T27,-J27)/J27</f>
        <v>2.1017234131988232E-2</v>
      </c>
      <c r="T27" s="35">
        <v>2429</v>
      </c>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x14ac:dyDescent="0.25">
      <c r="C28" s="8" t="s">
        <v>28</v>
      </c>
      <c r="D28" s="5"/>
      <c r="E28" s="5"/>
      <c r="F28" s="199"/>
      <c r="G28" s="200"/>
      <c r="H28" s="200"/>
      <c r="I28" s="200"/>
      <c r="J28" s="200"/>
      <c r="K28" s="50"/>
      <c r="L28" s="55"/>
      <c r="M28" s="55"/>
      <c r="N28" s="55"/>
      <c r="O28" s="55"/>
      <c r="P28" s="32"/>
      <c r="Q28" s="32"/>
      <c r="R28" s="32"/>
      <c r="S28" s="32"/>
      <c r="T28" s="30"/>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x14ac:dyDescent="0.25">
      <c r="C29" s="5" t="s">
        <v>29</v>
      </c>
      <c r="D29" s="5" t="s">
        <v>30</v>
      </c>
      <c r="E29" s="5"/>
      <c r="F29" s="199">
        <v>68</v>
      </c>
      <c r="G29" s="200">
        <v>67</v>
      </c>
      <c r="H29" s="200">
        <v>63</v>
      </c>
      <c r="I29" s="200">
        <v>16</v>
      </c>
      <c r="J29" s="200">
        <v>38</v>
      </c>
      <c r="K29" s="50"/>
      <c r="L29" s="55"/>
      <c r="M29" s="55"/>
      <c r="N29" s="55"/>
      <c r="O29" s="55"/>
      <c r="P29" s="32">
        <f t="shared" ref="P29:R31" si="7">SUM(H29,-G29)/G29</f>
        <v>-5.9701492537313432E-2</v>
      </c>
      <c r="Q29" s="32">
        <f t="shared" si="7"/>
        <v>-0.74603174603174605</v>
      </c>
      <c r="R29" s="32">
        <f t="shared" si="7"/>
        <v>1.375</v>
      </c>
      <c r="S29" s="32">
        <f>SUM(T29,-J29)/J29</f>
        <v>-0.36842105263157893</v>
      </c>
      <c r="T29" s="30">
        <v>24</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x14ac:dyDescent="0.25">
      <c r="C30" s="5" t="s">
        <v>31</v>
      </c>
      <c r="D30" s="5" t="s">
        <v>32</v>
      </c>
      <c r="E30" s="5"/>
      <c r="F30" s="199">
        <v>69</v>
      </c>
      <c r="G30" s="200">
        <v>69</v>
      </c>
      <c r="H30" s="200">
        <v>44</v>
      </c>
      <c r="I30" s="200">
        <v>29</v>
      </c>
      <c r="J30" s="200">
        <v>27</v>
      </c>
      <c r="K30" s="50"/>
      <c r="L30" s="55"/>
      <c r="M30" s="55"/>
      <c r="N30" s="55"/>
      <c r="O30" s="55"/>
      <c r="P30" s="32">
        <f t="shared" si="7"/>
        <v>-0.36231884057971014</v>
      </c>
      <c r="Q30" s="32">
        <f t="shared" si="7"/>
        <v>-0.34090909090909088</v>
      </c>
      <c r="R30" s="32">
        <f t="shared" si="7"/>
        <v>-6.8965517241379309E-2</v>
      </c>
      <c r="S30" s="32">
        <f>SUM(T30,-J30)/J30</f>
        <v>1.6296296296296295</v>
      </c>
      <c r="T30" s="30">
        <v>71</v>
      </c>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x14ac:dyDescent="0.25">
      <c r="C31" s="10" t="s">
        <v>16</v>
      </c>
      <c r="D31" s="12"/>
      <c r="E31" s="12"/>
      <c r="F31" s="201">
        <f ca="1">SUM(F29:F31)</f>
        <v>137</v>
      </c>
      <c r="G31" s="202">
        <f ca="1">SUM(G29:G31)</f>
        <v>136</v>
      </c>
      <c r="H31" s="202">
        <f ca="1">SUM(H29:H31)</f>
        <v>107</v>
      </c>
      <c r="I31" s="202">
        <f ca="1">SUM(I29:I31)</f>
        <v>45</v>
      </c>
      <c r="J31" s="202">
        <f ca="1">SUM(J29:J31)</f>
        <v>65</v>
      </c>
      <c r="K31" s="50"/>
      <c r="L31" s="55"/>
      <c r="M31" s="55"/>
      <c r="N31" s="55"/>
      <c r="O31" s="55"/>
      <c r="P31" s="34">
        <f t="shared" ca="1" si="7"/>
        <v>-0.21323529411764705</v>
      </c>
      <c r="Q31" s="34">
        <f t="shared" ca="1" si="7"/>
        <v>-0.57943925233644855</v>
      </c>
      <c r="R31" s="34">
        <f t="shared" ca="1" si="7"/>
        <v>0.44444444444444442</v>
      </c>
      <c r="S31" s="34">
        <f ca="1">SUM(T31,-J31)/J31</f>
        <v>0.46153846153846156</v>
      </c>
      <c r="T31" s="35">
        <f>SUM(T29:T30)</f>
        <v>95</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x14ac:dyDescent="0.25">
      <c r="C32" s="14" t="s">
        <v>318</v>
      </c>
      <c r="D32" s="163"/>
      <c r="E32" s="169"/>
      <c r="F32" s="205">
        <v>57</v>
      </c>
      <c r="G32" s="206">
        <v>56</v>
      </c>
      <c r="H32" s="206">
        <v>36</v>
      </c>
      <c r="I32" s="206">
        <v>22</v>
      </c>
      <c r="J32" s="206">
        <v>20</v>
      </c>
      <c r="K32" s="50"/>
      <c r="L32" s="55"/>
      <c r="M32" s="55"/>
      <c r="N32" s="55"/>
      <c r="O32" s="55"/>
      <c r="P32" s="56">
        <f>SUM(H35,-G35)/G35</f>
        <v>-0.11730205278592376</v>
      </c>
      <c r="Q32" s="56">
        <f>SUM(I35,-H35)/H35</f>
        <v>-0.12292358803986711</v>
      </c>
      <c r="R32" s="56">
        <f>SUM(J35,-I35)/I35</f>
        <v>4.924242424242424E-2</v>
      </c>
      <c r="S32" s="56">
        <f>SUM(T32,-J35)/J35</f>
        <v>3.2490974729241874E-2</v>
      </c>
      <c r="T32" s="57">
        <v>286</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x14ac:dyDescent="0.25">
      <c r="C33" s="1"/>
      <c r="D33" s="1"/>
      <c r="E33" s="55"/>
      <c r="F33" s="207"/>
      <c r="G33" s="208"/>
      <c r="H33" s="208"/>
      <c r="I33" s="208"/>
      <c r="J33" s="208"/>
      <c r="K33" s="50"/>
      <c r="L33" s="55"/>
      <c r="M33" s="55"/>
      <c r="N33" s="55"/>
      <c r="O33" s="55"/>
      <c r="P33" s="32"/>
      <c r="Q33" s="32"/>
      <c r="R33" s="32"/>
      <c r="S33" s="32"/>
      <c r="T33" s="30"/>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x14ac:dyDescent="0.25">
      <c r="E34" s="55"/>
      <c r="F34" s="209"/>
      <c r="G34" s="210"/>
      <c r="H34" s="210"/>
      <c r="I34" s="210"/>
      <c r="J34" s="210"/>
      <c r="K34" s="53"/>
      <c r="L34" s="55"/>
      <c r="M34" s="55"/>
      <c r="N34" s="55"/>
      <c r="O34" s="55"/>
      <c r="P34" s="32">
        <f>SUM(H37,-G37)/G37</f>
        <v>-1</v>
      </c>
      <c r="Q34" s="32"/>
      <c r="R34" s="32">
        <f>SUM(J37,-I37)/I37</f>
        <v>-0.75</v>
      </c>
      <c r="S34" s="32"/>
      <c r="T34" s="30"/>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x14ac:dyDescent="0.25">
      <c r="C35" s="8" t="s">
        <v>33</v>
      </c>
      <c r="D35" s="5" t="s">
        <v>34</v>
      </c>
      <c r="E35" s="5"/>
      <c r="F35" s="211">
        <v>308</v>
      </c>
      <c r="G35" s="212">
        <v>341</v>
      </c>
      <c r="H35" s="212">
        <v>301</v>
      </c>
      <c r="I35" s="212">
        <v>264</v>
      </c>
      <c r="J35" s="212">
        <v>277</v>
      </c>
      <c r="K35" s="50"/>
      <c r="L35" s="55"/>
      <c r="M35" s="55"/>
      <c r="N35" s="55"/>
      <c r="O35" s="55"/>
      <c r="P35" s="32">
        <f>SUM(H38,-G38)/G38</f>
        <v>0</v>
      </c>
      <c r="Q35" s="32">
        <f>SUM(I38,-H38)/H38</f>
        <v>0.5</v>
      </c>
      <c r="R35" s="32">
        <f>SUM(J38,-I38)/I38</f>
        <v>0.91666666666666663</v>
      </c>
      <c r="S35" s="32"/>
      <c r="T35" s="30"/>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x14ac:dyDescent="0.25">
      <c r="C36" s="8" t="s">
        <v>35</v>
      </c>
      <c r="D36" s="5" t="s">
        <v>32</v>
      </c>
      <c r="E36" s="5"/>
      <c r="F36" s="199"/>
      <c r="G36" s="200"/>
      <c r="H36" s="200"/>
      <c r="I36" s="200"/>
      <c r="J36" s="200"/>
      <c r="K36" s="50"/>
      <c r="L36" s="55"/>
      <c r="M36" s="55"/>
      <c r="N36" s="55"/>
      <c r="O36" s="55"/>
      <c r="P36" s="34">
        <f>SUM(H40,-G40)/G40</f>
        <v>-0.33333333333333331</v>
      </c>
      <c r="Q36" s="34">
        <f>SUM(I40,-H40)/H40</f>
        <v>1.5</v>
      </c>
      <c r="R36" s="34">
        <f>SUM(J40,-I40)/I40</f>
        <v>0.25</v>
      </c>
      <c r="S36" s="34">
        <f>SUM(T36,-J40)/J40</f>
        <v>0.12</v>
      </c>
      <c r="T36" s="38">
        <v>28</v>
      </c>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x14ac:dyDescent="0.25">
      <c r="C37" s="5" t="s">
        <v>36</v>
      </c>
      <c r="D37" s="5"/>
      <c r="E37" s="5"/>
      <c r="F37" s="181">
        <v>0</v>
      </c>
      <c r="G37" s="200">
        <v>4</v>
      </c>
      <c r="H37" s="182">
        <v>0</v>
      </c>
      <c r="I37" s="200">
        <v>8</v>
      </c>
      <c r="J37" s="200">
        <v>2</v>
      </c>
      <c r="K37" s="50"/>
      <c r="L37" s="55"/>
      <c r="M37" s="55"/>
      <c r="N37" s="55"/>
      <c r="O37" s="55"/>
      <c r="P37" s="39">
        <f ca="1">SUM(H44,-G44)/G44</f>
        <v>-5.9683146681234638E-2</v>
      </c>
      <c r="Q37" s="39">
        <f ca="1">SUM(I44,-H44)/H44</f>
        <v>5.3159041394335513E-2</v>
      </c>
      <c r="R37" s="39">
        <f ca="1">SUM(J44,-I44)/I44</f>
        <v>5.019997241759757E-2</v>
      </c>
      <c r="S37" s="39">
        <f ca="1">SUM(T37,-J44)/J44</f>
        <v>1.8384766907419567E-2</v>
      </c>
      <c r="T37" s="40">
        <f>SUM(T16,T27,T31,T32,T36)</f>
        <v>7755</v>
      </c>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x14ac:dyDescent="0.25">
      <c r="C38" s="5" t="s">
        <v>37</v>
      </c>
      <c r="D38" s="5"/>
      <c r="E38" s="5"/>
      <c r="F38" s="199">
        <v>6</v>
      </c>
      <c r="G38" s="200">
        <v>8</v>
      </c>
      <c r="H38" s="200">
        <v>8</v>
      </c>
      <c r="I38" s="200">
        <v>12</v>
      </c>
      <c r="J38" s="200">
        <v>23</v>
      </c>
      <c r="K38" s="50"/>
      <c r="L38" s="108"/>
      <c r="M38" s="55"/>
      <c r="N38" s="55"/>
      <c r="O38" s="55"/>
      <c r="P38" s="32"/>
      <c r="Q38" s="32"/>
      <c r="R38" s="32"/>
      <c r="S38" s="32"/>
      <c r="T38" s="30"/>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x14ac:dyDescent="0.25">
      <c r="E39" s="55"/>
      <c r="F39" s="209"/>
      <c r="G39" s="210"/>
      <c r="H39" s="210"/>
      <c r="I39" s="210"/>
      <c r="J39" s="210"/>
      <c r="K39" s="50"/>
      <c r="L39" s="55"/>
      <c r="M39" s="55"/>
      <c r="N39" s="55"/>
      <c r="O39" s="55"/>
      <c r="P39" s="32"/>
      <c r="Q39" s="32"/>
      <c r="R39" s="32"/>
      <c r="S39" s="32"/>
      <c r="T39" s="30"/>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x14ac:dyDescent="0.25">
      <c r="C40" s="10" t="s">
        <v>16</v>
      </c>
      <c r="D40" s="12"/>
      <c r="E40" s="13"/>
      <c r="F40" s="201">
        <f>SUM(F37:F38)</f>
        <v>6</v>
      </c>
      <c r="G40" s="202">
        <f>SUM(G37:G38)</f>
        <v>12</v>
      </c>
      <c r="H40" s="202">
        <f>SUM(H37:H38)</f>
        <v>8</v>
      </c>
      <c r="I40" s="202">
        <f>SUM(I37:I38)</f>
        <v>20</v>
      </c>
      <c r="J40" s="202">
        <f>SUM(J37:J38)</f>
        <v>25</v>
      </c>
      <c r="K40" s="50"/>
      <c r="L40" s="55"/>
      <c r="M40" s="55"/>
      <c r="N40" s="55"/>
      <c r="O40" s="55"/>
      <c r="P40" s="32"/>
      <c r="Q40" s="32"/>
      <c r="R40" s="32"/>
      <c r="S40" s="32"/>
      <c r="T40" s="30"/>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x14ac:dyDescent="0.25">
      <c r="C41" s="14" t="s">
        <v>318</v>
      </c>
      <c r="D41" s="14"/>
      <c r="E41" s="14"/>
      <c r="F41" s="194">
        <v>0</v>
      </c>
      <c r="G41" s="204">
        <v>4</v>
      </c>
      <c r="H41" s="195">
        <v>0</v>
      </c>
      <c r="I41" s="204">
        <v>8</v>
      </c>
      <c r="J41" s="204">
        <v>2</v>
      </c>
      <c r="K41" s="50"/>
      <c r="L41" s="55"/>
      <c r="M41" s="55"/>
      <c r="N41" s="55"/>
      <c r="O41" s="55"/>
      <c r="P41" s="32">
        <f t="shared" ref="P41:R48" si="8">SUM(H48,-G48)/G48</f>
        <v>-0.26041666666666669</v>
      </c>
      <c r="Q41" s="32">
        <f t="shared" si="8"/>
        <v>-2.8169014084507043E-2</v>
      </c>
      <c r="R41" s="32">
        <f t="shared" si="8"/>
        <v>8.6956521739130432E-2</v>
      </c>
      <c r="S41" s="32"/>
      <c r="T41" s="30"/>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x14ac:dyDescent="0.25">
      <c r="C42" s="5"/>
      <c r="D42" s="5"/>
      <c r="E42" s="5"/>
      <c r="F42" s="199"/>
      <c r="G42" s="200"/>
      <c r="H42" s="200"/>
      <c r="I42" s="200"/>
      <c r="J42" s="200"/>
      <c r="K42" s="50"/>
      <c r="L42" s="55"/>
      <c r="M42" s="55"/>
      <c r="N42" s="55"/>
      <c r="O42" s="55"/>
      <c r="P42" s="32">
        <f t="shared" si="8"/>
        <v>-0.33333333333333331</v>
      </c>
      <c r="Q42" s="32">
        <f t="shared" si="8"/>
        <v>-0.15</v>
      </c>
      <c r="R42" s="32">
        <f t="shared" si="8"/>
        <v>5.8823529411764705E-2</v>
      </c>
      <c r="S42" s="32"/>
      <c r="T42" s="30"/>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x14ac:dyDescent="0.25">
      <c r="E43" s="55"/>
      <c r="F43" s="209"/>
      <c r="G43" s="210"/>
      <c r="H43" s="210"/>
      <c r="I43" s="210"/>
      <c r="J43" s="210"/>
      <c r="K43" s="50"/>
      <c r="L43" s="55"/>
      <c r="M43" s="55"/>
      <c r="N43" s="55"/>
      <c r="O43" s="55"/>
      <c r="P43" s="32">
        <f t="shared" si="8"/>
        <v>-0.22727272727272727</v>
      </c>
      <c r="Q43" s="32">
        <f t="shared" si="8"/>
        <v>1.9607843137254902E-2</v>
      </c>
      <c r="R43" s="32">
        <f t="shared" si="8"/>
        <v>9.6153846153846159E-2</v>
      </c>
      <c r="S43" s="32"/>
      <c r="T43" s="30"/>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x14ac:dyDescent="0.25">
      <c r="C44" s="15" t="s">
        <v>38</v>
      </c>
      <c r="D44" s="16"/>
      <c r="E44" s="15"/>
      <c r="F44" s="213">
        <f ca="1">SUM(F16,F27,F31,F35,F40)</f>
        <v>6866</v>
      </c>
      <c r="G44" s="214">
        <f ca="1">SUM(G16,G27,G31,G35,G40)</f>
        <v>7322</v>
      </c>
      <c r="H44" s="214">
        <f ca="1">SUM(H16,H27,H31,H35,H40)</f>
        <v>6885</v>
      </c>
      <c r="I44" s="214">
        <f ca="1">SUM(I16,I27,I31,I35,I40)</f>
        <v>7251</v>
      </c>
      <c r="J44" s="214">
        <f ca="1">SUM(J16,J27,J31,J35,J40)</f>
        <v>7615</v>
      </c>
      <c r="K44" s="50"/>
      <c r="L44" s="55"/>
      <c r="M44" s="55"/>
      <c r="N44" s="55"/>
      <c r="O44" s="55"/>
      <c r="P44" s="32">
        <f t="shared" si="8"/>
        <v>0.18181818181818182</v>
      </c>
      <c r="Q44" s="32">
        <f t="shared" si="8"/>
        <v>0.4175824175824176</v>
      </c>
      <c r="R44" s="32">
        <f t="shared" si="8"/>
        <v>-0.13178294573643412</v>
      </c>
      <c r="S44" s="32"/>
      <c r="T44" s="30"/>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x14ac:dyDescent="0.25">
      <c r="C45" s="8"/>
      <c r="D45" s="5"/>
      <c r="E45" s="5"/>
      <c r="F45" s="199"/>
      <c r="G45" s="200"/>
      <c r="H45" s="200"/>
      <c r="I45" s="200"/>
      <c r="J45" s="200"/>
      <c r="K45" s="50"/>
      <c r="L45" s="55"/>
      <c r="M45" s="55"/>
      <c r="N45" s="55"/>
      <c r="O45" s="55"/>
      <c r="P45" s="32">
        <f t="shared" si="8"/>
        <v>-0.88888888888888884</v>
      </c>
      <c r="Q45" s="32">
        <f t="shared" si="8"/>
        <v>1</v>
      </c>
      <c r="R45" s="32">
        <f t="shared" si="8"/>
        <v>1</v>
      </c>
      <c r="S45" s="32"/>
      <c r="T45" s="30"/>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ht="18.75" x14ac:dyDescent="0.3">
      <c r="C46" s="6" t="s">
        <v>39</v>
      </c>
      <c r="D46" s="5"/>
      <c r="E46" s="5"/>
      <c r="F46" s="199"/>
      <c r="G46" s="200"/>
      <c r="H46" s="200"/>
      <c r="I46" s="200"/>
      <c r="J46" s="200"/>
      <c r="K46" s="50"/>
      <c r="L46" s="55"/>
      <c r="M46" s="55"/>
      <c r="N46" s="55"/>
      <c r="O46" s="55"/>
      <c r="P46" s="32">
        <f t="shared" si="8"/>
        <v>-5.921052631578947E-2</v>
      </c>
      <c r="Q46" s="32">
        <f t="shared" si="8"/>
        <v>0.27972027972027974</v>
      </c>
      <c r="R46" s="32">
        <f t="shared" si="8"/>
        <v>-5.4644808743169397E-2</v>
      </c>
      <c r="S46" s="32"/>
      <c r="T46" s="30"/>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x14ac:dyDescent="0.25">
      <c r="C47" s="8" t="s">
        <v>40</v>
      </c>
      <c r="D47" s="5"/>
      <c r="E47" s="5"/>
      <c r="F47" s="199"/>
      <c r="G47" s="200"/>
      <c r="H47" s="200"/>
      <c r="I47" s="200"/>
      <c r="J47" s="200"/>
      <c r="K47" s="50"/>
      <c r="L47" s="55"/>
      <c r="M47" s="55"/>
      <c r="N47" s="55"/>
      <c r="O47" s="55"/>
      <c r="P47" s="32">
        <f t="shared" si="8"/>
        <v>-0.42857142857142855</v>
      </c>
      <c r="Q47" s="32">
        <f t="shared" si="8"/>
        <v>0</v>
      </c>
      <c r="R47" s="32">
        <f t="shared" si="8"/>
        <v>1.75</v>
      </c>
      <c r="S47" s="32"/>
      <c r="T47" s="30"/>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x14ac:dyDescent="0.25">
      <c r="C48" s="5" t="s">
        <v>41</v>
      </c>
      <c r="D48" s="5"/>
      <c r="E48" s="5"/>
      <c r="F48" s="199">
        <v>86</v>
      </c>
      <c r="G48" s="200">
        <v>96</v>
      </c>
      <c r="H48" s="200">
        <v>71</v>
      </c>
      <c r="I48" s="200">
        <v>69</v>
      </c>
      <c r="J48" s="200">
        <v>75</v>
      </c>
      <c r="K48" s="50"/>
      <c r="L48" s="55"/>
      <c r="M48" s="55"/>
      <c r="N48" s="55"/>
      <c r="O48" s="55"/>
      <c r="P48" s="34">
        <f t="shared" si="8"/>
        <v>-7.5471698113207544E-2</v>
      </c>
      <c r="Q48" s="34">
        <f t="shared" si="8"/>
        <v>0.27210884353741499</v>
      </c>
      <c r="R48" s="34">
        <f t="shared" si="8"/>
        <v>-1.6042780748663103E-2</v>
      </c>
      <c r="S48" s="34">
        <f>SUM(T48,-J55)/J55</f>
        <v>-0.43478260869565216</v>
      </c>
      <c r="T48" s="35">
        <v>104</v>
      </c>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x14ac:dyDescent="0.25">
      <c r="C49" s="5" t="s">
        <v>42</v>
      </c>
      <c r="D49" s="5"/>
      <c r="E49" s="5"/>
      <c r="F49" s="199">
        <v>-26</v>
      </c>
      <c r="G49" s="200">
        <v>-30</v>
      </c>
      <c r="H49" s="200">
        <v>-20</v>
      </c>
      <c r="I49" s="200">
        <v>-17</v>
      </c>
      <c r="J49" s="200">
        <v>-18</v>
      </c>
      <c r="K49" s="50"/>
      <c r="L49" s="55"/>
      <c r="M49" s="55"/>
      <c r="N49" s="55"/>
      <c r="O49" s="55"/>
      <c r="P49" s="32"/>
      <c r="Q49" s="32"/>
      <c r="R49" s="32"/>
      <c r="S49" s="32"/>
      <c r="T49" s="30"/>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x14ac:dyDescent="0.25">
      <c r="C50" s="5" t="s">
        <v>43</v>
      </c>
      <c r="D50" s="5"/>
      <c r="E50" s="5"/>
      <c r="F50" s="199">
        <f>SUM(F48:F49)</f>
        <v>60</v>
      </c>
      <c r="G50" s="199">
        <f t="shared" ref="G50:J50" si="9">SUM(G48:G49)</f>
        <v>66</v>
      </c>
      <c r="H50" s="199">
        <f t="shared" si="9"/>
        <v>51</v>
      </c>
      <c r="I50" s="199">
        <f t="shared" si="9"/>
        <v>52</v>
      </c>
      <c r="J50" s="199">
        <f t="shared" si="9"/>
        <v>57</v>
      </c>
      <c r="K50" s="50"/>
      <c r="L50" s="55"/>
      <c r="M50" s="55"/>
      <c r="N50" s="55"/>
      <c r="O50" s="55"/>
      <c r="P50" s="32">
        <f t="shared" ref="P50:R53" si="10">SUM(H57,-G57)/G57</f>
        <v>-0.11859582542694497</v>
      </c>
      <c r="Q50" s="32">
        <f t="shared" si="10"/>
        <v>0.10871905274488698</v>
      </c>
      <c r="R50" s="32">
        <f t="shared" si="10"/>
        <v>-0.26601941747572816</v>
      </c>
      <c r="S50" s="32"/>
      <c r="T50" s="30"/>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x14ac:dyDescent="0.25">
      <c r="C51" s="5" t="s">
        <v>44</v>
      </c>
      <c r="D51" s="5"/>
      <c r="E51" s="5"/>
      <c r="F51" s="199">
        <v>99</v>
      </c>
      <c r="G51" s="200">
        <v>77</v>
      </c>
      <c r="H51" s="200">
        <v>91</v>
      </c>
      <c r="I51" s="200">
        <v>129</v>
      </c>
      <c r="J51" s="200">
        <v>112</v>
      </c>
      <c r="K51" s="50"/>
      <c r="L51" s="55"/>
      <c r="M51" s="55"/>
      <c r="N51" s="55"/>
      <c r="O51" s="55"/>
      <c r="P51" s="32">
        <f t="shared" si="10"/>
        <v>-0.19910714285714284</v>
      </c>
      <c r="Q51" s="32">
        <f t="shared" si="10"/>
        <v>1.89520624303233E-2</v>
      </c>
      <c r="R51" s="32">
        <f t="shared" si="10"/>
        <v>0.3172866520787746</v>
      </c>
      <c r="S51" s="32"/>
      <c r="T51" s="30"/>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x14ac:dyDescent="0.25">
      <c r="C52" s="5" t="s">
        <v>45</v>
      </c>
      <c r="D52" s="5"/>
      <c r="E52" s="5"/>
      <c r="F52" s="199">
        <v>22</v>
      </c>
      <c r="G52" s="200">
        <v>9</v>
      </c>
      <c r="H52" s="200">
        <v>1</v>
      </c>
      <c r="I52" s="200">
        <v>2</v>
      </c>
      <c r="J52" s="200">
        <v>4</v>
      </c>
      <c r="K52" s="50"/>
      <c r="L52" s="55"/>
      <c r="M52" s="55"/>
      <c r="N52" s="55"/>
      <c r="O52" s="55"/>
      <c r="P52" s="32">
        <f t="shared" si="10"/>
        <v>-0.56090651558073656</v>
      </c>
      <c r="Q52" s="32">
        <f t="shared" si="10"/>
        <v>5.1612903225806452E-2</v>
      </c>
      <c r="R52" s="32">
        <f t="shared" si="10"/>
        <v>-0.33742331288343558</v>
      </c>
      <c r="S52" s="32"/>
      <c r="T52" s="30"/>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x14ac:dyDescent="0.25">
      <c r="C53" s="8" t="s">
        <v>46</v>
      </c>
      <c r="D53" s="5"/>
      <c r="E53" s="5"/>
      <c r="F53" s="199">
        <v>181</v>
      </c>
      <c r="G53" s="200">
        <f t="shared" ref="G53" si="11">SUM(G51,G50,G52)</f>
        <v>152</v>
      </c>
      <c r="H53" s="200">
        <f>SUM(H51,H50,H52)</f>
        <v>143</v>
      </c>
      <c r="I53" s="200">
        <f>SUM(I51,I50,I52)</f>
        <v>183</v>
      </c>
      <c r="J53" s="200">
        <f>SUM(J51,J50,J52)</f>
        <v>173</v>
      </c>
      <c r="K53" s="50"/>
      <c r="L53" s="55"/>
      <c r="M53" s="55"/>
      <c r="N53" s="55"/>
      <c r="O53" s="55"/>
      <c r="P53" s="34">
        <f t="shared" si="10"/>
        <v>-8.2372322899505759E-2</v>
      </c>
      <c r="Q53" s="34">
        <f t="shared" si="10"/>
        <v>6.5828845002992215E-2</v>
      </c>
      <c r="R53" s="34">
        <f t="shared" si="10"/>
        <v>3.9865244244806287E-2</v>
      </c>
      <c r="S53" s="34">
        <f>SUM(T53,-J60)/J60</f>
        <v>0.1101511879049676</v>
      </c>
      <c r="T53" s="35">
        <v>2056</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x14ac:dyDescent="0.25">
      <c r="C54" s="5" t="s">
        <v>47</v>
      </c>
      <c r="D54" s="5"/>
      <c r="E54" s="5"/>
      <c r="F54" s="199">
        <v>3</v>
      </c>
      <c r="G54" s="200">
        <v>7</v>
      </c>
      <c r="H54" s="200">
        <v>4</v>
      </c>
      <c r="I54" s="200">
        <v>4</v>
      </c>
      <c r="J54" s="200">
        <v>11</v>
      </c>
      <c r="K54" s="50"/>
      <c r="L54" s="55"/>
      <c r="M54" s="55"/>
      <c r="N54" s="55"/>
      <c r="O54" s="55"/>
      <c r="P54" s="32"/>
      <c r="Q54" s="32"/>
      <c r="R54" s="32"/>
      <c r="S54" s="32"/>
      <c r="T54" s="30"/>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x14ac:dyDescent="0.25">
      <c r="C55" s="10" t="s">
        <v>16</v>
      </c>
      <c r="D55" s="12"/>
      <c r="E55" s="12"/>
      <c r="F55" s="201">
        <f t="shared" ref="F55:G55" si="12">SUM(F53,F54)</f>
        <v>184</v>
      </c>
      <c r="G55" s="202">
        <f t="shared" si="12"/>
        <v>159</v>
      </c>
      <c r="H55" s="202">
        <f>SUM(H53,H54)</f>
        <v>147</v>
      </c>
      <c r="I55" s="202">
        <f>SUM(I53,I54)</f>
        <v>187</v>
      </c>
      <c r="J55" s="202">
        <f>SUM(J53,J54)</f>
        <v>184</v>
      </c>
      <c r="K55" s="50"/>
      <c r="L55" s="55"/>
      <c r="M55" s="55"/>
      <c r="N55" s="55"/>
      <c r="O55" s="55"/>
      <c r="P55" s="32">
        <f t="shared" ref="P55:P63" si="13">SUM(H62,-G62)/G62</f>
        <v>-0.63773584905660374</v>
      </c>
      <c r="Q55" s="32">
        <f t="shared" ref="Q55:Q63" si="14">SUM(I62,-H62)/H62</f>
        <v>0.69791666666666663</v>
      </c>
      <c r="R55" s="32">
        <f t="shared" ref="R55:R63" si="15">SUM(J62,-I62)/I62</f>
        <v>1.2760736196319018</v>
      </c>
      <c r="S55" s="32"/>
      <c r="T55" s="30"/>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x14ac:dyDescent="0.25">
      <c r="C56" s="8" t="s">
        <v>48</v>
      </c>
      <c r="D56" s="5"/>
      <c r="E56" s="5"/>
      <c r="F56" s="199"/>
      <c r="G56" s="200"/>
      <c r="H56" s="200"/>
      <c r="I56" s="200"/>
      <c r="J56" s="200"/>
      <c r="K56" s="50"/>
      <c r="L56" s="55"/>
      <c r="M56" s="55"/>
      <c r="N56" s="55"/>
      <c r="O56" s="55"/>
      <c r="P56" s="32">
        <f t="shared" si="13"/>
        <v>-3.2258064516129031E-2</v>
      </c>
      <c r="Q56" s="32">
        <f t="shared" si="14"/>
        <v>0.25</v>
      </c>
      <c r="R56" s="32">
        <f t="shared" si="15"/>
        <v>0.30666666666666664</v>
      </c>
      <c r="S56" s="32"/>
      <c r="T56" s="30"/>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x14ac:dyDescent="0.25">
      <c r="C57" s="5" t="s">
        <v>49</v>
      </c>
      <c r="D57" s="5"/>
      <c r="E57" s="5"/>
      <c r="F57" s="199">
        <v>1066</v>
      </c>
      <c r="G57" s="200">
        <v>1054</v>
      </c>
      <c r="H57" s="200">
        <v>929</v>
      </c>
      <c r="I57" s="200">
        <v>1030</v>
      </c>
      <c r="J57" s="200">
        <v>756</v>
      </c>
      <c r="K57" s="50"/>
      <c r="L57" s="55"/>
      <c r="M57" s="55"/>
      <c r="N57" s="55"/>
      <c r="O57" s="55"/>
      <c r="P57" s="32">
        <f t="shared" si="13"/>
        <v>0.22500000000000001</v>
      </c>
      <c r="Q57" s="32">
        <f t="shared" si="14"/>
        <v>-6.1224489795918366E-2</v>
      </c>
      <c r="R57" s="32">
        <f t="shared" si="15"/>
        <v>0.5</v>
      </c>
      <c r="S57" s="32"/>
      <c r="T57" s="30"/>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x14ac:dyDescent="0.25">
      <c r="C58" s="5" t="s">
        <v>50</v>
      </c>
      <c r="D58" s="5"/>
      <c r="E58" s="5"/>
      <c r="F58" s="199">
        <v>734</v>
      </c>
      <c r="G58" s="200">
        <v>1120</v>
      </c>
      <c r="H58" s="200">
        <v>897</v>
      </c>
      <c r="I58" s="200">
        <v>914</v>
      </c>
      <c r="J58" s="200">
        <v>1204</v>
      </c>
      <c r="K58" s="50"/>
      <c r="L58" s="55"/>
      <c r="M58" s="55"/>
      <c r="N58" s="55"/>
      <c r="O58" s="55"/>
      <c r="P58" s="32">
        <f t="shared" si="13"/>
        <v>1.2727272727272727</v>
      </c>
      <c r="Q58" s="32">
        <f t="shared" si="14"/>
        <v>0.4</v>
      </c>
      <c r="R58" s="32">
        <f t="shared" si="15"/>
        <v>0.11428571428571428</v>
      </c>
      <c r="S58" s="32"/>
      <c r="T58" s="30"/>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x14ac:dyDescent="0.25">
      <c r="C59" s="5" t="s">
        <v>51</v>
      </c>
      <c r="D59" s="5"/>
      <c r="E59" s="5"/>
      <c r="F59" s="199">
        <v>-315</v>
      </c>
      <c r="G59" s="200">
        <v>-353</v>
      </c>
      <c r="H59" s="200">
        <v>-155</v>
      </c>
      <c r="I59" s="200">
        <v>-163</v>
      </c>
      <c r="J59" s="200">
        <v>-108</v>
      </c>
      <c r="K59" s="50"/>
      <c r="L59" s="55"/>
      <c r="M59" s="55"/>
      <c r="N59" s="55"/>
      <c r="O59" s="55"/>
      <c r="P59" s="32">
        <f t="shared" si="13"/>
        <v>0</v>
      </c>
      <c r="Q59" s="32">
        <f t="shared" si="14"/>
        <v>0</v>
      </c>
      <c r="R59" s="32">
        <f t="shared" si="15"/>
        <v>0</v>
      </c>
      <c r="S59" s="32"/>
      <c r="T59" s="30"/>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x14ac:dyDescent="0.25">
      <c r="C60" s="10" t="s">
        <v>16</v>
      </c>
      <c r="D60" s="12"/>
      <c r="E60" s="12"/>
      <c r="F60" s="201">
        <f t="shared" ref="F60:G60" si="16">SUM(F57:F59)</f>
        <v>1485</v>
      </c>
      <c r="G60" s="202">
        <f t="shared" si="16"/>
        <v>1821</v>
      </c>
      <c r="H60" s="202">
        <f>SUM(H57:H59)</f>
        <v>1671</v>
      </c>
      <c r="I60" s="202">
        <f>SUM(I57:I59)</f>
        <v>1781</v>
      </c>
      <c r="J60" s="202">
        <f>SUM(J57:J59)</f>
        <v>1852</v>
      </c>
      <c r="K60" s="50"/>
      <c r="L60" s="55"/>
      <c r="M60" s="55"/>
      <c r="N60" s="55"/>
      <c r="O60" s="55"/>
      <c r="P60" s="32">
        <f t="shared" si="13"/>
        <v>-0.5</v>
      </c>
      <c r="Q60" s="32">
        <f t="shared" si="14"/>
        <v>0.66666666666666663</v>
      </c>
      <c r="R60" s="32">
        <f t="shared" si="15"/>
        <v>0.4</v>
      </c>
      <c r="S60" s="32"/>
      <c r="T60" s="30"/>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x14ac:dyDescent="0.25">
      <c r="C61" s="8" t="s">
        <v>52</v>
      </c>
      <c r="D61" s="5"/>
      <c r="E61" s="5"/>
      <c r="F61" s="199"/>
      <c r="G61" s="200"/>
      <c r="H61" s="200"/>
      <c r="I61" s="200"/>
      <c r="J61" s="200"/>
      <c r="K61" s="50"/>
      <c r="L61" s="55"/>
      <c r="M61" s="55"/>
      <c r="N61" s="55"/>
      <c r="O61" s="55"/>
      <c r="P61" s="32">
        <f t="shared" si="13"/>
        <v>0</v>
      </c>
      <c r="Q61" s="32">
        <f t="shared" si="14"/>
        <v>0.5714285714285714</v>
      </c>
      <c r="R61" s="32">
        <f t="shared" si="15"/>
        <v>4.5454545454545456E-2</v>
      </c>
      <c r="S61" s="32"/>
      <c r="T61" s="30"/>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x14ac:dyDescent="0.25">
      <c r="C62" s="8" t="s">
        <v>53</v>
      </c>
      <c r="D62" s="5" t="s">
        <v>54</v>
      </c>
      <c r="E62" s="5"/>
      <c r="F62" s="185">
        <v>55</v>
      </c>
      <c r="G62" s="186">
        <v>265</v>
      </c>
      <c r="H62" s="186">
        <v>96</v>
      </c>
      <c r="I62" s="186">
        <v>163</v>
      </c>
      <c r="J62" s="186">
        <v>371</v>
      </c>
      <c r="K62" s="50"/>
      <c r="L62" s="55"/>
      <c r="M62" s="55"/>
      <c r="N62" s="55"/>
      <c r="O62" s="55"/>
      <c r="P62" s="32">
        <f t="shared" si="13"/>
        <v>-0.77777777777777779</v>
      </c>
      <c r="Q62" s="32">
        <f t="shared" si="14"/>
        <v>0</v>
      </c>
      <c r="R62" s="32">
        <f t="shared" si="15"/>
        <v>0</v>
      </c>
      <c r="S62" s="32"/>
      <c r="T62" s="30"/>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x14ac:dyDescent="0.25">
      <c r="C63" s="8" t="s">
        <v>55</v>
      </c>
      <c r="D63" s="5"/>
      <c r="E63" s="5"/>
      <c r="F63" s="185">
        <v>128</v>
      </c>
      <c r="G63" s="186">
        <v>124</v>
      </c>
      <c r="H63" s="186">
        <v>120</v>
      </c>
      <c r="I63" s="186">
        <v>150</v>
      </c>
      <c r="J63" s="186">
        <v>196</v>
      </c>
      <c r="K63" s="50"/>
      <c r="L63" s="55"/>
      <c r="M63" s="55"/>
      <c r="N63" s="55"/>
      <c r="O63" s="55"/>
      <c r="P63" s="32">
        <f t="shared" si="13"/>
        <v>0</v>
      </c>
      <c r="Q63" s="32">
        <f t="shared" si="14"/>
        <v>0</v>
      </c>
      <c r="R63" s="32">
        <f t="shared" si="15"/>
        <v>0</v>
      </c>
      <c r="S63" s="32"/>
      <c r="T63" s="30"/>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x14ac:dyDescent="0.25">
      <c r="C64" s="5" t="s">
        <v>56</v>
      </c>
      <c r="D64" s="5"/>
      <c r="E64" s="5"/>
      <c r="F64" s="185">
        <v>52</v>
      </c>
      <c r="G64" s="186">
        <v>40</v>
      </c>
      <c r="H64" s="186">
        <v>49</v>
      </c>
      <c r="I64" s="186">
        <v>46</v>
      </c>
      <c r="J64" s="186">
        <v>69</v>
      </c>
      <c r="K64" s="50"/>
      <c r="L64" s="55"/>
      <c r="M64" s="55"/>
      <c r="N64" s="55"/>
      <c r="O64" s="55"/>
      <c r="P64" s="32"/>
      <c r="Q64" s="32">
        <f t="shared" ref="Q64:R67" si="17">SUM(I71,-H71)/H71</f>
        <v>0</v>
      </c>
      <c r="R64" s="32">
        <f t="shared" si="17"/>
        <v>0</v>
      </c>
      <c r="S64" s="32"/>
      <c r="T64" s="30"/>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x14ac:dyDescent="0.25">
      <c r="C65" s="5" t="s">
        <v>57</v>
      </c>
      <c r="D65" s="5"/>
      <c r="E65" s="5"/>
      <c r="F65" s="185">
        <v>7</v>
      </c>
      <c r="G65" s="186">
        <v>11</v>
      </c>
      <c r="H65" s="186">
        <v>25</v>
      </c>
      <c r="I65" s="186">
        <v>35</v>
      </c>
      <c r="J65" s="186">
        <v>39</v>
      </c>
      <c r="K65" s="50"/>
      <c r="L65" s="55"/>
      <c r="M65" s="55"/>
      <c r="N65" s="55"/>
      <c r="O65" s="55"/>
      <c r="P65" s="32">
        <f t="shared" ref="P65:P73" si="18">SUM(H72,-G72)/G72</f>
        <v>0</v>
      </c>
      <c r="Q65" s="32">
        <f t="shared" si="17"/>
        <v>0</v>
      </c>
      <c r="R65" s="32">
        <f t="shared" si="17"/>
        <v>1</v>
      </c>
      <c r="S65" s="32"/>
      <c r="T65" s="30"/>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x14ac:dyDescent="0.25">
      <c r="C66" s="5" t="s">
        <v>58</v>
      </c>
      <c r="D66" s="5"/>
      <c r="E66" s="5"/>
      <c r="F66" s="185">
        <v>1</v>
      </c>
      <c r="G66" s="186">
        <v>1</v>
      </c>
      <c r="H66" s="186">
        <v>1</v>
      </c>
      <c r="I66" s="186">
        <v>1</v>
      </c>
      <c r="J66" s="186">
        <v>1</v>
      </c>
      <c r="K66" s="50"/>
      <c r="L66" s="55"/>
      <c r="M66" s="55"/>
      <c r="N66" s="55"/>
      <c r="O66" s="55"/>
      <c r="P66" s="32" t="e">
        <f t="shared" si="18"/>
        <v>#DIV/0!</v>
      </c>
      <c r="Q66" s="32" t="e">
        <f t="shared" si="17"/>
        <v>#DIV/0!</v>
      </c>
      <c r="R66" s="32" t="e">
        <f t="shared" si="17"/>
        <v>#DIV/0!</v>
      </c>
      <c r="S66" s="32"/>
      <c r="T66" s="30"/>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x14ac:dyDescent="0.25">
      <c r="C67" s="5" t="s">
        <v>59</v>
      </c>
      <c r="D67" s="5"/>
      <c r="E67" s="5"/>
      <c r="F67" s="185">
        <v>4</v>
      </c>
      <c r="G67" s="186">
        <v>12</v>
      </c>
      <c r="H67" s="186">
        <v>6</v>
      </c>
      <c r="I67" s="186">
        <v>10</v>
      </c>
      <c r="J67" s="186">
        <v>14</v>
      </c>
      <c r="K67" s="50"/>
      <c r="L67" s="55"/>
      <c r="M67" s="55"/>
      <c r="N67" s="55"/>
      <c r="O67" s="55"/>
      <c r="P67" s="32">
        <f t="shared" si="18"/>
        <v>-1</v>
      </c>
      <c r="Q67" s="32" t="e">
        <f t="shared" si="17"/>
        <v>#DIV/0!</v>
      </c>
      <c r="R67" s="32" t="e">
        <f t="shared" si="17"/>
        <v>#DIV/0!</v>
      </c>
      <c r="S67" s="32"/>
      <c r="T67" s="30"/>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x14ac:dyDescent="0.25">
      <c r="C68" s="5" t="s">
        <v>60</v>
      </c>
      <c r="D68" s="5"/>
      <c r="E68" s="5"/>
      <c r="F68" s="185">
        <v>12</v>
      </c>
      <c r="G68" s="186">
        <v>14</v>
      </c>
      <c r="H68" s="186">
        <v>14</v>
      </c>
      <c r="I68" s="186">
        <v>22</v>
      </c>
      <c r="J68" s="186">
        <v>23</v>
      </c>
      <c r="K68" s="50"/>
      <c r="L68" s="55"/>
      <c r="M68" s="55"/>
      <c r="N68" s="55"/>
      <c r="O68" s="55"/>
      <c r="P68" s="32">
        <f t="shared" si="18"/>
        <v>-0.4</v>
      </c>
      <c r="Q68" s="32">
        <f t="shared" ref="Q68:Q73" si="19">SUM(I75,-H75)/H75</f>
        <v>-1</v>
      </c>
      <c r="R68" s="32"/>
      <c r="S68" s="32"/>
      <c r="T68" s="30"/>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x14ac:dyDescent="0.25">
      <c r="C69" s="5" t="s">
        <v>61</v>
      </c>
      <c r="D69" s="5"/>
      <c r="E69" s="5"/>
      <c r="F69" s="185">
        <v>19</v>
      </c>
      <c r="G69" s="186">
        <v>9</v>
      </c>
      <c r="H69" s="186">
        <v>2</v>
      </c>
      <c r="I69" s="186">
        <v>2</v>
      </c>
      <c r="J69" s="186">
        <v>2</v>
      </c>
      <c r="K69" s="50"/>
      <c r="L69" s="55"/>
      <c r="M69" s="55"/>
      <c r="N69" s="55"/>
      <c r="O69" s="55"/>
      <c r="P69" s="32">
        <f t="shared" si="18"/>
        <v>0</v>
      </c>
      <c r="Q69" s="32">
        <f t="shared" si="19"/>
        <v>1</v>
      </c>
      <c r="R69" s="32">
        <f>SUM(J76,-I76)/I76</f>
        <v>0</v>
      </c>
      <c r="S69" s="32"/>
      <c r="T69" s="30"/>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x14ac:dyDescent="0.25">
      <c r="C70" s="5" t="s">
        <v>62</v>
      </c>
      <c r="D70" s="5"/>
      <c r="E70" s="5"/>
      <c r="F70" s="185">
        <v>3</v>
      </c>
      <c r="G70" s="186">
        <v>3</v>
      </c>
      <c r="H70" s="186">
        <v>3</v>
      </c>
      <c r="I70" s="186">
        <v>3</v>
      </c>
      <c r="J70" s="186">
        <v>3</v>
      </c>
      <c r="K70" s="50"/>
      <c r="L70" s="55"/>
      <c r="M70" s="55"/>
      <c r="N70" s="55"/>
      <c r="O70" s="55"/>
      <c r="P70" s="32">
        <f t="shared" si="18"/>
        <v>0</v>
      </c>
      <c r="Q70" s="32">
        <f t="shared" si="19"/>
        <v>-0.33333333333333331</v>
      </c>
      <c r="R70" s="32">
        <f>SUM(J77,-I77)/I77</f>
        <v>0.5</v>
      </c>
      <c r="S70" s="32"/>
      <c r="T70" s="30"/>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x14ac:dyDescent="0.25">
      <c r="C71" s="5" t="s">
        <v>63</v>
      </c>
      <c r="D71" s="5"/>
      <c r="E71" s="5"/>
      <c r="F71" s="185">
        <v>1</v>
      </c>
      <c r="G71" s="186">
        <v>0</v>
      </c>
      <c r="H71" s="186">
        <v>1</v>
      </c>
      <c r="I71" s="186">
        <v>1</v>
      </c>
      <c r="J71" s="186">
        <v>1</v>
      </c>
      <c r="K71" s="50"/>
      <c r="L71" s="55"/>
      <c r="M71" s="55"/>
      <c r="N71" s="55"/>
      <c r="O71" s="55"/>
      <c r="P71" s="32">
        <f t="shared" si="18"/>
        <v>-1</v>
      </c>
      <c r="Q71" s="32" t="e">
        <f t="shared" si="19"/>
        <v>#DIV/0!</v>
      </c>
      <c r="R71" s="32"/>
      <c r="S71" s="32"/>
      <c r="T71" s="30"/>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x14ac:dyDescent="0.25">
      <c r="C72" s="5" t="s">
        <v>64</v>
      </c>
      <c r="D72" s="5"/>
      <c r="E72" s="5"/>
      <c r="F72" s="185">
        <v>1</v>
      </c>
      <c r="G72" s="186">
        <v>1</v>
      </c>
      <c r="H72" s="186">
        <v>1</v>
      </c>
      <c r="I72" s="186">
        <v>1</v>
      </c>
      <c r="J72" s="186">
        <v>2</v>
      </c>
      <c r="K72" s="50"/>
      <c r="L72" s="55"/>
      <c r="M72" s="55"/>
      <c r="N72" s="55"/>
      <c r="O72" s="55"/>
      <c r="P72" s="32">
        <f t="shared" si="18"/>
        <v>0.375</v>
      </c>
      <c r="Q72" s="32">
        <f t="shared" si="19"/>
        <v>1.2727272727272727</v>
      </c>
      <c r="R72" s="32">
        <f>SUM(J79,-I79)/I79</f>
        <v>0.4</v>
      </c>
      <c r="S72" s="32"/>
      <c r="T72" s="30"/>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ht="15.75" x14ac:dyDescent="0.25">
      <c r="C73" s="58" t="s">
        <v>162</v>
      </c>
      <c r="D73" s="5"/>
      <c r="E73" s="5"/>
      <c r="F73" s="185">
        <v>1</v>
      </c>
      <c r="G73" s="186">
        <v>0</v>
      </c>
      <c r="H73" s="186">
        <v>0</v>
      </c>
      <c r="I73" s="186">
        <v>0</v>
      </c>
      <c r="J73" s="186">
        <v>0</v>
      </c>
      <c r="K73" s="50"/>
      <c r="L73" s="55"/>
      <c r="M73" s="55"/>
      <c r="N73" s="55"/>
      <c r="O73" s="55"/>
      <c r="P73" s="34">
        <f t="shared" si="18"/>
        <v>-0.44473007712082263</v>
      </c>
      <c r="Q73" s="34">
        <f t="shared" si="19"/>
        <v>0.44907407407407407</v>
      </c>
      <c r="R73" s="34">
        <f>SUM(J80,-I80)/I80</f>
        <v>0.81150159744408945</v>
      </c>
      <c r="S73" s="34">
        <f>SUM(T73,-J80)/J80</f>
        <v>0.66843033509700178</v>
      </c>
      <c r="T73" s="38">
        <v>946</v>
      </c>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x14ac:dyDescent="0.25">
      <c r="C74" s="5" t="s">
        <v>65</v>
      </c>
      <c r="D74" s="5"/>
      <c r="E74" s="5"/>
      <c r="F74" s="185">
        <v>12</v>
      </c>
      <c r="G74" s="186">
        <v>13</v>
      </c>
      <c r="H74" s="186">
        <v>0</v>
      </c>
      <c r="I74" s="186">
        <v>0</v>
      </c>
      <c r="J74" s="186">
        <v>0</v>
      </c>
      <c r="K74" s="50"/>
      <c r="L74" s="55"/>
      <c r="M74" s="55"/>
      <c r="N74" s="55"/>
      <c r="O74" s="55"/>
      <c r="P74" s="32"/>
      <c r="Q74" s="32"/>
      <c r="R74" s="32"/>
      <c r="S74" s="32"/>
      <c r="T74" s="30"/>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x14ac:dyDescent="0.25">
      <c r="C75" s="5" t="s">
        <v>66</v>
      </c>
      <c r="D75" s="5"/>
      <c r="E75" s="5"/>
      <c r="F75" s="185">
        <v>5</v>
      </c>
      <c r="G75" s="186">
        <v>5</v>
      </c>
      <c r="H75" s="186">
        <v>3</v>
      </c>
      <c r="I75" s="186">
        <v>0</v>
      </c>
      <c r="J75" s="186">
        <v>2</v>
      </c>
      <c r="K75" s="50"/>
      <c r="L75" s="55"/>
      <c r="M75" s="55"/>
      <c r="N75" s="55"/>
      <c r="O75" s="55"/>
      <c r="P75" s="32">
        <f t="shared" ref="P75:R76" si="20">SUM(H82,-G82)/G82</f>
        <v>-0.96601941747572817</v>
      </c>
      <c r="Q75" s="32">
        <f t="shared" si="20"/>
        <v>1.1428571428571428</v>
      </c>
      <c r="R75" s="32">
        <f t="shared" si="20"/>
        <v>-0.4</v>
      </c>
      <c r="S75" s="32"/>
      <c r="T75" s="30"/>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x14ac:dyDescent="0.25">
      <c r="C76" s="5" t="s">
        <v>67</v>
      </c>
      <c r="D76" s="5"/>
      <c r="E76" s="5"/>
      <c r="F76" s="185">
        <v>1</v>
      </c>
      <c r="G76" s="186">
        <v>1</v>
      </c>
      <c r="H76" s="186">
        <v>1</v>
      </c>
      <c r="I76" s="186">
        <v>2</v>
      </c>
      <c r="J76" s="186">
        <v>2</v>
      </c>
      <c r="K76" s="50"/>
      <c r="L76" s="55"/>
      <c r="M76" s="55"/>
      <c r="N76" s="55"/>
      <c r="O76" s="55"/>
      <c r="P76" s="32">
        <f t="shared" si="20"/>
        <v>-0.9</v>
      </c>
      <c r="Q76" s="32">
        <f t="shared" si="20"/>
        <v>0</v>
      </c>
      <c r="R76" s="32">
        <f t="shared" si="20"/>
        <v>0</v>
      </c>
      <c r="S76" s="32"/>
      <c r="T76" s="30"/>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x14ac:dyDescent="0.25">
      <c r="C77" s="5" t="s">
        <v>68</v>
      </c>
      <c r="D77" s="5"/>
      <c r="E77" s="5"/>
      <c r="F77" s="185">
        <v>0</v>
      </c>
      <c r="G77" s="186">
        <v>3</v>
      </c>
      <c r="H77" s="186">
        <v>3</v>
      </c>
      <c r="I77" s="186">
        <v>2</v>
      </c>
      <c r="J77" s="186">
        <v>3</v>
      </c>
      <c r="K77" s="50"/>
      <c r="L77" s="55"/>
      <c r="M77" s="55"/>
      <c r="N77" s="55"/>
      <c r="O77" s="55"/>
      <c r="P77" s="32">
        <f>SUM(H84,-G84)/G84</f>
        <v>-1</v>
      </c>
      <c r="Q77" s="32"/>
      <c r="R77" s="32"/>
      <c r="S77" s="32"/>
      <c r="T77" s="30"/>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x14ac:dyDescent="0.25">
      <c r="C78" s="5" t="s">
        <v>69</v>
      </c>
      <c r="D78" s="5"/>
      <c r="E78" s="5"/>
      <c r="F78" s="185">
        <v>0</v>
      </c>
      <c r="G78" s="186">
        <v>3</v>
      </c>
      <c r="H78" s="186">
        <v>0</v>
      </c>
      <c r="I78" s="186">
        <v>0</v>
      </c>
      <c r="J78" s="186">
        <v>0</v>
      </c>
      <c r="K78" s="50"/>
      <c r="L78" s="55"/>
      <c r="M78" s="55"/>
      <c r="N78" s="55"/>
      <c r="O78" s="55"/>
      <c r="P78" s="34">
        <f>SUM(H85,-G85)/G85</f>
        <v>-0.96330275229357798</v>
      </c>
      <c r="Q78" s="34">
        <f>SUM(I85,-H85)/H85</f>
        <v>1</v>
      </c>
      <c r="R78" s="34">
        <f>SUM(J85,-I85)/I85</f>
        <v>-0.375</v>
      </c>
      <c r="S78" s="34">
        <f>SUM(T78,-J85)/J85</f>
        <v>0.3</v>
      </c>
      <c r="T78" s="38">
        <v>13</v>
      </c>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x14ac:dyDescent="0.25">
      <c r="C79" s="5" t="s">
        <v>70</v>
      </c>
      <c r="D79" s="5"/>
      <c r="E79" s="5"/>
      <c r="F79" s="185">
        <v>9</v>
      </c>
      <c r="G79" s="186">
        <v>8</v>
      </c>
      <c r="H79" s="186">
        <v>11</v>
      </c>
      <c r="I79" s="186">
        <v>25</v>
      </c>
      <c r="J79" s="186">
        <v>35</v>
      </c>
      <c r="K79" s="50"/>
      <c r="L79" s="55"/>
      <c r="M79" s="55"/>
      <c r="N79" s="55"/>
      <c r="O79" s="55"/>
      <c r="P79" s="56">
        <f t="shared" ref="P79:R81" si="21">SUM(H87,-G87)/G87</f>
        <v>0.52857142857142858</v>
      </c>
      <c r="Q79" s="56">
        <f t="shared" si="21"/>
        <v>-0.54205607476635509</v>
      </c>
      <c r="R79" s="56">
        <f t="shared" si="21"/>
        <v>0.2857142857142857</v>
      </c>
      <c r="S79" s="56">
        <f>SUM(T79,-J87)/J87</f>
        <v>-0.19047619047619047</v>
      </c>
      <c r="T79" s="59">
        <v>51</v>
      </c>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x14ac:dyDescent="0.25">
      <c r="C80" s="10" t="s">
        <v>16</v>
      </c>
      <c r="D80" s="11"/>
      <c r="E80" s="12"/>
      <c r="F80" s="201">
        <f>SUM(F62,F63)</f>
        <v>183</v>
      </c>
      <c r="G80" s="202">
        <f>SUM(G62,G63)</f>
        <v>389</v>
      </c>
      <c r="H80" s="202">
        <f>SUM(H62,H63)</f>
        <v>216</v>
      </c>
      <c r="I80" s="202">
        <f>SUM(I62,I63)</f>
        <v>313</v>
      </c>
      <c r="J80" s="202">
        <f>SUM(J62,J63)</f>
        <v>567</v>
      </c>
      <c r="K80" s="53"/>
      <c r="L80" s="55"/>
      <c r="M80" s="55"/>
      <c r="N80" s="55"/>
      <c r="O80" s="55"/>
      <c r="P80" s="56">
        <f t="shared" si="21"/>
        <v>0.71890547263681592</v>
      </c>
      <c r="Q80" s="56">
        <f t="shared" si="21"/>
        <v>-9.6960926193921854E-2</v>
      </c>
      <c r="R80" s="56">
        <f t="shared" si="21"/>
        <v>-0.30448717948717946</v>
      </c>
      <c r="S80" s="56">
        <f>SUM(T80,-J88)/J88</f>
        <v>-0.29262672811059909</v>
      </c>
      <c r="T80" s="59">
        <v>307</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x14ac:dyDescent="0.25">
      <c r="C81" s="8" t="s">
        <v>71</v>
      </c>
      <c r="D81" s="5"/>
      <c r="E81" s="5"/>
      <c r="F81" s="199"/>
      <c r="G81" s="200"/>
      <c r="H81" s="200"/>
      <c r="I81" s="200"/>
      <c r="J81" s="200"/>
      <c r="K81" s="50"/>
      <c r="L81" s="55"/>
      <c r="M81" s="55"/>
      <c r="N81" s="55"/>
      <c r="O81" s="55"/>
      <c r="P81" s="39">
        <f t="shared" si="21"/>
        <v>-7.159202353710363E-2</v>
      </c>
      <c r="Q81" s="39">
        <f t="shared" si="21"/>
        <v>4.5774647887323945E-2</v>
      </c>
      <c r="R81" s="39">
        <f t="shared" si="21"/>
        <v>4.7138047138047139E-2</v>
      </c>
      <c r="S81" s="39">
        <f>SUM(T81,-J89)/J89</f>
        <v>0.1180064308681672</v>
      </c>
      <c r="T81" s="40">
        <f>SUM(T80,T79,T78,T73,T53,T48,)</f>
        <v>3477</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x14ac:dyDescent="0.25">
      <c r="C82" s="5" t="s">
        <v>72</v>
      </c>
      <c r="D82" s="5"/>
      <c r="E82" s="5"/>
      <c r="F82" s="185">
        <v>165</v>
      </c>
      <c r="G82" s="186">
        <v>206</v>
      </c>
      <c r="H82" s="186">
        <v>7</v>
      </c>
      <c r="I82" s="186">
        <v>15</v>
      </c>
      <c r="J82" s="186">
        <v>9</v>
      </c>
      <c r="K82" s="50"/>
      <c r="L82" s="55"/>
      <c r="M82" s="55"/>
      <c r="N82" s="55"/>
      <c r="O82" s="55"/>
      <c r="P82" s="29"/>
      <c r="Q82" s="29"/>
      <c r="R82" s="29"/>
      <c r="S82" s="29"/>
      <c r="T82" s="30"/>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x14ac:dyDescent="0.25">
      <c r="C83" s="5" t="s">
        <v>73</v>
      </c>
      <c r="D83" s="5"/>
      <c r="E83" s="5"/>
      <c r="F83" s="185">
        <v>6</v>
      </c>
      <c r="G83" s="186">
        <v>10</v>
      </c>
      <c r="H83" s="186">
        <v>1</v>
      </c>
      <c r="I83" s="186">
        <v>1</v>
      </c>
      <c r="J83" s="186">
        <v>1</v>
      </c>
      <c r="K83" s="50"/>
      <c r="L83" s="55"/>
      <c r="M83" s="55"/>
      <c r="N83" s="55"/>
      <c r="O83" s="55"/>
      <c r="P83" s="56">
        <f>SUM(H91,-G91)/G91</f>
        <v>36.333333333333336</v>
      </c>
      <c r="Q83" s="56">
        <f>SUM(I91,-H91)/H91</f>
        <v>-0.5</v>
      </c>
      <c r="R83" s="56">
        <f>SUM(J91,-I91)/I91</f>
        <v>-1</v>
      </c>
      <c r="S83" s="56"/>
      <c r="T83" s="59"/>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x14ac:dyDescent="0.25">
      <c r="C84" s="5" t="s">
        <v>74</v>
      </c>
      <c r="D84" s="5"/>
      <c r="E84" s="5"/>
      <c r="F84" s="185">
        <v>0</v>
      </c>
      <c r="G84" s="186">
        <v>2</v>
      </c>
      <c r="H84" s="186">
        <v>0</v>
      </c>
      <c r="I84" s="186">
        <v>0</v>
      </c>
      <c r="J84" s="186">
        <v>0</v>
      </c>
      <c r="K84" s="50"/>
      <c r="L84" s="55"/>
      <c r="M84" s="55"/>
      <c r="N84" s="55"/>
      <c r="O84" s="55"/>
      <c r="P84" s="29"/>
      <c r="Q84" s="29"/>
      <c r="R84" s="29"/>
      <c r="S84" s="29"/>
      <c r="T84" s="30"/>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x14ac:dyDescent="0.25">
      <c r="C85" s="10" t="s">
        <v>16</v>
      </c>
      <c r="D85" s="11"/>
      <c r="E85" s="11"/>
      <c r="F85" s="201">
        <f>SUM(F82:F84)</f>
        <v>171</v>
      </c>
      <c r="G85" s="202">
        <f>SUM(G82:G84)</f>
        <v>218</v>
      </c>
      <c r="H85" s="202">
        <f>SUM(H82:H84)</f>
        <v>8</v>
      </c>
      <c r="I85" s="202">
        <f>SUM(I82:I84)</f>
        <v>16</v>
      </c>
      <c r="J85" s="202">
        <f>SUM(J82:J84)</f>
        <v>10</v>
      </c>
      <c r="K85" s="50"/>
      <c r="L85" s="55"/>
      <c r="M85" s="55"/>
      <c r="N85" s="55"/>
      <c r="O85" s="55"/>
      <c r="P85" s="41">
        <f ca="1">SUM(H93,-G93)/G93</f>
        <v>-4.216809473380187E-2</v>
      </c>
      <c r="Q85" s="41">
        <f ca="1">SUM(I93,-H93)/H93</f>
        <v>3.8596843903909939E-2</v>
      </c>
      <c r="R85" s="41">
        <f ca="1">SUM(J93,-I93)/I93</f>
        <v>3.7936707635730184E-2</v>
      </c>
      <c r="S85" s="41">
        <f ca="1">SUM(T85,-J93)/J93</f>
        <v>4.7272727272727272E-2</v>
      </c>
      <c r="T85" s="42">
        <f>SUM(T83,T81,T37)</f>
        <v>11232</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x14ac:dyDescent="0.25">
      <c r="C86" s="14" t="s">
        <v>318</v>
      </c>
      <c r="D86" s="14"/>
      <c r="E86" s="14"/>
      <c r="F86" s="203">
        <v>171</v>
      </c>
      <c r="G86" s="204">
        <v>218</v>
      </c>
      <c r="H86" s="204">
        <v>8</v>
      </c>
      <c r="I86" s="204">
        <v>16</v>
      </c>
      <c r="J86" s="204">
        <v>10</v>
      </c>
      <c r="K86" s="53"/>
      <c r="L86" s="55"/>
      <c r="M86" s="55"/>
      <c r="N86" s="55"/>
      <c r="O86" s="55"/>
      <c r="P86" s="32"/>
      <c r="Q86" s="32"/>
      <c r="R86" s="32"/>
      <c r="S86" s="32"/>
      <c r="T86" s="30"/>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x14ac:dyDescent="0.25">
      <c r="C87" s="8" t="s">
        <v>75</v>
      </c>
      <c r="D87" s="5" t="s">
        <v>76</v>
      </c>
      <c r="E87" s="5"/>
      <c r="F87" s="211">
        <v>71</v>
      </c>
      <c r="G87" s="212">
        <v>70</v>
      </c>
      <c r="H87" s="212">
        <v>107</v>
      </c>
      <c r="I87" s="212">
        <v>49</v>
      </c>
      <c r="J87" s="212">
        <v>63</v>
      </c>
      <c r="K87" s="50"/>
      <c r="L87" s="55"/>
      <c r="M87" s="55"/>
      <c r="N87" s="55"/>
      <c r="O87" s="55"/>
      <c r="P87" s="32">
        <f t="shared" ref="P87:R89" si="22">SUM(H97,-G97)/G97</f>
        <v>0</v>
      </c>
      <c r="Q87" s="32">
        <f t="shared" si="22"/>
        <v>0</v>
      </c>
      <c r="R87" s="32">
        <f t="shared" si="22"/>
        <v>0</v>
      </c>
      <c r="S87" s="32">
        <f>SUM(T87,-J97)/J97</f>
        <v>0</v>
      </c>
      <c r="T87" s="30">
        <v>1629</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x14ac:dyDescent="0.25">
      <c r="C88" s="8" t="s">
        <v>77</v>
      </c>
      <c r="D88" s="5" t="s">
        <v>78</v>
      </c>
      <c r="E88" s="5"/>
      <c r="F88" s="211">
        <v>636</v>
      </c>
      <c r="G88" s="212">
        <v>402</v>
      </c>
      <c r="H88" s="212">
        <v>691</v>
      </c>
      <c r="I88" s="212">
        <v>624</v>
      </c>
      <c r="J88" s="212">
        <v>434</v>
      </c>
      <c r="K88" s="50"/>
      <c r="L88" s="55"/>
      <c r="M88" s="55"/>
      <c r="N88" s="55"/>
      <c r="O88" s="55"/>
      <c r="P88" s="32">
        <f t="shared" si="22"/>
        <v>0</v>
      </c>
      <c r="Q88" s="32">
        <f t="shared" si="22"/>
        <v>0</v>
      </c>
      <c r="R88" s="32">
        <f t="shared" si="22"/>
        <v>0</v>
      </c>
      <c r="S88" s="32">
        <f>SUM(T88,-J98)/J98</f>
        <v>0</v>
      </c>
      <c r="T88" s="30">
        <v>-54</v>
      </c>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x14ac:dyDescent="0.25">
      <c r="C89" s="15" t="s">
        <v>79</v>
      </c>
      <c r="D89" s="16"/>
      <c r="E89" s="16"/>
      <c r="F89" s="213">
        <f>SUM(F88,F87,F85,F80,F60,F55,)</f>
        <v>2730</v>
      </c>
      <c r="G89" s="214">
        <f>SUM(G88,G87,G85,G80,G60,G55,)</f>
        <v>3059</v>
      </c>
      <c r="H89" s="214">
        <f>SUM(H88,H87,H85,H80,H60,H55,)</f>
        <v>2840</v>
      </c>
      <c r="I89" s="214">
        <f>SUM(I88,I87,I85,I80,I60,I55,)</f>
        <v>2970</v>
      </c>
      <c r="J89" s="214">
        <f>SUM(J88,J87,J85,J80,J60,J55,)</f>
        <v>3110</v>
      </c>
      <c r="K89" s="50"/>
      <c r="L89" s="55"/>
      <c r="M89" s="55"/>
      <c r="N89" s="55"/>
      <c r="O89" s="55"/>
      <c r="P89" s="32">
        <f t="shared" si="22"/>
        <v>9.9020674646354737E-2</v>
      </c>
      <c r="Q89" s="32">
        <f t="shared" si="22"/>
        <v>0.20396039603960395</v>
      </c>
      <c r="R89" s="32">
        <f t="shared" si="22"/>
        <v>8.9638157894736836E-2</v>
      </c>
      <c r="S89" s="32">
        <f>SUM(T89,-J99)/J99</f>
        <v>0.26867924528301884</v>
      </c>
      <c r="T89" s="30">
        <v>1681</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x14ac:dyDescent="0.25">
      <c r="C90" s="17"/>
      <c r="D90" s="17"/>
      <c r="E90" s="5"/>
      <c r="F90" s="215"/>
      <c r="G90" s="200"/>
      <c r="H90" s="200"/>
      <c r="I90" s="200"/>
      <c r="J90" s="200"/>
      <c r="K90" s="50"/>
      <c r="L90" s="55"/>
      <c r="M90" s="55"/>
      <c r="N90" s="55"/>
      <c r="O90" s="55"/>
      <c r="P90" s="36"/>
      <c r="Q90" s="36"/>
      <c r="R90" s="36"/>
      <c r="S90" s="36"/>
      <c r="T90" s="37"/>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x14ac:dyDescent="0.25">
      <c r="C91" s="8" t="s">
        <v>80</v>
      </c>
      <c r="D91" s="5" t="s">
        <v>81</v>
      </c>
      <c r="E91" s="5"/>
      <c r="F91" s="211">
        <v>205</v>
      </c>
      <c r="G91" s="212">
        <v>6</v>
      </c>
      <c r="H91" s="212">
        <v>224</v>
      </c>
      <c r="I91" s="212">
        <v>112</v>
      </c>
      <c r="J91" s="212">
        <v>0</v>
      </c>
      <c r="K91" s="50"/>
      <c r="L91" s="55"/>
      <c r="M91" s="55"/>
      <c r="N91" s="55"/>
      <c r="O91" s="55"/>
      <c r="P91" s="36">
        <f>SUM(H101,G101)/G101</f>
        <v>14.5</v>
      </c>
      <c r="Q91" s="36">
        <f t="shared" ref="Q91:Q100" si="23">SUM(I101,-H101)/H101</f>
        <v>-0.66666666666666663</v>
      </c>
      <c r="R91" s="36">
        <f t="shared" ref="R91:R100" si="24">SUM(J101,-I101)/I101</f>
        <v>3.5555555555555554</v>
      </c>
      <c r="S91" s="36"/>
      <c r="T91" s="37"/>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x14ac:dyDescent="0.25">
      <c r="C92" s="17"/>
      <c r="D92" s="17"/>
      <c r="E92" s="5"/>
      <c r="F92" s="199"/>
      <c r="G92" s="200"/>
      <c r="H92" s="200"/>
      <c r="I92" s="200"/>
      <c r="J92" s="200"/>
      <c r="K92" s="50"/>
      <c r="L92" s="55"/>
      <c r="M92" s="55"/>
      <c r="N92" s="55"/>
      <c r="O92" s="55"/>
      <c r="P92" s="36"/>
      <c r="Q92" s="36">
        <f t="shared" si="23"/>
        <v>-0.7142857142857143</v>
      </c>
      <c r="R92" s="36">
        <f t="shared" si="24"/>
        <v>4.5</v>
      </c>
      <c r="S92" s="36"/>
      <c r="T92" s="37"/>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x14ac:dyDescent="0.25">
      <c r="C93" s="18" t="s">
        <v>82</v>
      </c>
      <c r="D93" s="19" t="s">
        <v>83</v>
      </c>
      <c r="E93" s="20"/>
      <c r="F93" s="216">
        <f ca="1">SUM(F91,F89,F44)</f>
        <v>9801</v>
      </c>
      <c r="G93" s="217">
        <f ca="1">SUM(G91,G89,G44)</f>
        <v>10387</v>
      </c>
      <c r="H93" s="217">
        <f ca="1">SUM(H91,H89,H44)</f>
        <v>9949</v>
      </c>
      <c r="I93" s="217">
        <f ca="1">SUM(I91,I89,I44)</f>
        <v>10333</v>
      </c>
      <c r="J93" s="217">
        <f ca="1">SUM(J91,J89,J44)</f>
        <v>10725</v>
      </c>
      <c r="K93" s="50"/>
      <c r="L93" s="55"/>
      <c r="M93" s="55"/>
      <c r="N93" s="55"/>
      <c r="O93" s="55"/>
      <c r="P93" s="32">
        <f t="shared" ref="P93:P100" si="25">SUM(H103,-G103)/G103</f>
        <v>9</v>
      </c>
      <c r="Q93" s="32">
        <f t="shared" si="23"/>
        <v>-0.65</v>
      </c>
      <c r="R93" s="32">
        <f t="shared" si="24"/>
        <v>3.2857142857142856</v>
      </c>
      <c r="S93" s="32"/>
      <c r="T93" s="30"/>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x14ac:dyDescent="0.25">
      <c r="C94" s="8"/>
      <c r="D94" s="21"/>
      <c r="E94" s="5"/>
      <c r="F94" s="199"/>
      <c r="G94" s="200"/>
      <c r="H94" s="200"/>
      <c r="I94" s="200"/>
      <c r="J94" s="200"/>
      <c r="K94" s="50"/>
      <c r="L94" s="55"/>
      <c r="M94" s="55"/>
      <c r="N94" s="55"/>
      <c r="O94" s="55"/>
      <c r="P94" s="32">
        <f t="shared" si="25"/>
        <v>-0.2087912087912088</v>
      </c>
      <c r="Q94" s="32">
        <f t="shared" si="23"/>
        <v>-2.7777777777777776E-2</v>
      </c>
      <c r="R94" s="32">
        <f t="shared" si="24"/>
        <v>0.1</v>
      </c>
      <c r="S94" s="32"/>
      <c r="T94" s="30"/>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ht="21" x14ac:dyDescent="0.35">
      <c r="C95" s="123" t="s">
        <v>84</v>
      </c>
      <c r="D95" s="22"/>
      <c r="E95" s="22"/>
      <c r="F95" s="218"/>
      <c r="G95" s="200"/>
      <c r="H95" s="200"/>
      <c r="I95" s="200"/>
      <c r="J95" s="200"/>
      <c r="K95" s="50"/>
      <c r="L95" s="55"/>
      <c r="M95" s="55"/>
      <c r="N95" s="55"/>
      <c r="O95" s="55"/>
      <c r="P95" s="32">
        <f t="shared" si="25"/>
        <v>-0.26923076923076922</v>
      </c>
      <c r="Q95" s="32">
        <f t="shared" si="23"/>
        <v>-5.2631578947368418E-2</v>
      </c>
      <c r="R95" s="32">
        <f t="shared" si="24"/>
        <v>0.1111111111111111</v>
      </c>
      <c r="S95" s="32"/>
      <c r="T95" s="30"/>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ht="18.75" x14ac:dyDescent="0.3">
      <c r="C96" s="6" t="s">
        <v>85</v>
      </c>
      <c r="D96" s="5" t="s">
        <v>86</v>
      </c>
      <c r="E96" s="5"/>
      <c r="F96" s="199"/>
      <c r="G96" s="200"/>
      <c r="H96" s="200"/>
      <c r="I96" s="200"/>
      <c r="J96" s="200"/>
      <c r="K96" s="50"/>
      <c r="L96" s="55"/>
      <c r="M96" s="55"/>
      <c r="N96" s="55"/>
      <c r="O96" s="55"/>
      <c r="P96" s="32">
        <f t="shared" si="25"/>
        <v>-0.18461538461538463</v>
      </c>
      <c r="Q96" s="32">
        <f t="shared" si="23"/>
        <v>-1.8867924528301886E-2</v>
      </c>
      <c r="R96" s="32">
        <f t="shared" si="24"/>
        <v>9.6153846153846159E-2</v>
      </c>
      <c r="S96" s="32"/>
      <c r="T96" s="30"/>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x14ac:dyDescent="0.25">
      <c r="C97" s="5" t="s">
        <v>87</v>
      </c>
      <c r="D97" s="5" t="s">
        <v>88</v>
      </c>
      <c r="E97" s="5"/>
      <c r="F97" s="199">
        <v>1629</v>
      </c>
      <c r="G97" s="200">
        <v>1629</v>
      </c>
      <c r="H97" s="200">
        <v>1629</v>
      </c>
      <c r="I97" s="200">
        <v>1629</v>
      </c>
      <c r="J97" s="200">
        <v>1629</v>
      </c>
      <c r="K97" s="50"/>
      <c r="L97" s="55"/>
      <c r="M97" s="55"/>
      <c r="N97" s="55"/>
      <c r="O97" s="55"/>
      <c r="P97" s="32">
        <f t="shared" si="25"/>
        <v>0.26293103448275862</v>
      </c>
      <c r="Q97" s="32">
        <f t="shared" si="23"/>
        <v>0.17406143344709898</v>
      </c>
      <c r="R97" s="32">
        <f t="shared" si="24"/>
        <v>0.1308139534883721</v>
      </c>
      <c r="S97" s="32">
        <f>SUM(T97,-J107)/J107</f>
        <v>-0.71208226221079696</v>
      </c>
      <c r="T97" s="30">
        <v>112</v>
      </c>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x14ac:dyDescent="0.25">
      <c r="C98" s="5" t="s">
        <v>161</v>
      </c>
      <c r="D98" s="5" t="s">
        <v>89</v>
      </c>
      <c r="E98" s="5"/>
      <c r="F98" s="199">
        <v>-61</v>
      </c>
      <c r="G98" s="200">
        <v>-54</v>
      </c>
      <c r="H98" s="200">
        <v>-54</v>
      </c>
      <c r="I98" s="200">
        <v>-54</v>
      </c>
      <c r="J98" s="200">
        <v>-54</v>
      </c>
      <c r="K98" s="50"/>
      <c r="L98" s="55"/>
      <c r="M98" s="55"/>
      <c r="N98" s="55"/>
      <c r="O98" s="55"/>
      <c r="P98" s="39">
        <f t="shared" si="25"/>
        <v>5.5759354365370509E-2</v>
      </c>
      <c r="Q98" s="39">
        <f t="shared" si="23"/>
        <v>8.9298123697011816E-2</v>
      </c>
      <c r="R98" s="39">
        <f t="shared" si="24"/>
        <v>4.912280701754386E-2</v>
      </c>
      <c r="S98" s="39">
        <f>SUM(T98,-J108)/J108</f>
        <v>2.4019458802067496E-2</v>
      </c>
      <c r="T98" s="40">
        <f t="shared" ref="T98" si="26">SUM(T87,T88,T89,T97,)</f>
        <v>3368</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x14ac:dyDescent="0.25">
      <c r="C99" s="5" t="s">
        <v>160</v>
      </c>
      <c r="D99" s="5" t="s">
        <v>90</v>
      </c>
      <c r="E99" s="5"/>
      <c r="F99" s="199">
        <v>1005</v>
      </c>
      <c r="G99" s="200">
        <v>919</v>
      </c>
      <c r="H99" s="200">
        <v>1010</v>
      </c>
      <c r="I99" s="200">
        <v>1216</v>
      </c>
      <c r="J99" s="200">
        <v>1325</v>
      </c>
      <c r="K99" s="50"/>
      <c r="L99" s="55"/>
      <c r="M99" s="55"/>
      <c r="N99" s="55"/>
      <c r="O99" s="55"/>
      <c r="P99" s="32">
        <f t="shared" si="25"/>
        <v>-0.75587703435804698</v>
      </c>
      <c r="Q99" s="32">
        <f t="shared" si="23"/>
        <v>1.874074074074074</v>
      </c>
      <c r="R99" s="32">
        <f t="shared" si="24"/>
        <v>-6.7010309278350513E-2</v>
      </c>
      <c r="S99" s="32">
        <f>SUM(T99,-J109)/J109</f>
        <v>4.4198895027624308E-2</v>
      </c>
      <c r="T99" s="30">
        <v>378</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x14ac:dyDescent="0.25">
      <c r="C100" s="14" t="s">
        <v>17</v>
      </c>
      <c r="D100" s="14"/>
      <c r="E100" s="14"/>
      <c r="F100" s="203"/>
      <c r="G100" s="204"/>
      <c r="H100" s="204"/>
      <c r="I100" s="204"/>
      <c r="J100" s="204"/>
      <c r="K100" s="50"/>
      <c r="L100" s="55"/>
      <c r="M100" s="55"/>
      <c r="N100" s="55"/>
      <c r="O100" s="55"/>
      <c r="P100" s="43">
        <f t="shared" si="25"/>
        <v>-8.1122293382128702E-2</v>
      </c>
      <c r="Q100" s="43">
        <f t="shared" si="23"/>
        <v>0.16926651178227681</v>
      </c>
      <c r="R100" s="43">
        <f t="shared" si="24"/>
        <v>3.6332671019017881E-2</v>
      </c>
      <c r="S100" s="43">
        <f>SUM(T100,-J110)/J110</f>
        <v>2.6020268419611064E-2</v>
      </c>
      <c r="T100" s="44">
        <f t="shared" ref="T100" si="27">SUM(T99,T98)</f>
        <v>3746</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ht="30" x14ac:dyDescent="0.25">
      <c r="C101" s="23" t="s">
        <v>91</v>
      </c>
      <c r="D101" s="14"/>
      <c r="E101" s="14"/>
      <c r="F101" s="203">
        <v>-33</v>
      </c>
      <c r="G101" s="204">
        <v>-2</v>
      </c>
      <c r="H101" s="204">
        <v>-27</v>
      </c>
      <c r="I101" s="204">
        <v>-9</v>
      </c>
      <c r="J101" s="204">
        <v>-41</v>
      </c>
      <c r="K101" s="50"/>
      <c r="L101" s="55"/>
      <c r="M101" s="55"/>
      <c r="N101" s="55"/>
      <c r="O101" s="55"/>
      <c r="P101" s="32"/>
      <c r="Q101" s="32"/>
      <c r="R101" s="32"/>
      <c r="S101" s="32"/>
      <c r="T101" s="30"/>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x14ac:dyDescent="0.25">
      <c r="C102" s="14" t="s">
        <v>92</v>
      </c>
      <c r="D102" s="14"/>
      <c r="E102" s="14"/>
      <c r="F102" s="203">
        <v>8</v>
      </c>
      <c r="G102" s="204">
        <v>0</v>
      </c>
      <c r="H102" s="204">
        <v>7</v>
      </c>
      <c r="I102" s="204">
        <v>2</v>
      </c>
      <c r="J102" s="204">
        <v>11</v>
      </c>
      <c r="K102" s="50"/>
      <c r="L102" s="55"/>
      <c r="M102" s="55"/>
      <c r="N102" s="55"/>
      <c r="O102" s="55"/>
      <c r="P102" s="32"/>
      <c r="Q102" s="32"/>
      <c r="R102" s="32"/>
      <c r="S102" s="32"/>
      <c r="T102" s="30"/>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x14ac:dyDescent="0.25">
      <c r="C103" s="14" t="s">
        <v>93</v>
      </c>
      <c r="D103" s="5"/>
      <c r="E103" s="5"/>
      <c r="F103" s="199">
        <v>-25</v>
      </c>
      <c r="G103" s="200">
        <f>SUM(G101:G102)</f>
        <v>-2</v>
      </c>
      <c r="H103" s="200">
        <f>SUM(H101:H102)</f>
        <v>-20</v>
      </c>
      <c r="I103" s="200">
        <f>SUM(I101:I102)</f>
        <v>-7</v>
      </c>
      <c r="J103" s="200">
        <f>SUM(J101:J102)</f>
        <v>-30</v>
      </c>
      <c r="K103" s="50"/>
      <c r="L103" s="55"/>
      <c r="M103" s="55"/>
      <c r="N103" s="55"/>
      <c r="O103" s="55"/>
      <c r="P103" s="32"/>
      <c r="Q103" s="32"/>
      <c r="R103" s="32"/>
      <c r="S103" s="32"/>
      <c r="T103" s="30"/>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x14ac:dyDescent="0.25">
      <c r="C104" s="14" t="s">
        <v>94</v>
      </c>
      <c r="D104" s="5"/>
      <c r="E104" s="5"/>
      <c r="F104" s="199">
        <v>-64</v>
      </c>
      <c r="G104" s="200">
        <v>-91</v>
      </c>
      <c r="H104" s="200">
        <v>-72</v>
      </c>
      <c r="I104" s="200">
        <v>-70</v>
      </c>
      <c r="J104" s="200">
        <v>-77</v>
      </c>
      <c r="K104" s="50"/>
      <c r="L104" s="55"/>
      <c r="M104" s="55"/>
      <c r="N104" s="55"/>
      <c r="O104" s="55"/>
      <c r="P104" s="32"/>
      <c r="Q104" s="32"/>
      <c r="R104" s="32"/>
      <c r="S104" s="32"/>
      <c r="T104" s="30"/>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x14ac:dyDescent="0.25">
      <c r="C105" s="14" t="s">
        <v>92</v>
      </c>
      <c r="D105" s="5"/>
      <c r="E105" s="5"/>
      <c r="F105" s="199">
        <v>16</v>
      </c>
      <c r="G105" s="200">
        <v>26</v>
      </c>
      <c r="H105" s="200">
        <v>19</v>
      </c>
      <c r="I105" s="200">
        <v>18</v>
      </c>
      <c r="J105" s="200">
        <v>20</v>
      </c>
      <c r="K105" s="50"/>
      <c r="L105" s="55"/>
      <c r="M105" s="55"/>
      <c r="N105" s="55"/>
      <c r="O105" s="55"/>
      <c r="P105" s="32">
        <f t="shared" ref="P105:R109" si="28">SUM(H115,-G115)/G115</f>
        <v>6.8548387096774188E-2</v>
      </c>
      <c r="Q105" s="32">
        <f t="shared" si="28"/>
        <v>-0.17735849056603772</v>
      </c>
      <c r="R105" s="32">
        <f t="shared" si="28"/>
        <v>0.16972477064220184</v>
      </c>
      <c r="S105" s="32"/>
      <c r="T105" s="30"/>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x14ac:dyDescent="0.25">
      <c r="C106" s="14" t="s">
        <v>95</v>
      </c>
      <c r="D106" s="5"/>
      <c r="E106" s="5"/>
      <c r="F106" s="199">
        <v>-48</v>
      </c>
      <c r="G106" s="200">
        <f>SUM(G104:G105)</f>
        <v>-65</v>
      </c>
      <c r="H106" s="200">
        <f>SUM(H104:H105)</f>
        <v>-53</v>
      </c>
      <c r="I106" s="200">
        <f>SUM(I104:I105)</f>
        <v>-52</v>
      </c>
      <c r="J106" s="200">
        <f>SUM(J104:J105)</f>
        <v>-57</v>
      </c>
      <c r="K106" s="50"/>
      <c r="L106" s="55"/>
      <c r="M106" s="55"/>
      <c r="N106" s="55"/>
      <c r="O106" s="55"/>
      <c r="P106" s="32">
        <f t="shared" si="28"/>
        <v>-0.14693446088794926</v>
      </c>
      <c r="Q106" s="32">
        <f t="shared" si="28"/>
        <v>-6.4436183395291197E-2</v>
      </c>
      <c r="R106" s="32">
        <f t="shared" si="28"/>
        <v>-0.15496688741721854</v>
      </c>
      <c r="S106" s="32"/>
      <c r="T106" s="30"/>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x14ac:dyDescent="0.25">
      <c r="C107" s="5" t="s">
        <v>96</v>
      </c>
      <c r="D107" s="5" t="s">
        <v>97</v>
      </c>
      <c r="E107" s="5"/>
      <c r="F107" s="199">
        <v>73</v>
      </c>
      <c r="G107" s="200">
        <v>232</v>
      </c>
      <c r="H107" s="200">
        <v>293</v>
      </c>
      <c r="I107" s="200">
        <v>344</v>
      </c>
      <c r="J107" s="200">
        <v>389</v>
      </c>
      <c r="K107" s="50"/>
      <c r="L107" s="55"/>
      <c r="M107" s="55"/>
      <c r="N107" s="55"/>
      <c r="O107" s="55"/>
      <c r="P107" s="32">
        <f t="shared" si="28"/>
        <v>7</v>
      </c>
      <c r="Q107" s="32">
        <f t="shared" si="28"/>
        <v>0.15</v>
      </c>
      <c r="R107" s="32">
        <f t="shared" si="28"/>
        <v>1.5434782608695652</v>
      </c>
      <c r="S107" s="32"/>
      <c r="T107" s="30"/>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x14ac:dyDescent="0.25">
      <c r="C108" s="15" t="s">
        <v>98</v>
      </c>
      <c r="D108" s="16" t="s">
        <v>99</v>
      </c>
      <c r="E108" s="16"/>
      <c r="F108" s="213">
        <f t="shared" ref="F108:G108" si="29">SUM(F97,F98,F99,F107,)</f>
        <v>2646</v>
      </c>
      <c r="G108" s="214">
        <f t="shared" si="29"/>
        <v>2726</v>
      </c>
      <c r="H108" s="214">
        <f>SUM(H97,H98,H99,H107,)</f>
        <v>2878</v>
      </c>
      <c r="I108" s="214">
        <f>SUM(I97,I98,I99,I107,)</f>
        <v>3135</v>
      </c>
      <c r="J108" s="214">
        <f>SUM(J97,J98,J99,J107,)</f>
        <v>3289</v>
      </c>
      <c r="K108" s="50"/>
      <c r="L108" s="55"/>
      <c r="M108" s="55"/>
      <c r="N108" s="55"/>
      <c r="O108" s="55"/>
      <c r="P108" s="32">
        <f t="shared" si="28"/>
        <v>-0.2</v>
      </c>
      <c r="Q108" s="32">
        <f t="shared" si="28"/>
        <v>-0.25</v>
      </c>
      <c r="R108" s="32">
        <f t="shared" si="28"/>
        <v>-0.33333333333333331</v>
      </c>
      <c r="S108" s="32"/>
      <c r="T108" s="30"/>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x14ac:dyDescent="0.25">
      <c r="C109" s="8" t="s">
        <v>100</v>
      </c>
      <c r="D109" s="5" t="s">
        <v>101</v>
      </c>
      <c r="E109" s="5"/>
      <c r="F109" s="199">
        <v>613</v>
      </c>
      <c r="G109" s="200">
        <v>553</v>
      </c>
      <c r="H109" s="200">
        <v>135</v>
      </c>
      <c r="I109" s="200">
        <v>388</v>
      </c>
      <c r="J109" s="200">
        <v>362</v>
      </c>
      <c r="K109" s="50"/>
      <c r="L109" s="55"/>
      <c r="M109" s="55"/>
      <c r="N109" s="55"/>
      <c r="O109" s="55"/>
      <c r="P109" s="34">
        <f t="shared" si="28"/>
        <v>1.8917345750873109E-2</v>
      </c>
      <c r="Q109" s="34">
        <f t="shared" si="28"/>
        <v>-0.14767209368751785</v>
      </c>
      <c r="R109" s="34">
        <f t="shared" si="28"/>
        <v>0.10824396782841823</v>
      </c>
      <c r="S109" s="34">
        <f>SUM(T109,-J119)/J119</f>
        <v>-7.7109162382824309E-2</v>
      </c>
      <c r="T109" s="38">
        <v>3052</v>
      </c>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x14ac:dyDescent="0.25">
      <c r="C110" s="24" t="s">
        <v>102</v>
      </c>
      <c r="D110" s="25"/>
      <c r="E110" s="24"/>
      <c r="F110" s="219">
        <f t="shared" ref="F110:G110" si="30">SUM(F109,F108)</f>
        <v>3259</v>
      </c>
      <c r="G110" s="220">
        <f t="shared" si="30"/>
        <v>3279</v>
      </c>
      <c r="H110" s="220">
        <f>SUM(H109,H108)</f>
        <v>3013</v>
      </c>
      <c r="I110" s="220">
        <f>SUM(I109,I108)</f>
        <v>3523</v>
      </c>
      <c r="J110" s="220">
        <f>SUM(J109,J108)</f>
        <v>3651</v>
      </c>
      <c r="K110" s="50"/>
      <c r="L110" s="55"/>
      <c r="M110" s="55"/>
      <c r="N110" s="55"/>
      <c r="O110" s="55"/>
      <c r="P110" s="32"/>
      <c r="Q110" s="32"/>
      <c r="R110" s="32"/>
      <c r="S110" s="32"/>
      <c r="T110" s="30"/>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x14ac:dyDescent="0.25">
      <c r="C111" s="5"/>
      <c r="D111" s="5"/>
      <c r="E111" s="5"/>
      <c r="F111" s="199"/>
      <c r="G111" s="200"/>
      <c r="H111" s="200"/>
      <c r="I111" s="200"/>
      <c r="J111" s="200"/>
      <c r="K111" s="50"/>
      <c r="L111" s="55"/>
      <c r="M111" s="55"/>
      <c r="N111" s="55"/>
      <c r="O111" s="55"/>
      <c r="P111" s="32">
        <f t="shared" ref="P111:R113" si="31">SUM(H121,-G121)/G121</f>
        <v>-4.5454545454545456E-2</v>
      </c>
      <c r="Q111" s="32">
        <f t="shared" si="31"/>
        <v>-1.7857142857142856E-2</v>
      </c>
      <c r="R111" s="32">
        <f t="shared" si="31"/>
        <v>-3.6363636363636362E-2</v>
      </c>
      <c r="S111" s="32"/>
      <c r="T111" s="30"/>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ht="18.75" x14ac:dyDescent="0.3">
      <c r="C112" s="6" t="s">
        <v>103</v>
      </c>
      <c r="D112" s="5"/>
      <c r="E112" s="5"/>
      <c r="F112" s="199"/>
      <c r="G112" s="200"/>
      <c r="H112" s="200"/>
      <c r="I112" s="200"/>
      <c r="J112" s="200"/>
      <c r="K112" s="50"/>
      <c r="L112" s="55"/>
      <c r="M112" s="55"/>
      <c r="N112" s="55"/>
      <c r="O112" s="55"/>
      <c r="P112" s="32">
        <f t="shared" si="31"/>
        <v>-0.20105820105820105</v>
      </c>
      <c r="Q112" s="32">
        <f t="shared" si="31"/>
        <v>-1.3245033112582781E-2</v>
      </c>
      <c r="R112" s="32">
        <f t="shared" si="31"/>
        <v>-6.7114093959731542E-3</v>
      </c>
      <c r="S112" s="32"/>
      <c r="T112" s="30"/>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ht="15.75" x14ac:dyDescent="0.25">
      <c r="C113" s="113" t="s">
        <v>104</v>
      </c>
      <c r="D113" s="5"/>
      <c r="E113" s="5"/>
      <c r="F113" s="199"/>
      <c r="G113" s="200"/>
      <c r="H113" s="200"/>
      <c r="I113" s="200"/>
      <c r="J113" s="200"/>
      <c r="K113" s="50"/>
      <c r="L113" s="55"/>
      <c r="M113" s="55"/>
      <c r="N113" s="55"/>
      <c r="O113" s="55"/>
      <c r="P113" s="34">
        <f t="shared" si="31"/>
        <v>-0.12602739726027398</v>
      </c>
      <c r="Q113" s="34">
        <f t="shared" si="31"/>
        <v>-1.5673981191222569E-2</v>
      </c>
      <c r="R113" s="34">
        <f t="shared" si="31"/>
        <v>-2.2292993630573247E-2</v>
      </c>
      <c r="S113" s="34">
        <f>SUM(T113,-J123)/J123</f>
        <v>-2.2801302931596091E-2</v>
      </c>
      <c r="T113" s="35">
        <v>300</v>
      </c>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x14ac:dyDescent="0.25">
      <c r="C114" s="8" t="s">
        <v>105</v>
      </c>
      <c r="D114" s="5"/>
      <c r="E114" s="5"/>
      <c r="F114" s="199"/>
      <c r="G114" s="200"/>
      <c r="H114" s="200"/>
      <c r="I114" s="200"/>
      <c r="J114" s="200"/>
      <c r="K114" s="50"/>
      <c r="L114" s="55"/>
      <c r="M114" s="55"/>
      <c r="N114" s="55"/>
      <c r="O114" s="55"/>
      <c r="P114" s="32"/>
      <c r="Q114" s="32"/>
      <c r="R114" s="32"/>
      <c r="S114" s="32"/>
      <c r="T114" s="30"/>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x14ac:dyDescent="0.25">
      <c r="C115" s="5" t="s">
        <v>106</v>
      </c>
      <c r="D115" s="5"/>
      <c r="E115" s="5"/>
      <c r="F115" s="199">
        <v>2431</v>
      </c>
      <c r="G115" s="200">
        <v>2480</v>
      </c>
      <c r="H115" s="200">
        <v>2650</v>
      </c>
      <c r="I115" s="200">
        <v>2180</v>
      </c>
      <c r="J115" s="200">
        <v>2550</v>
      </c>
      <c r="K115" s="50"/>
      <c r="L115" s="55"/>
      <c r="M115" s="55"/>
      <c r="N115" s="55"/>
      <c r="O115" s="55"/>
      <c r="P115" s="32">
        <f t="shared" ref="P115:R120" si="32">SUM(H125,-G125)/G125</f>
        <v>7.6190476190476197E-2</v>
      </c>
      <c r="Q115" s="32">
        <f t="shared" si="32"/>
        <v>5.3097345132743362E-2</v>
      </c>
      <c r="R115" s="32">
        <f t="shared" si="32"/>
        <v>0.1092436974789916</v>
      </c>
      <c r="S115" s="32"/>
      <c r="T115" s="30"/>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x14ac:dyDescent="0.25">
      <c r="C116" s="5" t="s">
        <v>107</v>
      </c>
      <c r="D116" s="5"/>
      <c r="E116" s="5"/>
      <c r="F116" s="199">
        <v>657</v>
      </c>
      <c r="G116" s="200">
        <v>946</v>
      </c>
      <c r="H116" s="200">
        <v>807</v>
      </c>
      <c r="I116" s="200">
        <v>755</v>
      </c>
      <c r="J116" s="200">
        <v>638</v>
      </c>
      <c r="K116" s="50"/>
      <c r="L116" s="55"/>
      <c r="M116" s="55"/>
      <c r="N116" s="55"/>
      <c r="O116" s="55"/>
      <c r="P116" s="32">
        <f t="shared" si="32"/>
        <v>0</v>
      </c>
      <c r="Q116" s="32">
        <f t="shared" si="32"/>
        <v>4.2553191489361701E-2</v>
      </c>
      <c r="R116" s="32">
        <f t="shared" si="32"/>
        <v>0</v>
      </c>
      <c r="S116" s="32"/>
      <c r="T116" s="30"/>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x14ac:dyDescent="0.25">
      <c r="C117" s="5" t="s">
        <v>108</v>
      </c>
      <c r="D117" s="5"/>
      <c r="E117" s="5"/>
      <c r="F117" s="199">
        <v>1</v>
      </c>
      <c r="G117" s="200">
        <v>5</v>
      </c>
      <c r="H117" s="200">
        <v>40</v>
      </c>
      <c r="I117" s="200">
        <v>46</v>
      </c>
      <c r="J117" s="200">
        <v>117</v>
      </c>
      <c r="K117" s="50"/>
      <c r="L117" s="55"/>
      <c r="M117" s="55"/>
      <c r="N117" s="55"/>
      <c r="O117" s="55"/>
      <c r="P117" s="32">
        <f t="shared" si="32"/>
        <v>4.1666666666666664E-2</v>
      </c>
      <c r="Q117" s="32">
        <f t="shared" si="32"/>
        <v>-0.32</v>
      </c>
      <c r="R117" s="32">
        <f t="shared" si="32"/>
        <v>5.8823529411764705E-2</v>
      </c>
      <c r="S117" s="32"/>
      <c r="T117" s="30"/>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x14ac:dyDescent="0.25">
      <c r="C118" s="5" t="s">
        <v>109</v>
      </c>
      <c r="D118" s="5"/>
      <c r="E118" s="5"/>
      <c r="F118" s="181">
        <v>0</v>
      </c>
      <c r="G118" s="200">
        <v>5</v>
      </c>
      <c r="H118" s="200">
        <v>4</v>
      </c>
      <c r="I118" s="200">
        <v>3</v>
      </c>
      <c r="J118" s="200">
        <v>2</v>
      </c>
      <c r="K118" s="50"/>
      <c r="L118" s="55"/>
      <c r="M118" s="55"/>
      <c r="N118" s="55"/>
      <c r="O118" s="55"/>
      <c r="P118" s="32">
        <f t="shared" si="32"/>
        <v>-0.45045045045045046</v>
      </c>
      <c r="Q118" s="32">
        <f t="shared" si="32"/>
        <v>-8.1967213114754092E-2</v>
      </c>
      <c r="R118" s="32">
        <f t="shared" si="32"/>
        <v>-0.25</v>
      </c>
      <c r="S118" s="32"/>
      <c r="T118" s="30"/>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x14ac:dyDescent="0.25">
      <c r="C119" s="10" t="s">
        <v>110</v>
      </c>
      <c r="D119" s="12"/>
      <c r="E119" s="12"/>
      <c r="F119" s="201">
        <f t="shared" ref="F119:G119" si="33">SUM(F115:F118)</f>
        <v>3089</v>
      </c>
      <c r="G119" s="202">
        <f t="shared" si="33"/>
        <v>3436</v>
      </c>
      <c r="H119" s="202">
        <f>SUM(H115:H118)</f>
        <v>3501</v>
      </c>
      <c r="I119" s="202">
        <f>SUM(I115:I118)</f>
        <v>2984</v>
      </c>
      <c r="J119" s="202">
        <f>SUM(J115:J118)</f>
        <v>3307</v>
      </c>
      <c r="K119" s="50"/>
      <c r="L119" s="55"/>
      <c r="M119" s="55"/>
      <c r="N119" s="55"/>
      <c r="O119" s="55"/>
      <c r="P119" s="32">
        <f t="shared" si="32"/>
        <v>-0.12280701754385964</v>
      </c>
      <c r="Q119" s="32">
        <f t="shared" si="32"/>
        <v>0.18</v>
      </c>
      <c r="R119" s="32">
        <f t="shared" si="32"/>
        <v>0.16949152542372881</v>
      </c>
      <c r="S119" s="32"/>
      <c r="T119" s="30"/>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x14ac:dyDescent="0.25">
      <c r="C120" s="8" t="s">
        <v>111</v>
      </c>
      <c r="D120" s="5"/>
      <c r="E120" s="5"/>
      <c r="F120" s="199"/>
      <c r="G120" s="200"/>
      <c r="H120" s="200"/>
      <c r="I120" s="200"/>
      <c r="J120" s="200"/>
      <c r="K120" s="50"/>
      <c r="L120" s="55"/>
      <c r="M120" s="55"/>
      <c r="N120" s="55"/>
      <c r="O120" s="55"/>
      <c r="P120" s="34">
        <f t="shared" si="32"/>
        <v>-6.8554396423248884E-2</v>
      </c>
      <c r="Q120" s="34">
        <f t="shared" si="32"/>
        <v>2.7199999999999998E-2</v>
      </c>
      <c r="R120" s="34">
        <f t="shared" si="32"/>
        <v>5.2959501557632398E-2</v>
      </c>
      <c r="S120" s="34">
        <f>SUM(T120,-J130)/J130</f>
        <v>-1.1834319526627219E-2</v>
      </c>
      <c r="T120" s="35">
        <v>668</v>
      </c>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x14ac:dyDescent="0.25">
      <c r="C121" s="5" t="s">
        <v>112</v>
      </c>
      <c r="D121" s="5"/>
      <c r="E121" s="5"/>
      <c r="F121" s="199">
        <v>164</v>
      </c>
      <c r="G121" s="200">
        <v>176</v>
      </c>
      <c r="H121" s="200">
        <v>168</v>
      </c>
      <c r="I121" s="200">
        <v>165</v>
      </c>
      <c r="J121" s="200">
        <v>159</v>
      </c>
      <c r="K121" s="50"/>
      <c r="L121" s="55"/>
      <c r="M121" s="55"/>
      <c r="N121" s="55"/>
      <c r="O121" s="55"/>
      <c r="P121" s="32"/>
      <c r="Q121" s="32"/>
      <c r="R121" s="32"/>
      <c r="S121" s="32"/>
      <c r="T121" s="30"/>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x14ac:dyDescent="0.25">
      <c r="C122" s="5" t="s">
        <v>113</v>
      </c>
      <c r="D122" s="5"/>
      <c r="E122" s="5"/>
      <c r="F122" s="199">
        <v>168</v>
      </c>
      <c r="G122" s="200">
        <v>189</v>
      </c>
      <c r="H122" s="200">
        <v>151</v>
      </c>
      <c r="I122" s="200">
        <v>149</v>
      </c>
      <c r="J122" s="200">
        <v>148</v>
      </c>
      <c r="K122" s="50"/>
      <c r="L122" s="55"/>
      <c r="M122" s="55"/>
      <c r="N122" s="55"/>
      <c r="O122" s="55"/>
      <c r="P122" s="32">
        <f t="shared" ref="P122:R125" si="34">SUM(H132,-G132)/G132</f>
        <v>0.3888888888888889</v>
      </c>
      <c r="Q122" s="32">
        <f t="shared" si="34"/>
        <v>7.1999999999999995E-2</v>
      </c>
      <c r="R122" s="32">
        <f t="shared" si="34"/>
        <v>4.4776119402985072E-2</v>
      </c>
      <c r="S122" s="32"/>
      <c r="T122" s="30"/>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x14ac:dyDescent="0.25">
      <c r="C123" s="10" t="s">
        <v>110</v>
      </c>
      <c r="D123" s="12"/>
      <c r="E123" s="12"/>
      <c r="F123" s="201">
        <f t="shared" ref="F123:G123" si="35">SUM(F121:F122)</f>
        <v>332</v>
      </c>
      <c r="G123" s="202">
        <f t="shared" si="35"/>
        <v>365</v>
      </c>
      <c r="H123" s="202">
        <f>SUM(H121:H122)</f>
        <v>319</v>
      </c>
      <c r="I123" s="202">
        <f>SUM(I121:I122)</f>
        <v>314</v>
      </c>
      <c r="J123" s="202">
        <f>SUM(J121:J122)</f>
        <v>307</v>
      </c>
      <c r="K123" s="50"/>
      <c r="L123" s="55"/>
      <c r="M123" s="55"/>
      <c r="N123" s="55"/>
      <c r="O123" s="55"/>
      <c r="P123" s="32">
        <f t="shared" si="34"/>
        <v>0.21052631578947367</v>
      </c>
      <c r="Q123" s="32">
        <f t="shared" si="34"/>
        <v>-0.39130434782608697</v>
      </c>
      <c r="R123" s="32">
        <f t="shared" si="34"/>
        <v>-0.35714285714285715</v>
      </c>
      <c r="S123" s="32"/>
      <c r="T123" s="30"/>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x14ac:dyDescent="0.25">
      <c r="C124" s="8" t="s">
        <v>114</v>
      </c>
      <c r="D124" s="5"/>
      <c r="E124" s="5"/>
      <c r="F124" s="199"/>
      <c r="G124" s="200"/>
      <c r="H124" s="200"/>
      <c r="I124" s="200"/>
      <c r="J124" s="200"/>
      <c r="K124" s="50"/>
      <c r="L124" s="55"/>
      <c r="M124" s="55"/>
      <c r="N124" s="55"/>
      <c r="O124" s="55"/>
      <c r="P124" s="34">
        <f t="shared" si="34"/>
        <v>0.3577981651376147</v>
      </c>
      <c r="Q124" s="34">
        <f t="shared" si="34"/>
        <v>0</v>
      </c>
      <c r="R124" s="34">
        <f t="shared" si="34"/>
        <v>6.7567567567567571E-3</v>
      </c>
      <c r="S124" s="34">
        <f>SUM(T124,-J134)/J134</f>
        <v>3.3557046979865772E-2</v>
      </c>
      <c r="T124" s="38">
        <v>154</v>
      </c>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x14ac:dyDescent="0.25">
      <c r="C125" s="5" t="s">
        <v>115</v>
      </c>
      <c r="D125" s="5"/>
      <c r="E125" s="5"/>
      <c r="F125" s="199">
        <v>170</v>
      </c>
      <c r="G125" s="200">
        <v>210</v>
      </c>
      <c r="H125" s="200">
        <v>226</v>
      </c>
      <c r="I125" s="200">
        <v>238</v>
      </c>
      <c r="J125" s="200">
        <v>264</v>
      </c>
      <c r="K125" s="50"/>
      <c r="L125" s="55"/>
      <c r="M125" s="55"/>
      <c r="N125" s="55"/>
      <c r="O125" s="55"/>
      <c r="P125" s="39">
        <f t="shared" si="34"/>
        <v>2.6195153896529143E-3</v>
      </c>
      <c r="Q125" s="39">
        <f t="shared" si="34"/>
        <v>-0.10994992379708252</v>
      </c>
      <c r="R125" s="39">
        <f t="shared" si="34"/>
        <v>8.5861056751467713E-2</v>
      </c>
      <c r="S125" s="39">
        <f>SUM(T125,-J135)/J135</f>
        <v>-5.9698130209506643E-2</v>
      </c>
      <c r="T125" s="40">
        <f t="shared" ref="T125" si="36">SUM(T124,T120,T113,T109)</f>
        <v>4174</v>
      </c>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x14ac:dyDescent="0.25">
      <c r="C126" s="5" t="s">
        <v>116</v>
      </c>
      <c r="D126" s="5"/>
      <c r="E126" s="5"/>
      <c r="F126" s="199">
        <v>145</v>
      </c>
      <c r="G126" s="200">
        <v>188</v>
      </c>
      <c r="H126" s="200">
        <v>188</v>
      </c>
      <c r="I126" s="200">
        <v>196</v>
      </c>
      <c r="J126" s="200">
        <v>196</v>
      </c>
      <c r="K126" s="50"/>
      <c r="L126" s="55"/>
      <c r="M126" s="55"/>
      <c r="N126" s="55"/>
      <c r="O126" s="55"/>
      <c r="P126" s="32"/>
      <c r="Q126" s="32"/>
      <c r="R126" s="32"/>
      <c r="S126" s="32"/>
      <c r="T126" s="30"/>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x14ac:dyDescent="0.25">
      <c r="C127" s="5" t="s">
        <v>117</v>
      </c>
      <c r="D127" s="5"/>
      <c r="E127" s="5"/>
      <c r="F127" s="199">
        <v>59</v>
      </c>
      <c r="G127" s="200">
        <v>48</v>
      </c>
      <c r="H127" s="200">
        <v>50</v>
      </c>
      <c r="I127" s="200">
        <v>34</v>
      </c>
      <c r="J127" s="200">
        <v>36</v>
      </c>
      <c r="K127" s="50"/>
      <c r="L127" s="55"/>
      <c r="M127" s="55"/>
      <c r="N127" s="55"/>
      <c r="O127" s="55"/>
      <c r="P127" s="32"/>
      <c r="Q127" s="32"/>
      <c r="R127" s="32"/>
      <c r="S127" s="32"/>
      <c r="T127" s="30"/>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x14ac:dyDescent="0.25">
      <c r="C128" s="5" t="s">
        <v>118</v>
      </c>
      <c r="D128" s="5"/>
      <c r="E128" s="5"/>
      <c r="F128" s="199">
        <v>131</v>
      </c>
      <c r="G128" s="200">
        <v>111</v>
      </c>
      <c r="H128" s="200">
        <v>61</v>
      </c>
      <c r="I128" s="200">
        <v>56</v>
      </c>
      <c r="J128" s="200">
        <v>42</v>
      </c>
      <c r="K128" s="50"/>
      <c r="L128" s="55"/>
      <c r="M128" s="55"/>
      <c r="N128" s="55"/>
      <c r="O128" s="55"/>
      <c r="P128" s="32"/>
      <c r="Q128" s="32"/>
      <c r="R128" s="32"/>
      <c r="S128" s="32"/>
      <c r="T128" s="30"/>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x14ac:dyDescent="0.25">
      <c r="C129" s="5" t="s">
        <v>119</v>
      </c>
      <c r="D129" s="5"/>
      <c r="E129" s="5"/>
      <c r="F129" s="199">
        <v>71</v>
      </c>
      <c r="G129" s="200">
        <v>114</v>
      </c>
      <c r="H129" s="200">
        <v>100</v>
      </c>
      <c r="I129" s="200">
        <v>118</v>
      </c>
      <c r="J129" s="200">
        <v>138</v>
      </c>
      <c r="K129" s="50"/>
      <c r="L129" s="55"/>
      <c r="M129" s="55"/>
      <c r="N129" s="55"/>
      <c r="O129" s="55"/>
      <c r="P129" s="32">
        <f t="shared" ref="P129:R131" si="37">SUM(H139,-G139)/G139</f>
        <v>-0.33333333333333331</v>
      </c>
      <c r="Q129" s="32">
        <f t="shared" si="37"/>
        <v>0.5</v>
      </c>
      <c r="R129" s="32">
        <f t="shared" si="37"/>
        <v>0</v>
      </c>
      <c r="S129" s="32"/>
      <c r="T129" s="30"/>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x14ac:dyDescent="0.25">
      <c r="C130" s="10" t="s">
        <v>110</v>
      </c>
      <c r="D130" s="12"/>
      <c r="E130" s="12"/>
      <c r="F130" s="201">
        <f t="shared" ref="F130:G130" si="38">SUM(F125:F129)</f>
        <v>576</v>
      </c>
      <c r="G130" s="202">
        <f t="shared" si="38"/>
        <v>671</v>
      </c>
      <c r="H130" s="202">
        <f>SUM(H125:H129)</f>
        <v>625</v>
      </c>
      <c r="I130" s="202">
        <f>SUM(I125:I129)</f>
        <v>642</v>
      </c>
      <c r="J130" s="202">
        <f>SUM(J125:J129)</f>
        <v>676</v>
      </c>
      <c r="K130" s="50"/>
      <c r="L130" s="55"/>
      <c r="M130" s="55"/>
      <c r="N130" s="55"/>
      <c r="O130" s="55"/>
      <c r="P130" s="32">
        <f t="shared" si="37"/>
        <v>-1.448225923244026E-3</v>
      </c>
      <c r="Q130" s="32">
        <f t="shared" si="37"/>
        <v>2.2480058013052938E-2</v>
      </c>
      <c r="R130" s="32">
        <f t="shared" si="37"/>
        <v>4.8226950354609929E-2</v>
      </c>
      <c r="S130" s="32"/>
      <c r="T130" s="30"/>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x14ac:dyDescent="0.25">
      <c r="C131" s="8" t="s">
        <v>120</v>
      </c>
      <c r="D131" s="5"/>
      <c r="E131" s="5"/>
      <c r="F131" s="199"/>
      <c r="G131" s="200"/>
      <c r="H131" s="200"/>
      <c r="I131" s="200"/>
      <c r="J131" s="200"/>
      <c r="K131" s="50"/>
      <c r="L131" s="55"/>
      <c r="M131" s="55"/>
      <c r="N131" s="55"/>
      <c r="O131" s="55"/>
      <c r="P131" s="34">
        <f t="shared" si="37"/>
        <v>-2.167630057803468E-3</v>
      </c>
      <c r="Q131" s="34">
        <f t="shared" si="37"/>
        <v>2.3171614771904415E-2</v>
      </c>
      <c r="R131" s="34">
        <f t="shared" si="37"/>
        <v>4.8124557678697805E-2</v>
      </c>
      <c r="S131" s="34">
        <f>SUM(T131,-J141)/J141</f>
        <v>-0.10668467251856853</v>
      </c>
      <c r="T131" s="35">
        <v>1323</v>
      </c>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x14ac:dyDescent="0.25">
      <c r="C132" s="5" t="s">
        <v>121</v>
      </c>
      <c r="D132" s="5"/>
      <c r="E132" s="5"/>
      <c r="F132" s="199">
        <v>72</v>
      </c>
      <c r="G132" s="200">
        <v>90</v>
      </c>
      <c r="H132" s="200">
        <v>125</v>
      </c>
      <c r="I132" s="200">
        <v>134</v>
      </c>
      <c r="J132" s="200">
        <v>140</v>
      </c>
      <c r="K132" s="50"/>
      <c r="L132" s="55"/>
      <c r="M132" s="55"/>
      <c r="N132" s="55"/>
      <c r="O132" s="55"/>
      <c r="P132" s="32"/>
      <c r="Q132" s="32"/>
      <c r="R132" s="32"/>
      <c r="S132" s="32"/>
      <c r="T132" s="30"/>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x14ac:dyDescent="0.25">
      <c r="C133" s="5" t="s">
        <v>36</v>
      </c>
      <c r="D133" s="5"/>
      <c r="E133" s="5"/>
      <c r="F133" s="199">
        <v>27</v>
      </c>
      <c r="G133" s="200">
        <v>19</v>
      </c>
      <c r="H133" s="200">
        <v>23</v>
      </c>
      <c r="I133" s="200">
        <v>14</v>
      </c>
      <c r="J133" s="200">
        <v>9</v>
      </c>
      <c r="K133" s="50"/>
      <c r="L133" s="55"/>
      <c r="M133" s="55"/>
      <c r="N133" s="55"/>
      <c r="O133" s="55"/>
      <c r="P133" s="32">
        <f t="shared" ref="P133:P146" si="39">SUM(H143,-G143)/G143</f>
        <v>-2.564102564102564E-2</v>
      </c>
      <c r="Q133" s="32">
        <f t="shared" ref="Q133:Q146" si="40">SUM(I143,-H143)/H143</f>
        <v>0.13157894736842105</v>
      </c>
      <c r="R133" s="32">
        <f t="shared" ref="R133:R146" si="41">SUM(J143,-I143)/I143</f>
        <v>0</v>
      </c>
      <c r="S133" s="32"/>
      <c r="T133" s="30"/>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x14ac:dyDescent="0.25">
      <c r="C134" s="10" t="s">
        <v>110</v>
      </c>
      <c r="D134" s="12"/>
      <c r="E134" s="12"/>
      <c r="F134" s="201">
        <f t="shared" ref="F134:G134" si="42">SUM(F132:F133)</f>
        <v>99</v>
      </c>
      <c r="G134" s="202">
        <f t="shared" si="42"/>
        <v>109</v>
      </c>
      <c r="H134" s="202">
        <f>SUM(H132:H133)</f>
        <v>148</v>
      </c>
      <c r="I134" s="202">
        <f>SUM(I132:I133)</f>
        <v>148</v>
      </c>
      <c r="J134" s="202">
        <f>SUM(J132:J133)</f>
        <v>149</v>
      </c>
      <c r="K134" s="50"/>
      <c r="L134" s="55"/>
      <c r="M134" s="55"/>
      <c r="N134" s="55"/>
      <c r="O134" s="55"/>
      <c r="P134" s="32">
        <f t="shared" si="39"/>
        <v>-0.66007905138339917</v>
      </c>
      <c r="Q134" s="32">
        <f t="shared" si="40"/>
        <v>0.81395348837209303</v>
      </c>
      <c r="R134" s="32">
        <f t="shared" si="41"/>
        <v>1.4358974358974359</v>
      </c>
      <c r="S134" s="32"/>
      <c r="T134" s="30"/>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x14ac:dyDescent="0.25">
      <c r="C135" s="15" t="s">
        <v>122</v>
      </c>
      <c r="D135" s="16"/>
      <c r="E135" s="16"/>
      <c r="F135" s="213">
        <f t="shared" ref="F135:G135" si="43">SUM(F134,F130,F123,F119)</f>
        <v>4096</v>
      </c>
      <c r="G135" s="214">
        <f t="shared" si="43"/>
        <v>4581</v>
      </c>
      <c r="H135" s="214">
        <f>SUM(H134,H130,H123,H119)</f>
        <v>4593</v>
      </c>
      <c r="I135" s="214">
        <f>SUM(I134,I130,I123,I119)</f>
        <v>4088</v>
      </c>
      <c r="J135" s="214">
        <f>SUM(J134,J130,J123,J119)</f>
        <v>4439</v>
      </c>
      <c r="K135" s="50"/>
      <c r="L135" s="55"/>
      <c r="M135" s="55"/>
      <c r="N135" s="55"/>
      <c r="O135" s="55"/>
      <c r="P135" s="32">
        <f t="shared" si="39"/>
        <v>-0.12168141592920353</v>
      </c>
      <c r="Q135" s="32">
        <f t="shared" si="40"/>
        <v>-3.7783375314861464E-2</v>
      </c>
      <c r="R135" s="32">
        <f t="shared" si="41"/>
        <v>0.10209424083769633</v>
      </c>
      <c r="S135" s="32"/>
      <c r="T135" s="30"/>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x14ac:dyDescent="0.25">
      <c r="C136" s="8"/>
      <c r="D136" s="5"/>
      <c r="E136" s="5"/>
      <c r="F136" s="199"/>
      <c r="G136" s="200"/>
      <c r="H136" s="200"/>
      <c r="I136" s="200"/>
      <c r="J136" s="200"/>
      <c r="K136" s="50"/>
      <c r="L136" s="55"/>
      <c r="M136" s="55"/>
      <c r="N136" s="55"/>
      <c r="O136" s="55"/>
      <c r="P136" s="32">
        <f t="shared" si="39"/>
        <v>-0.14814814814814814</v>
      </c>
      <c r="Q136" s="32">
        <f t="shared" si="40"/>
        <v>0.11594202898550725</v>
      </c>
      <c r="R136" s="32">
        <f t="shared" si="41"/>
        <v>0.1038961038961039</v>
      </c>
      <c r="S136" s="32"/>
      <c r="T136" s="30"/>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ht="15.75" x14ac:dyDescent="0.25">
      <c r="C137" s="113" t="s">
        <v>123</v>
      </c>
      <c r="D137" s="5"/>
      <c r="E137" s="5"/>
      <c r="F137" s="199"/>
      <c r="G137" s="200"/>
      <c r="H137" s="200"/>
      <c r="I137" s="200"/>
      <c r="J137" s="200"/>
      <c r="K137" s="50"/>
      <c r="L137" s="55"/>
      <c r="M137" s="55"/>
      <c r="N137" s="55"/>
      <c r="O137" s="55"/>
      <c r="P137" s="32">
        <f t="shared" si="39"/>
        <v>0.18055555555555555</v>
      </c>
      <c r="Q137" s="32">
        <f t="shared" si="40"/>
        <v>-5.8823529411764705E-2</v>
      </c>
      <c r="R137" s="32">
        <f t="shared" si="41"/>
        <v>0.3125</v>
      </c>
      <c r="S137" s="32"/>
      <c r="T137" s="30"/>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x14ac:dyDescent="0.25">
      <c r="C138" s="8" t="s">
        <v>124</v>
      </c>
      <c r="D138" s="5"/>
      <c r="E138" s="5"/>
      <c r="F138" s="199"/>
      <c r="G138" s="200"/>
      <c r="H138" s="200"/>
      <c r="I138" s="200"/>
      <c r="J138" s="200"/>
      <c r="K138" s="50"/>
      <c r="L138" s="55"/>
      <c r="M138" s="55"/>
      <c r="N138" s="55"/>
      <c r="O138" s="55"/>
      <c r="P138" s="32">
        <f t="shared" si="39"/>
        <v>0.37931034482758619</v>
      </c>
      <c r="Q138" s="32">
        <f t="shared" si="40"/>
        <v>-0.47499999999999998</v>
      </c>
      <c r="R138" s="32">
        <f t="shared" si="41"/>
        <v>0.5714285714285714</v>
      </c>
      <c r="S138" s="32"/>
      <c r="T138" s="30"/>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x14ac:dyDescent="0.25">
      <c r="C139" s="5" t="s">
        <v>125</v>
      </c>
      <c r="D139" s="5"/>
      <c r="E139" s="5"/>
      <c r="F139" s="199">
        <v>5</v>
      </c>
      <c r="G139" s="200">
        <v>3</v>
      </c>
      <c r="H139" s="200">
        <v>2</v>
      </c>
      <c r="I139" s="200">
        <v>3</v>
      </c>
      <c r="J139" s="200">
        <v>3</v>
      </c>
      <c r="K139" s="50"/>
      <c r="L139" s="55"/>
      <c r="M139" s="55"/>
      <c r="N139" s="55"/>
      <c r="O139" s="55"/>
      <c r="P139" s="32">
        <f t="shared" si="39"/>
        <v>0</v>
      </c>
      <c r="Q139" s="32">
        <f t="shared" si="40"/>
        <v>0</v>
      </c>
      <c r="R139" s="32">
        <f t="shared" si="41"/>
        <v>0</v>
      </c>
      <c r="S139" s="32"/>
      <c r="T139" s="30"/>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x14ac:dyDescent="0.25">
      <c r="C140" s="5" t="s">
        <v>126</v>
      </c>
      <c r="D140" s="5"/>
      <c r="E140" s="5"/>
      <c r="F140" s="199">
        <v>1165</v>
      </c>
      <c r="G140" s="200">
        <v>1381</v>
      </c>
      <c r="H140" s="200">
        <v>1379</v>
      </c>
      <c r="I140" s="200">
        <v>1410</v>
      </c>
      <c r="J140" s="200">
        <v>1478</v>
      </c>
      <c r="K140" s="50"/>
      <c r="L140" s="55"/>
      <c r="M140" s="55"/>
      <c r="N140" s="55"/>
      <c r="O140" s="55"/>
      <c r="P140" s="32">
        <f t="shared" si="39"/>
        <v>-0.2608695652173913</v>
      </c>
      <c r="Q140" s="32">
        <f t="shared" si="40"/>
        <v>-0.11764705882352941</v>
      </c>
      <c r="R140" s="32">
        <f t="shared" si="41"/>
        <v>-2.6666666666666668E-2</v>
      </c>
      <c r="S140" s="32"/>
      <c r="T140" s="30"/>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x14ac:dyDescent="0.25">
      <c r="C141" s="10" t="s">
        <v>110</v>
      </c>
      <c r="D141" s="12"/>
      <c r="E141" s="12"/>
      <c r="F141" s="201">
        <f t="shared" ref="F141:G141" si="44">SUM(F139:F140)</f>
        <v>1170</v>
      </c>
      <c r="G141" s="202">
        <f t="shared" si="44"/>
        <v>1384</v>
      </c>
      <c r="H141" s="202">
        <f>SUM(H139:H140)</f>
        <v>1381</v>
      </c>
      <c r="I141" s="202">
        <f>SUM(I139:I140)</f>
        <v>1413</v>
      </c>
      <c r="J141" s="202">
        <f>SUM(J139:J140)</f>
        <v>1481</v>
      </c>
      <c r="K141" s="53"/>
      <c r="L141" s="55"/>
      <c r="M141" s="55"/>
      <c r="N141" s="55"/>
      <c r="O141" s="55"/>
      <c r="P141" s="32">
        <f t="shared" si="39"/>
        <v>-1</v>
      </c>
      <c r="Q141" s="32" t="e">
        <f t="shared" si="40"/>
        <v>#DIV/0!</v>
      </c>
      <c r="R141" s="32" t="e">
        <f t="shared" si="41"/>
        <v>#DIV/0!</v>
      </c>
      <c r="S141" s="32"/>
      <c r="T141" s="30"/>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x14ac:dyDescent="0.25">
      <c r="C142" s="8" t="s">
        <v>127</v>
      </c>
      <c r="D142" s="5"/>
      <c r="E142" s="5"/>
      <c r="F142" s="199"/>
      <c r="G142" s="200"/>
      <c r="H142" s="200"/>
      <c r="I142" s="200"/>
      <c r="J142" s="200"/>
      <c r="K142" s="50"/>
      <c r="L142" s="55"/>
      <c r="M142" s="55"/>
      <c r="N142" s="55"/>
      <c r="O142" s="55"/>
      <c r="P142" s="32">
        <f t="shared" si="39"/>
        <v>-1</v>
      </c>
      <c r="Q142" s="32" t="e">
        <f t="shared" si="40"/>
        <v>#DIV/0!</v>
      </c>
      <c r="R142" s="32" t="e">
        <f t="shared" si="41"/>
        <v>#DIV/0!</v>
      </c>
      <c r="S142" s="32"/>
      <c r="T142" s="30"/>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x14ac:dyDescent="0.25">
      <c r="C143" s="5" t="s">
        <v>128</v>
      </c>
      <c r="D143" s="5"/>
      <c r="E143" s="5"/>
      <c r="F143" s="185">
        <v>37</v>
      </c>
      <c r="G143" s="186">
        <v>39</v>
      </c>
      <c r="H143" s="186">
        <v>38</v>
      </c>
      <c r="I143" s="186">
        <v>43</v>
      </c>
      <c r="J143" s="186">
        <v>43</v>
      </c>
      <c r="K143" s="50"/>
      <c r="L143" s="55"/>
      <c r="M143" s="55"/>
      <c r="N143" s="55"/>
      <c r="O143" s="55"/>
      <c r="P143" s="32">
        <f t="shared" si="39"/>
        <v>0.16666666666666666</v>
      </c>
      <c r="Q143" s="32">
        <f t="shared" si="40"/>
        <v>0</v>
      </c>
      <c r="R143" s="32">
        <f t="shared" si="41"/>
        <v>-0.5714285714285714</v>
      </c>
      <c r="S143" s="32"/>
      <c r="T143" s="30"/>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x14ac:dyDescent="0.25">
      <c r="C144" s="5" t="s">
        <v>53</v>
      </c>
      <c r="D144" s="21"/>
      <c r="E144" s="5"/>
      <c r="F144" s="185">
        <v>51</v>
      </c>
      <c r="G144" s="186">
        <v>253</v>
      </c>
      <c r="H144" s="186">
        <v>86</v>
      </c>
      <c r="I144" s="186">
        <v>156</v>
      </c>
      <c r="J144" s="186">
        <v>380</v>
      </c>
      <c r="K144" s="50"/>
      <c r="L144" s="55"/>
      <c r="M144" s="55"/>
      <c r="N144" s="55"/>
      <c r="O144" s="55"/>
      <c r="P144" s="32">
        <f t="shared" si="39"/>
        <v>-8.3333333333333329E-2</v>
      </c>
      <c r="Q144" s="32">
        <f t="shared" si="40"/>
        <v>0.27272727272727271</v>
      </c>
      <c r="R144" s="32">
        <f t="shared" si="41"/>
        <v>0.21428571428571427</v>
      </c>
      <c r="S144" s="32"/>
      <c r="T144" s="30"/>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x14ac:dyDescent="0.25">
      <c r="C145" s="5" t="s">
        <v>129</v>
      </c>
      <c r="D145" s="5"/>
      <c r="E145" s="5"/>
      <c r="F145" s="185">
        <v>433</v>
      </c>
      <c r="G145" s="186">
        <v>452</v>
      </c>
      <c r="H145" s="186">
        <v>397</v>
      </c>
      <c r="I145" s="186">
        <v>382</v>
      </c>
      <c r="J145" s="186">
        <v>421</v>
      </c>
      <c r="K145" s="50"/>
      <c r="L145" s="55"/>
      <c r="M145" s="55"/>
      <c r="N145" s="55"/>
      <c r="O145" s="55"/>
      <c r="P145" s="32">
        <f t="shared" si="39"/>
        <v>0</v>
      </c>
      <c r="Q145" s="32">
        <f t="shared" si="40"/>
        <v>0</v>
      </c>
      <c r="R145" s="32">
        <f t="shared" si="41"/>
        <v>-0.33333333333333331</v>
      </c>
      <c r="S145" s="32"/>
      <c r="T145" s="30"/>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x14ac:dyDescent="0.25">
      <c r="C146" s="5" t="s">
        <v>130</v>
      </c>
      <c r="D146" s="5"/>
      <c r="E146" s="5"/>
      <c r="F146" s="185">
        <v>72</v>
      </c>
      <c r="G146" s="186">
        <v>81</v>
      </c>
      <c r="H146" s="186">
        <v>69</v>
      </c>
      <c r="I146" s="186">
        <v>77</v>
      </c>
      <c r="J146" s="186">
        <v>85</v>
      </c>
      <c r="K146" s="50"/>
      <c r="L146" s="55"/>
      <c r="M146" s="55"/>
      <c r="N146" s="55"/>
      <c r="O146" s="55"/>
      <c r="P146" s="32">
        <f t="shared" si="39"/>
        <v>-1</v>
      </c>
      <c r="Q146" s="32" t="e">
        <f t="shared" si="40"/>
        <v>#DIV/0!</v>
      </c>
      <c r="R146" s="32" t="e">
        <f t="shared" si="41"/>
        <v>#DIV/0!</v>
      </c>
      <c r="S146" s="32"/>
      <c r="T146" s="30"/>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x14ac:dyDescent="0.25">
      <c r="C147" s="5" t="s">
        <v>131</v>
      </c>
      <c r="D147" s="5"/>
      <c r="E147" s="5"/>
      <c r="F147" s="185">
        <v>100</v>
      </c>
      <c r="G147" s="186">
        <v>72</v>
      </c>
      <c r="H147" s="186">
        <v>85</v>
      </c>
      <c r="I147" s="186">
        <v>80</v>
      </c>
      <c r="J147" s="186">
        <v>105</v>
      </c>
      <c r="K147" s="50"/>
      <c r="L147" s="55"/>
      <c r="M147" s="55"/>
      <c r="N147" s="55"/>
      <c r="O147" s="55"/>
      <c r="P147" s="32" t="e">
        <f>SUM(H157,-G157)/G157</f>
        <v>#DIV/0!</v>
      </c>
      <c r="Q147" s="32"/>
      <c r="R147" s="32">
        <f t="shared" ref="R147:R156" si="45">SUM(J157,-I157)/I157</f>
        <v>0</v>
      </c>
      <c r="S147" s="32"/>
      <c r="T147" s="30"/>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x14ac:dyDescent="0.25">
      <c r="C148" s="5" t="s">
        <v>132</v>
      </c>
      <c r="D148" s="5"/>
      <c r="E148" s="5"/>
      <c r="F148" s="185">
        <v>44</v>
      </c>
      <c r="G148" s="186">
        <v>58</v>
      </c>
      <c r="H148" s="186">
        <v>80</v>
      </c>
      <c r="I148" s="186">
        <v>42</v>
      </c>
      <c r="J148" s="186">
        <v>66</v>
      </c>
      <c r="K148" s="50"/>
      <c r="L148" s="55"/>
      <c r="M148" s="55"/>
      <c r="N148" s="55"/>
      <c r="O148" s="55"/>
      <c r="P148" s="32"/>
      <c r="Q148" s="32"/>
      <c r="R148" s="32">
        <f t="shared" si="45"/>
        <v>-0.875</v>
      </c>
      <c r="S148" s="32"/>
      <c r="T148" s="30"/>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x14ac:dyDescent="0.25">
      <c r="C149" s="5" t="s">
        <v>133</v>
      </c>
      <c r="D149" s="5"/>
      <c r="E149" s="5"/>
      <c r="F149" s="185">
        <v>8</v>
      </c>
      <c r="G149" s="186">
        <v>7</v>
      </c>
      <c r="H149" s="186">
        <v>7</v>
      </c>
      <c r="I149" s="186">
        <v>7</v>
      </c>
      <c r="J149" s="186">
        <v>7</v>
      </c>
      <c r="K149" s="50"/>
      <c r="L149" s="55"/>
      <c r="M149" s="55"/>
      <c r="N149" s="55"/>
      <c r="O149" s="55"/>
      <c r="P149" s="32">
        <f t="shared" ref="P149:Q156" si="46">SUM(H159,-G159)/G159</f>
        <v>0</v>
      </c>
      <c r="Q149" s="32">
        <f t="shared" si="46"/>
        <v>11</v>
      </c>
      <c r="R149" s="32">
        <f t="shared" si="45"/>
        <v>-0.16666666666666666</v>
      </c>
      <c r="S149" s="32"/>
      <c r="T149" s="30"/>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x14ac:dyDescent="0.25">
      <c r="C150" s="5" t="s">
        <v>134</v>
      </c>
      <c r="D150" s="5"/>
      <c r="E150" s="5"/>
      <c r="F150" s="185">
        <v>105</v>
      </c>
      <c r="G150" s="186">
        <v>115</v>
      </c>
      <c r="H150" s="186">
        <v>85</v>
      </c>
      <c r="I150" s="186">
        <v>75</v>
      </c>
      <c r="J150" s="186">
        <v>73</v>
      </c>
      <c r="K150" s="50"/>
      <c r="L150" s="55"/>
      <c r="M150" s="55"/>
      <c r="N150" s="55"/>
      <c r="O150" s="55"/>
      <c r="P150" s="32">
        <f t="shared" si="46"/>
        <v>-0.1111111111111111</v>
      </c>
      <c r="Q150" s="32">
        <f t="shared" si="46"/>
        <v>-0.125</v>
      </c>
      <c r="R150" s="32">
        <f t="shared" si="45"/>
        <v>0.42857142857142855</v>
      </c>
      <c r="S150" s="32"/>
      <c r="T150" s="30"/>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x14ac:dyDescent="0.25">
      <c r="C151" s="5" t="s">
        <v>135</v>
      </c>
      <c r="D151" s="5"/>
      <c r="E151" s="5"/>
      <c r="F151" s="185">
        <v>0</v>
      </c>
      <c r="G151" s="186">
        <v>5</v>
      </c>
      <c r="H151" s="186">
        <v>0</v>
      </c>
      <c r="I151" s="186">
        <v>0</v>
      </c>
      <c r="J151" s="186">
        <v>0</v>
      </c>
      <c r="K151" s="50"/>
      <c r="L151" s="55"/>
      <c r="M151" s="55"/>
      <c r="N151" s="55"/>
      <c r="O151" s="55"/>
      <c r="P151" s="32">
        <f t="shared" si="46"/>
        <v>0.33333333333333331</v>
      </c>
      <c r="Q151" s="32">
        <f t="shared" si="46"/>
        <v>0.25</v>
      </c>
      <c r="R151" s="32">
        <f t="shared" si="45"/>
        <v>-0.2</v>
      </c>
      <c r="S151" s="32"/>
      <c r="T151" s="30"/>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x14ac:dyDescent="0.25">
      <c r="C152" s="9" t="s">
        <v>136</v>
      </c>
      <c r="D152" s="9"/>
      <c r="E152" s="5"/>
      <c r="F152" s="185">
        <v>20</v>
      </c>
      <c r="G152" s="186">
        <v>20</v>
      </c>
      <c r="H152" s="186">
        <v>0</v>
      </c>
      <c r="I152" s="186">
        <v>0</v>
      </c>
      <c r="J152" s="186">
        <v>0</v>
      </c>
      <c r="K152" s="50"/>
      <c r="L152" s="55"/>
      <c r="M152" s="55"/>
      <c r="N152" s="55"/>
      <c r="O152" s="55"/>
      <c r="P152" s="32">
        <f t="shared" si="46"/>
        <v>0</v>
      </c>
      <c r="Q152" s="32">
        <f t="shared" si="46"/>
        <v>0</v>
      </c>
      <c r="R152" s="32">
        <f t="shared" si="45"/>
        <v>-1</v>
      </c>
      <c r="S152" s="32"/>
      <c r="T152" s="30"/>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x14ac:dyDescent="0.25">
      <c r="C153" s="5" t="s">
        <v>137</v>
      </c>
      <c r="D153" s="5"/>
      <c r="E153" s="5"/>
      <c r="F153" s="185">
        <v>7</v>
      </c>
      <c r="G153" s="186">
        <v>6</v>
      </c>
      <c r="H153" s="186">
        <v>7</v>
      </c>
      <c r="I153" s="186">
        <v>7</v>
      </c>
      <c r="J153" s="186">
        <v>3</v>
      </c>
      <c r="K153" s="53"/>
      <c r="L153" s="55"/>
      <c r="M153" s="55"/>
      <c r="N153" s="55"/>
      <c r="O153" s="55"/>
      <c r="P153" s="32">
        <f t="shared" si="46"/>
        <v>0</v>
      </c>
      <c r="Q153" s="32">
        <f t="shared" si="46"/>
        <v>0.5</v>
      </c>
      <c r="R153" s="32">
        <f t="shared" si="45"/>
        <v>0</v>
      </c>
      <c r="S153" s="32"/>
      <c r="T153" s="30"/>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x14ac:dyDescent="0.25">
      <c r="C154" s="5" t="s">
        <v>138</v>
      </c>
      <c r="D154" s="5"/>
      <c r="E154" s="5"/>
      <c r="F154" s="185">
        <v>14</v>
      </c>
      <c r="G154" s="186">
        <v>12</v>
      </c>
      <c r="H154" s="186">
        <v>11</v>
      </c>
      <c r="I154" s="186">
        <v>14</v>
      </c>
      <c r="J154" s="186">
        <v>17</v>
      </c>
      <c r="K154" s="50"/>
      <c r="L154" s="55"/>
      <c r="M154" s="55"/>
      <c r="N154" s="55"/>
      <c r="O154" s="55"/>
      <c r="P154" s="32">
        <f t="shared" si="46"/>
        <v>0</v>
      </c>
      <c r="Q154" s="32">
        <f t="shared" si="46"/>
        <v>-0.16666666666666666</v>
      </c>
      <c r="R154" s="32">
        <f t="shared" si="45"/>
        <v>0.4</v>
      </c>
      <c r="S154" s="32"/>
      <c r="T154" s="30"/>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x14ac:dyDescent="0.25">
      <c r="C155" s="5" t="s">
        <v>139</v>
      </c>
      <c r="D155" s="5"/>
      <c r="E155" s="5"/>
      <c r="F155" s="185">
        <v>3</v>
      </c>
      <c r="G155" s="186">
        <v>3</v>
      </c>
      <c r="H155" s="186">
        <v>3</v>
      </c>
      <c r="I155" s="186">
        <v>3</v>
      </c>
      <c r="J155" s="186">
        <v>2</v>
      </c>
      <c r="K155" s="50"/>
      <c r="L155" s="55"/>
      <c r="M155" s="55"/>
      <c r="N155" s="55"/>
      <c r="O155" s="55"/>
      <c r="P155" s="32">
        <f t="shared" si="46"/>
        <v>9.5238095238095233E-2</v>
      </c>
      <c r="Q155" s="32">
        <f t="shared" si="46"/>
        <v>0.17391304347826086</v>
      </c>
      <c r="R155" s="32">
        <f t="shared" si="45"/>
        <v>-0.1111111111111111</v>
      </c>
      <c r="S155" s="32"/>
      <c r="T155" s="30"/>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x14ac:dyDescent="0.25">
      <c r="C156" s="5" t="s">
        <v>140</v>
      </c>
      <c r="D156" s="5"/>
      <c r="E156" s="5"/>
      <c r="F156" s="185">
        <v>21</v>
      </c>
      <c r="G156" s="186">
        <v>25</v>
      </c>
      <c r="H156" s="186">
        <v>0</v>
      </c>
      <c r="I156" s="186">
        <v>0</v>
      </c>
      <c r="J156" s="186">
        <v>0</v>
      </c>
      <c r="K156" s="53"/>
      <c r="L156" s="55"/>
      <c r="M156" s="55"/>
      <c r="N156" s="55"/>
      <c r="O156" s="55"/>
      <c r="P156" s="34">
        <f t="shared" si="46"/>
        <v>-0.29973118279569894</v>
      </c>
      <c r="Q156" s="34">
        <f t="shared" si="46"/>
        <v>0.11516314779270634</v>
      </c>
      <c r="R156" s="34">
        <f t="shared" si="45"/>
        <v>0.45266781411359724</v>
      </c>
      <c r="S156" s="34">
        <f>SUM(T156,-J166)/J166</f>
        <v>0.6018957345971564</v>
      </c>
      <c r="T156" s="38">
        <v>1352</v>
      </c>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x14ac:dyDescent="0.25">
      <c r="C157" s="5" t="s">
        <v>141</v>
      </c>
      <c r="D157" s="5"/>
      <c r="E157" s="5"/>
      <c r="F157" s="185">
        <v>1</v>
      </c>
      <c r="G157" s="186">
        <v>0</v>
      </c>
      <c r="H157" s="186">
        <v>0</v>
      </c>
      <c r="I157" s="186">
        <v>4</v>
      </c>
      <c r="J157" s="186">
        <v>4</v>
      </c>
      <c r="K157" s="50"/>
      <c r="L157" s="55"/>
      <c r="M157" s="55"/>
      <c r="N157" s="55"/>
      <c r="O157" s="55"/>
      <c r="P157" s="32"/>
      <c r="Q157" s="32"/>
      <c r="R157" s="32"/>
      <c r="S157" s="32"/>
      <c r="T157" s="30"/>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x14ac:dyDescent="0.25">
      <c r="C158" s="5" t="s">
        <v>142</v>
      </c>
      <c r="D158" s="5"/>
      <c r="E158" s="5"/>
      <c r="F158" s="185">
        <v>0</v>
      </c>
      <c r="G158" s="186">
        <v>0</v>
      </c>
      <c r="H158" s="186">
        <v>0</v>
      </c>
      <c r="I158" s="186">
        <v>8</v>
      </c>
      <c r="J158" s="186">
        <v>1</v>
      </c>
      <c r="K158" s="50"/>
      <c r="L158" s="55"/>
      <c r="M158" s="55"/>
      <c r="N158" s="55"/>
      <c r="O158" s="55"/>
      <c r="P158" s="32">
        <f t="shared" ref="P158:R165" si="47">SUM(H168,-G168)/G168</f>
        <v>6.3404255319148932</v>
      </c>
      <c r="Q158" s="32">
        <f t="shared" si="47"/>
        <v>0.61739130434782608</v>
      </c>
      <c r="R158" s="32">
        <f t="shared" si="47"/>
        <v>-0.91756272401433692</v>
      </c>
      <c r="S158" s="32"/>
      <c r="T158" s="30"/>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x14ac:dyDescent="0.25">
      <c r="C159" s="5" t="s">
        <v>143</v>
      </c>
      <c r="D159" s="5"/>
      <c r="E159" s="5"/>
      <c r="F159" s="185">
        <v>1</v>
      </c>
      <c r="G159" s="186">
        <v>1</v>
      </c>
      <c r="H159" s="186">
        <v>1</v>
      </c>
      <c r="I159" s="186">
        <v>12</v>
      </c>
      <c r="J159" s="186">
        <v>10</v>
      </c>
      <c r="K159" s="50"/>
      <c r="L159" s="55"/>
      <c r="M159" s="55"/>
      <c r="N159" s="55"/>
      <c r="O159" s="55"/>
      <c r="P159" s="32">
        <f t="shared" si="47"/>
        <v>-0.72937293729372932</v>
      </c>
      <c r="Q159" s="32">
        <f t="shared" si="47"/>
        <v>0.56097560975609762</v>
      </c>
      <c r="R159" s="32">
        <f t="shared" si="47"/>
        <v>0.8203125</v>
      </c>
      <c r="S159" s="32"/>
      <c r="T159" s="30"/>
      <c r="U159" s="1"/>
      <c r="V159" s="1"/>
      <c r="W159" s="1"/>
      <c r="X159" s="1"/>
      <c r="Y159" s="1"/>
      <c r="Z159" s="1"/>
      <c r="AA159" s="1"/>
      <c r="AB159" s="1"/>
      <c r="AC159" s="1"/>
      <c r="AD159" s="1"/>
      <c r="AE159" s="1"/>
      <c r="AF159" s="1"/>
      <c r="AG159" s="1"/>
      <c r="AH159" s="1"/>
      <c r="AI159" s="1"/>
      <c r="AJ159" s="1"/>
      <c r="AK159" s="1"/>
      <c r="AL159" s="1"/>
      <c r="AM159" s="1"/>
      <c r="AN159" s="1"/>
      <c r="AO159" s="1"/>
      <c r="AP159" s="1"/>
    </row>
    <row r="160" spans="3:144" x14ac:dyDescent="0.25">
      <c r="C160" s="5" t="s">
        <v>144</v>
      </c>
      <c r="D160" s="5"/>
      <c r="E160" s="5"/>
      <c r="F160" s="185">
        <v>8</v>
      </c>
      <c r="G160" s="186">
        <v>9</v>
      </c>
      <c r="H160" s="186">
        <v>8</v>
      </c>
      <c r="I160" s="186">
        <v>7</v>
      </c>
      <c r="J160" s="186">
        <v>10</v>
      </c>
      <c r="K160" s="50"/>
      <c r="L160" s="55"/>
      <c r="M160" s="55"/>
      <c r="N160" s="55"/>
      <c r="O160" s="55"/>
      <c r="P160" s="32">
        <f t="shared" si="47"/>
        <v>1.5</v>
      </c>
      <c r="Q160" s="32">
        <f t="shared" si="47"/>
        <v>0</v>
      </c>
      <c r="R160" s="32">
        <f t="shared" si="47"/>
        <v>4</v>
      </c>
      <c r="S160" s="32"/>
      <c r="T160" s="30"/>
      <c r="U160" s="1"/>
      <c r="V160" s="1"/>
      <c r="W160" s="1"/>
      <c r="X160" s="1"/>
      <c r="Y160" s="1"/>
      <c r="Z160" s="1"/>
      <c r="AA160" s="1"/>
      <c r="AB160" s="1"/>
      <c r="AC160" s="1"/>
      <c r="AD160" s="1"/>
      <c r="AE160" s="1"/>
      <c r="AF160" s="1"/>
      <c r="AG160" s="1"/>
      <c r="AH160" s="1"/>
      <c r="AI160" s="1"/>
      <c r="AJ160" s="1"/>
      <c r="AK160" s="1"/>
      <c r="AL160" s="1"/>
      <c r="AM160" s="1"/>
      <c r="AN160" s="1"/>
      <c r="AO160" s="1"/>
      <c r="AP160" s="1"/>
    </row>
    <row r="161" spans="3:42" x14ac:dyDescent="0.25">
      <c r="C161" s="5" t="s">
        <v>145</v>
      </c>
      <c r="D161" s="5"/>
      <c r="E161" s="5"/>
      <c r="F161" s="185">
        <v>3</v>
      </c>
      <c r="G161" s="186">
        <v>3</v>
      </c>
      <c r="H161" s="186">
        <v>4</v>
      </c>
      <c r="I161" s="186">
        <v>5</v>
      </c>
      <c r="J161" s="186">
        <v>4</v>
      </c>
      <c r="K161" s="50"/>
      <c r="L161" s="55"/>
      <c r="M161" s="55"/>
      <c r="N161" s="55"/>
      <c r="O161" s="55"/>
      <c r="P161" s="32">
        <f t="shared" si="47"/>
        <v>-0.5</v>
      </c>
      <c r="Q161" s="32">
        <f t="shared" si="47"/>
        <v>1</v>
      </c>
      <c r="R161" s="32">
        <f t="shared" si="47"/>
        <v>-1</v>
      </c>
      <c r="S161" s="32"/>
      <c r="T161" s="30"/>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x14ac:dyDescent="0.25">
      <c r="C162" s="5" t="s">
        <v>146</v>
      </c>
      <c r="D162" s="5"/>
      <c r="E162" s="5"/>
      <c r="F162" s="185">
        <v>6</v>
      </c>
      <c r="G162" s="186">
        <v>6</v>
      </c>
      <c r="H162" s="186">
        <v>6</v>
      </c>
      <c r="I162" s="186">
        <v>6</v>
      </c>
      <c r="J162" s="186">
        <v>0</v>
      </c>
      <c r="K162" s="50"/>
      <c r="L162" s="55"/>
      <c r="M162" s="55"/>
      <c r="N162" s="55"/>
      <c r="O162" s="55"/>
      <c r="P162" s="32">
        <f t="shared" si="47"/>
        <v>-0.2</v>
      </c>
      <c r="Q162" s="32">
        <f t="shared" si="47"/>
        <v>-0.75</v>
      </c>
      <c r="R162" s="32">
        <f t="shared" si="47"/>
        <v>-1</v>
      </c>
      <c r="S162" s="32"/>
      <c r="T162" s="30"/>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x14ac:dyDescent="0.25">
      <c r="C163" s="5" t="s">
        <v>147</v>
      </c>
      <c r="D163" s="5"/>
      <c r="E163" s="5"/>
      <c r="F163" s="185">
        <v>3</v>
      </c>
      <c r="G163" s="186">
        <v>2</v>
      </c>
      <c r="H163" s="186">
        <v>2</v>
      </c>
      <c r="I163" s="186">
        <v>3</v>
      </c>
      <c r="J163" s="186">
        <v>3</v>
      </c>
      <c r="K163" s="50"/>
      <c r="L163" s="55"/>
      <c r="M163" s="55"/>
      <c r="N163" s="55"/>
      <c r="O163" s="55"/>
      <c r="P163" s="34">
        <f t="shared" si="47"/>
        <v>0.21727019498607242</v>
      </c>
      <c r="Q163" s="34">
        <f t="shared" si="47"/>
        <v>0.58810068649885583</v>
      </c>
      <c r="R163" s="34">
        <f t="shared" si="47"/>
        <v>-0.56195965417867433</v>
      </c>
      <c r="S163" s="34">
        <f>SUM(T163,-J173)/J173</f>
        <v>0.92105263157894735</v>
      </c>
      <c r="T163" s="38">
        <v>584</v>
      </c>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x14ac:dyDescent="0.25">
      <c r="C164" s="5" t="s">
        <v>148</v>
      </c>
      <c r="D164" s="5"/>
      <c r="E164" s="5"/>
      <c r="F164" s="185">
        <v>0</v>
      </c>
      <c r="G164" s="186">
        <v>6</v>
      </c>
      <c r="H164" s="186">
        <v>6</v>
      </c>
      <c r="I164" s="186">
        <v>5</v>
      </c>
      <c r="J164" s="186">
        <v>7</v>
      </c>
      <c r="K164" s="50"/>
      <c r="L164" s="55"/>
      <c r="M164" s="55"/>
      <c r="N164" s="55"/>
      <c r="O164" s="55"/>
      <c r="P164" s="56">
        <f t="shared" si="47"/>
        <v>-0.87878787878787878</v>
      </c>
      <c r="Q164" s="56">
        <f t="shared" si="47"/>
        <v>7.5</v>
      </c>
      <c r="R164" s="56">
        <f t="shared" si="47"/>
        <v>-0.82352941176470584</v>
      </c>
      <c r="S164" s="56">
        <f>SUM(T164,-J174)/J174</f>
        <v>7.833333333333333</v>
      </c>
      <c r="T164" s="59">
        <v>53</v>
      </c>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x14ac:dyDescent="0.25">
      <c r="C165" s="5" t="s">
        <v>149</v>
      </c>
      <c r="D165" s="5"/>
      <c r="E165" s="5"/>
      <c r="F165" s="185">
        <v>16</v>
      </c>
      <c r="G165" s="186">
        <v>21</v>
      </c>
      <c r="H165" s="186">
        <v>23</v>
      </c>
      <c r="I165" s="186">
        <v>27</v>
      </c>
      <c r="J165" s="186">
        <v>24</v>
      </c>
      <c r="K165" s="50"/>
      <c r="L165" s="55"/>
      <c r="M165" s="55"/>
      <c r="N165" s="55"/>
      <c r="O165" s="55"/>
      <c r="P165" s="39">
        <f t="shared" si="47"/>
        <v>-7.0238095238095238E-2</v>
      </c>
      <c r="Q165" s="39">
        <f t="shared" si="47"/>
        <v>0.16175842936406318</v>
      </c>
      <c r="R165" s="39">
        <f t="shared" si="47"/>
        <v>-3.1961792799412199E-2</v>
      </c>
      <c r="S165" s="39">
        <f>SUM(T165,-J175)/J175</f>
        <v>0.25692599620493356</v>
      </c>
      <c r="T165" s="40">
        <f t="shared" ref="T165" si="48">SUM(T131,T156,T163,T164)</f>
        <v>3312</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x14ac:dyDescent="0.25">
      <c r="C166" s="10" t="s">
        <v>110</v>
      </c>
      <c r="D166" s="12"/>
      <c r="E166" s="12"/>
      <c r="F166" s="201">
        <f t="shared" ref="F166:G166" si="49">SUM(F143,F144,F145)</f>
        <v>521</v>
      </c>
      <c r="G166" s="202">
        <f t="shared" si="49"/>
        <v>744</v>
      </c>
      <c r="H166" s="202">
        <f>SUM(H143,H144,H145)</f>
        <v>521</v>
      </c>
      <c r="I166" s="202">
        <f>SUM(I143,I144,I145)</f>
        <v>581</v>
      </c>
      <c r="J166" s="202">
        <f>SUM(J143,J144,J145)</f>
        <v>844</v>
      </c>
      <c r="K166" s="50"/>
      <c r="L166" s="55"/>
      <c r="M166" s="55"/>
      <c r="N166" s="55"/>
      <c r="O166" s="55"/>
      <c r="P166" s="32"/>
      <c r="Q166" s="32"/>
      <c r="R166" s="32"/>
      <c r="S166" s="32"/>
      <c r="T166" s="30"/>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x14ac:dyDescent="0.25">
      <c r="C167" s="8" t="s">
        <v>150</v>
      </c>
      <c r="D167" s="5"/>
      <c r="E167" s="5"/>
      <c r="F167" s="199"/>
      <c r="G167" s="200"/>
      <c r="H167" s="200"/>
      <c r="I167" s="200"/>
      <c r="J167" s="200"/>
      <c r="K167" s="50"/>
      <c r="L167" s="55"/>
      <c r="M167" s="55"/>
      <c r="N167" s="55"/>
      <c r="O167" s="55"/>
      <c r="P167" s="43">
        <f>SUM(H177,-G177)/G177</f>
        <v>-2.3236163920574569E-2</v>
      </c>
      <c r="Q167" s="43">
        <f>SUM(I177,-H177)/H177</f>
        <v>-1.8166089965397925E-2</v>
      </c>
      <c r="R167" s="43">
        <f>SUM(J177,-I177)/I177</f>
        <v>3.8766519823788544E-2</v>
      </c>
      <c r="S167" s="43">
        <f>SUM(T167,-J177)/J177</f>
        <v>5.8241447554424654E-2</v>
      </c>
      <c r="T167" s="44">
        <f>SUM(T165,T125)</f>
        <v>7486</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x14ac:dyDescent="0.25">
      <c r="C168" s="5" t="s">
        <v>106</v>
      </c>
      <c r="D168" s="5"/>
      <c r="E168" s="5"/>
      <c r="F168" s="185">
        <v>571</v>
      </c>
      <c r="G168" s="186">
        <v>47</v>
      </c>
      <c r="H168" s="186">
        <v>345</v>
      </c>
      <c r="I168" s="186">
        <v>558</v>
      </c>
      <c r="J168" s="186">
        <v>46</v>
      </c>
      <c r="K168" s="50"/>
      <c r="L168" s="55"/>
      <c r="M168" s="55"/>
      <c r="N168" s="55"/>
      <c r="O168" s="55"/>
      <c r="P168" s="32"/>
      <c r="Q168" s="32"/>
      <c r="R168" s="32"/>
      <c r="S168" s="32"/>
      <c r="T168" s="30"/>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x14ac:dyDescent="0.25">
      <c r="C169" s="5" t="s">
        <v>107</v>
      </c>
      <c r="D169" s="5"/>
      <c r="E169" s="5"/>
      <c r="F169" s="185">
        <v>119</v>
      </c>
      <c r="G169" s="186">
        <v>303</v>
      </c>
      <c r="H169" s="186">
        <v>82</v>
      </c>
      <c r="I169" s="186">
        <v>128</v>
      </c>
      <c r="J169" s="186">
        <v>233</v>
      </c>
      <c r="K169" s="50"/>
      <c r="L169" s="55"/>
      <c r="M169" s="55"/>
      <c r="N169" s="55"/>
      <c r="O169" s="55"/>
      <c r="P169" s="32">
        <f>SUM(H179,-G179)/G179</f>
        <v>-1</v>
      </c>
      <c r="Q169" s="32"/>
      <c r="R169" s="32"/>
      <c r="S169" s="32"/>
      <c r="T169" s="30">
        <v>0</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x14ac:dyDescent="0.25">
      <c r="C170" s="5" t="s">
        <v>151</v>
      </c>
      <c r="D170" s="5"/>
      <c r="E170" s="5"/>
      <c r="F170" s="185">
        <v>1</v>
      </c>
      <c r="G170" s="186">
        <v>2</v>
      </c>
      <c r="H170" s="186">
        <v>5</v>
      </c>
      <c r="I170" s="186">
        <v>5</v>
      </c>
      <c r="J170" s="186">
        <v>25</v>
      </c>
      <c r="K170" s="50"/>
      <c r="L170" s="55"/>
      <c r="M170" s="55"/>
      <c r="N170" s="55"/>
      <c r="O170" s="55"/>
      <c r="P170" s="29"/>
      <c r="Q170" s="29"/>
      <c r="R170" s="29"/>
      <c r="S170" s="29"/>
      <c r="T170" s="30"/>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x14ac:dyDescent="0.25">
      <c r="C171" s="5" t="s">
        <v>152</v>
      </c>
      <c r="D171" s="5"/>
      <c r="E171" s="5"/>
      <c r="F171" s="185">
        <v>1</v>
      </c>
      <c r="G171" s="186">
        <v>2</v>
      </c>
      <c r="H171" s="186">
        <v>1</v>
      </c>
      <c r="I171" s="186">
        <v>2</v>
      </c>
      <c r="J171" s="186">
        <v>0</v>
      </c>
      <c r="K171" s="50"/>
      <c r="L171" s="55"/>
      <c r="M171" s="55"/>
      <c r="N171" s="55"/>
      <c r="O171" s="55"/>
      <c r="P171" s="41">
        <f>SUM(H181,-G181)/G181</f>
        <v>-4.216809473380187E-2</v>
      </c>
      <c r="Q171" s="41">
        <f>SUM(I181,-H181)/H181</f>
        <v>3.8596843903909939E-2</v>
      </c>
      <c r="R171" s="41">
        <f>SUM(J181,-I181)/I181</f>
        <v>3.7936707635730184E-2</v>
      </c>
      <c r="S171" s="41">
        <f>SUM(T171,-J181)/J181</f>
        <v>4.7272727272727272E-2</v>
      </c>
      <c r="T171" s="42">
        <f>SUM(T167,T100)</f>
        <v>11232</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x14ac:dyDescent="0.25">
      <c r="C172" s="5" t="s">
        <v>109</v>
      </c>
      <c r="D172" s="5"/>
      <c r="E172" s="5"/>
      <c r="F172" s="185">
        <v>0</v>
      </c>
      <c r="G172" s="186">
        <v>5</v>
      </c>
      <c r="H172" s="186">
        <v>4</v>
      </c>
      <c r="I172" s="186">
        <v>1</v>
      </c>
      <c r="J172" s="186">
        <v>0</v>
      </c>
      <c r="K172" s="50"/>
      <c r="L172" s="55"/>
      <c r="M172" s="55"/>
      <c r="N172" s="55"/>
      <c r="O172" s="55"/>
      <c r="P172" s="46">
        <f ca="1">SUM(P85,-P171)</f>
        <v>0</v>
      </c>
      <c r="Q172" s="46">
        <f ca="1">SUM(Q85,-Q171)</f>
        <v>0</v>
      </c>
      <c r="R172" s="46">
        <f ca="1">SUM(R85,-R171)</f>
        <v>0</v>
      </c>
      <c r="S172" s="46">
        <f ca="1">SUM(S85,-S171)</f>
        <v>0</v>
      </c>
      <c r="T172" s="47">
        <f>SUM(T85,-T171)</f>
        <v>0</v>
      </c>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x14ac:dyDescent="0.25">
      <c r="C173" s="10" t="s">
        <v>110</v>
      </c>
      <c r="D173" s="12"/>
      <c r="E173" s="12"/>
      <c r="F173" s="201">
        <f t="shared" ref="F173:G173" si="50">SUM(F168:F172)</f>
        <v>692</v>
      </c>
      <c r="G173" s="202">
        <f t="shared" si="50"/>
        <v>359</v>
      </c>
      <c r="H173" s="202">
        <f>SUM(H168:H172)</f>
        <v>437</v>
      </c>
      <c r="I173" s="202">
        <f>SUM(I168:I172)</f>
        <v>694</v>
      </c>
      <c r="J173" s="202">
        <f>SUM(J168:J172)</f>
        <v>304</v>
      </c>
      <c r="K173" s="50"/>
      <c r="L173" s="55"/>
      <c r="M173" s="55"/>
      <c r="N173" s="55"/>
      <c r="O173" s="55"/>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x14ac:dyDescent="0.25">
      <c r="C174" s="8" t="s">
        <v>153</v>
      </c>
      <c r="D174" s="5"/>
      <c r="E174" s="5"/>
      <c r="F174" s="211">
        <v>43</v>
      </c>
      <c r="G174" s="212">
        <v>33</v>
      </c>
      <c r="H174" s="212">
        <v>4</v>
      </c>
      <c r="I174" s="212">
        <v>34</v>
      </c>
      <c r="J174" s="212">
        <v>6</v>
      </c>
      <c r="K174" s="50"/>
      <c r="L174" s="55"/>
      <c r="M174" s="55"/>
      <c r="N174" s="55"/>
      <c r="O174" s="55"/>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x14ac:dyDescent="0.25">
      <c r="C175" s="15" t="s">
        <v>154</v>
      </c>
      <c r="D175" s="16"/>
      <c r="E175" s="16"/>
      <c r="F175" s="213">
        <f t="shared" ref="F175:G175" si="51">SUM(F141,F166,F173,F174)</f>
        <v>2426</v>
      </c>
      <c r="G175" s="214">
        <f t="shared" si="51"/>
        <v>2520</v>
      </c>
      <c r="H175" s="214">
        <f>SUM(H141,H166,H173,H174)</f>
        <v>2343</v>
      </c>
      <c r="I175" s="214">
        <f>SUM(I141,I166,I173,I174)</f>
        <v>2722</v>
      </c>
      <c r="J175" s="214">
        <f>SUM(J141,J166,J173,J174)</f>
        <v>2635</v>
      </c>
      <c r="K175" s="50"/>
      <c r="L175" s="55"/>
      <c r="M175" s="55"/>
      <c r="N175" s="55"/>
      <c r="O175" s="55"/>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x14ac:dyDescent="0.25">
      <c r="C176" s="8"/>
      <c r="D176" s="5"/>
      <c r="E176" s="5"/>
      <c r="F176" s="199"/>
      <c r="G176" s="200"/>
      <c r="H176" s="200"/>
      <c r="I176" s="200"/>
      <c r="J176" s="200"/>
      <c r="K176" s="50"/>
      <c r="L176" s="55"/>
      <c r="M176" s="55"/>
      <c r="N176" s="55"/>
      <c r="O176" s="55"/>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3:42" x14ac:dyDescent="0.25">
      <c r="C177" s="24" t="s">
        <v>155</v>
      </c>
      <c r="D177" s="25"/>
      <c r="E177" s="25"/>
      <c r="F177" s="219">
        <f>SUM(F175,F135)</f>
        <v>6522</v>
      </c>
      <c r="G177" s="220">
        <f>SUM(G175,G135)</f>
        <v>7101</v>
      </c>
      <c r="H177" s="220">
        <f>SUM(H175,H135)</f>
        <v>6936</v>
      </c>
      <c r="I177" s="220">
        <f>SUM(I175,I135)</f>
        <v>6810</v>
      </c>
      <c r="J177" s="220">
        <f>SUM(J175,J135)</f>
        <v>7074</v>
      </c>
      <c r="K177" s="50"/>
      <c r="L177" s="55"/>
      <c r="M177" s="55"/>
      <c r="N177" s="55"/>
      <c r="O177" s="55"/>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3:42" x14ac:dyDescent="0.25">
      <c r="C178" s="8"/>
      <c r="D178" s="5"/>
      <c r="E178" s="5"/>
      <c r="F178" s="199"/>
      <c r="G178" s="200"/>
      <c r="H178" s="200"/>
      <c r="I178" s="200"/>
      <c r="J178" s="200"/>
      <c r="K178" s="50"/>
      <c r="L178" s="55"/>
      <c r="M178" s="55"/>
      <c r="N178" s="55"/>
      <c r="O178" s="55"/>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3:42" ht="30" x14ac:dyDescent="0.25">
      <c r="C179" s="26" t="s">
        <v>156</v>
      </c>
      <c r="D179" s="5"/>
      <c r="E179" s="5"/>
      <c r="F179" s="199">
        <v>20</v>
      </c>
      <c r="G179" s="200">
        <v>7</v>
      </c>
      <c r="H179" s="182">
        <v>0</v>
      </c>
      <c r="I179" s="182">
        <v>0</v>
      </c>
      <c r="J179" s="182">
        <v>0</v>
      </c>
      <c r="K179" s="50"/>
      <c r="L179" s="55"/>
      <c r="M179" s="55"/>
      <c r="N179" s="55"/>
      <c r="O179" s="55"/>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3:42" x14ac:dyDescent="0.25">
      <c r="C180" s="17"/>
      <c r="D180" s="17"/>
      <c r="E180" s="5"/>
      <c r="F180" s="199"/>
      <c r="G180" s="200"/>
      <c r="H180" s="200"/>
      <c r="I180" s="200"/>
      <c r="J180" s="200"/>
      <c r="K180" s="55"/>
      <c r="L180" s="55"/>
      <c r="M180" s="55"/>
      <c r="N180" s="55"/>
      <c r="O180" s="55"/>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3:42" x14ac:dyDescent="0.25">
      <c r="C181" s="18" t="s">
        <v>157</v>
      </c>
      <c r="D181" s="20"/>
      <c r="E181" s="20"/>
      <c r="F181" s="216">
        <f>SUM(F177,F110,F179)</f>
        <v>9801</v>
      </c>
      <c r="G181" s="217">
        <f>SUM(G177,G110,G179)</f>
        <v>10387</v>
      </c>
      <c r="H181" s="217">
        <f>SUM(H177,H110)</f>
        <v>9949</v>
      </c>
      <c r="I181" s="217">
        <f>SUM(I177,I110)</f>
        <v>10333</v>
      </c>
      <c r="J181" s="217">
        <f>SUM(J177,J110)</f>
        <v>10725</v>
      </c>
      <c r="K181" s="55"/>
      <c r="L181" s="55"/>
      <c r="M181" s="55"/>
      <c r="N181" s="55"/>
      <c r="O181" s="55"/>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3:42" x14ac:dyDescent="0.25">
      <c r="C182" s="27" t="s">
        <v>159</v>
      </c>
      <c r="D182" s="27"/>
      <c r="E182" s="54"/>
      <c r="F182" s="45">
        <f t="shared" ref="F182:G182" ca="1" si="52">SUM(F93,-F181)</f>
        <v>0</v>
      </c>
      <c r="G182" s="46">
        <f t="shared" ca="1" si="52"/>
        <v>0</v>
      </c>
      <c r="H182" s="46">
        <f ca="1">SUM(H93,-H181)</f>
        <v>0</v>
      </c>
      <c r="I182" s="46">
        <f ca="1">SUM(I93,-I181)</f>
        <v>0</v>
      </c>
      <c r="J182" s="46">
        <f ca="1">SUM(J93,-J181)</f>
        <v>0</v>
      </c>
      <c r="K182" s="55"/>
      <c r="L182" s="55"/>
      <c r="M182" s="55"/>
      <c r="N182" s="55"/>
      <c r="O182" s="55"/>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3:42" x14ac:dyDescent="0.25">
      <c r="E183" s="55"/>
      <c r="F183" s="55"/>
      <c r="G183" s="55"/>
      <c r="H183" s="55"/>
      <c r="I183" s="55"/>
      <c r="J183" s="55"/>
      <c r="K183" s="55"/>
      <c r="L183" s="55"/>
      <c r="M183" s="55"/>
      <c r="N183" s="55"/>
      <c r="O183" s="55"/>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3:42" x14ac:dyDescent="0.25">
      <c r="C184" s="1"/>
      <c r="D184" s="1"/>
      <c r="E184" s="55"/>
      <c r="F184" s="55"/>
      <c r="G184" s="55"/>
      <c r="H184" s="55"/>
      <c r="I184" s="55"/>
      <c r="J184" s="55"/>
      <c r="K184" s="55"/>
      <c r="L184" s="55"/>
      <c r="M184" s="55"/>
      <c r="N184" s="55"/>
      <c r="O184" s="55"/>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3:42" x14ac:dyDescent="0.25">
      <c r="D185" s="1"/>
      <c r="E185" s="55"/>
      <c r="F185" s="55"/>
      <c r="G185" s="55"/>
      <c r="H185" s="55"/>
      <c r="I185" s="55"/>
      <c r="J185" s="55"/>
      <c r="K185" s="55"/>
      <c r="L185" s="55"/>
      <c r="M185" s="55"/>
      <c r="N185" s="55"/>
      <c r="O185" s="55"/>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3:42" x14ac:dyDescent="0.25">
      <c r="C186" s="1"/>
      <c r="D186" s="1"/>
      <c r="E186" s="55"/>
      <c r="F186" s="55"/>
      <c r="G186" s="55"/>
      <c r="H186" s="55"/>
      <c r="I186" s="55"/>
      <c r="J186" s="55"/>
      <c r="K186" s="55"/>
      <c r="L186" s="55"/>
      <c r="M186" s="55"/>
      <c r="N186" s="55"/>
      <c r="O186" s="55"/>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3:42" x14ac:dyDescent="0.25">
      <c r="C187" s="1"/>
      <c r="D187" s="1"/>
      <c r="E187" s="55"/>
      <c r="F187" s="55"/>
      <c r="G187" s="55"/>
      <c r="H187" s="55"/>
      <c r="I187" s="55"/>
      <c r="J187" s="55"/>
      <c r="K187" s="55"/>
      <c r="L187" s="55"/>
      <c r="M187" s="55"/>
      <c r="N187" s="55"/>
      <c r="O187" s="55"/>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3:42" x14ac:dyDescent="0.25">
      <c r="C188" s="1"/>
      <c r="D188" s="1"/>
      <c r="E188" s="55"/>
      <c r="F188" s="55"/>
      <c r="G188" s="55"/>
      <c r="H188" s="55"/>
      <c r="I188" s="55"/>
      <c r="J188" s="55"/>
      <c r="K188" s="55"/>
      <c r="L188" s="55"/>
      <c r="M188" s="55"/>
      <c r="N188" s="55"/>
      <c r="O188" s="55"/>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3:42" x14ac:dyDescent="0.25">
      <c r="C189" s="1"/>
      <c r="D189" s="1"/>
      <c r="E189" s="55"/>
      <c r="F189" s="55"/>
      <c r="G189" s="55"/>
      <c r="H189" s="55"/>
      <c r="I189" s="55"/>
      <c r="J189" s="55"/>
      <c r="K189" s="55"/>
      <c r="L189" s="55"/>
      <c r="M189" s="55"/>
      <c r="N189" s="55"/>
      <c r="O189" s="55"/>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3:42" x14ac:dyDescent="0.25">
      <c r="C190" s="1"/>
      <c r="D190" s="1"/>
      <c r="E190" s="55"/>
      <c r="F190" s="55"/>
      <c r="G190" s="55"/>
      <c r="H190" s="55"/>
      <c r="I190" s="55"/>
      <c r="J190" s="55"/>
      <c r="K190" s="55"/>
      <c r="L190" s="55"/>
      <c r="M190" s="55"/>
      <c r="N190" s="55"/>
      <c r="O190" s="55"/>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3:42" x14ac:dyDescent="0.25">
      <c r="C191" s="1"/>
      <c r="D191" s="1"/>
      <c r="E191" s="55"/>
      <c r="F191" s="55"/>
      <c r="G191" s="55"/>
      <c r="H191" s="55"/>
      <c r="I191" s="55"/>
      <c r="J191" s="55"/>
      <c r="K191" s="55"/>
      <c r="L191" s="55"/>
      <c r="M191" s="55"/>
      <c r="N191" s="55"/>
      <c r="O191" s="55"/>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3:42" x14ac:dyDescent="0.25">
      <c r="C192" s="1"/>
      <c r="D192" s="1"/>
      <c r="E192" s="55"/>
      <c r="F192" s="55"/>
      <c r="G192" s="55"/>
      <c r="H192" s="55"/>
      <c r="I192" s="55"/>
      <c r="J192" s="55"/>
      <c r="K192" s="55"/>
      <c r="L192" s="55"/>
      <c r="M192" s="55"/>
      <c r="N192" s="55"/>
      <c r="O192" s="55"/>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x14ac:dyDescent="0.25">
      <c r="C193" s="1"/>
      <c r="D193" s="1"/>
      <c r="E193" s="55"/>
      <c r="F193" s="55"/>
      <c r="G193" s="55"/>
      <c r="H193" s="55"/>
      <c r="I193" s="55"/>
      <c r="J193" s="55"/>
      <c r="K193" s="55"/>
      <c r="L193" s="55"/>
      <c r="M193" s="55"/>
      <c r="N193" s="55"/>
      <c r="O193" s="55"/>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x14ac:dyDescent="0.25">
      <c r="C194" s="1"/>
      <c r="D194" s="1"/>
      <c r="E194" s="55"/>
      <c r="F194" s="55"/>
      <c r="G194" s="55"/>
      <c r="H194" s="55"/>
      <c r="I194" s="55"/>
      <c r="J194" s="55"/>
      <c r="K194" s="55"/>
      <c r="L194" s="55"/>
      <c r="M194" s="55"/>
      <c r="N194" s="55"/>
      <c r="O194" s="55"/>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x14ac:dyDescent="0.25">
      <c r="C195" s="1"/>
      <c r="D195" s="1"/>
      <c r="E195" s="55"/>
      <c r="F195" s="55"/>
      <c r="G195" s="55"/>
      <c r="H195" s="55"/>
      <c r="I195" s="55"/>
      <c r="J195" s="55"/>
      <c r="K195" s="55"/>
      <c r="L195" s="55"/>
      <c r="M195" s="55"/>
      <c r="N195" s="55"/>
      <c r="O195" s="55"/>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x14ac:dyDescent="0.25">
      <c r="C196" s="1"/>
      <c r="D196" s="1"/>
      <c r="E196" s="55"/>
      <c r="F196" s="55"/>
      <c r="G196" s="55"/>
      <c r="H196" s="55"/>
      <c r="I196" s="55"/>
      <c r="J196" s="55"/>
      <c r="K196" s="55"/>
      <c r="L196" s="55"/>
      <c r="M196" s="55"/>
      <c r="N196" s="55"/>
      <c r="O196" s="55"/>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x14ac:dyDescent="0.25">
      <c r="C197" s="1"/>
      <c r="D197" s="1"/>
      <c r="E197" s="55"/>
      <c r="F197" s="55"/>
      <c r="G197" s="55"/>
      <c r="H197" s="55"/>
      <c r="I197" s="55"/>
      <c r="J197" s="55"/>
      <c r="K197" s="55"/>
      <c r="L197" s="55"/>
      <c r="M197" s="55"/>
      <c r="N197" s="55"/>
      <c r="O197" s="55"/>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x14ac:dyDescent="0.25">
      <c r="C198" s="1"/>
      <c r="D198" s="1"/>
      <c r="E198" s="55"/>
      <c r="F198" s="55"/>
      <c r="G198" s="55"/>
      <c r="H198" s="55"/>
      <c r="I198" s="55"/>
      <c r="J198" s="55"/>
      <c r="K198" s="55"/>
      <c r="L198" s="55"/>
      <c r="M198" s="55"/>
      <c r="N198" s="55"/>
      <c r="O198" s="55"/>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x14ac:dyDescent="0.25">
      <c r="C199" s="1"/>
      <c r="D199" s="1"/>
      <c r="E199" s="55"/>
      <c r="F199" s="55"/>
      <c r="G199" s="55"/>
      <c r="H199" s="55"/>
      <c r="I199" s="55"/>
      <c r="J199" s="55"/>
      <c r="K199" s="55"/>
      <c r="L199" s="55"/>
      <c r="M199" s="55"/>
      <c r="N199" s="55"/>
      <c r="O199" s="55"/>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x14ac:dyDescent="0.25">
      <c r="C200" s="1"/>
      <c r="D200" s="1"/>
      <c r="E200" s="55"/>
      <c r="F200" s="55"/>
      <c r="G200" s="55"/>
      <c r="H200" s="55"/>
      <c r="I200" s="55"/>
      <c r="J200" s="55"/>
      <c r="K200" s="55"/>
      <c r="L200" s="55"/>
      <c r="M200" s="55"/>
      <c r="N200" s="55"/>
      <c r="O200" s="55"/>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x14ac:dyDescent="0.25">
      <c r="C201" s="1"/>
      <c r="D201" s="1"/>
      <c r="E201" s="55"/>
      <c r="F201" s="55"/>
      <c r="G201" s="55"/>
      <c r="H201" s="55"/>
      <c r="I201" s="55"/>
      <c r="J201" s="55"/>
      <c r="K201" s="55"/>
      <c r="L201" s="55"/>
      <c r="M201" s="55"/>
      <c r="N201" s="55"/>
      <c r="O201" s="55"/>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x14ac:dyDescent="0.25">
      <c r="C202" s="1"/>
      <c r="D202" s="1"/>
      <c r="E202" s="55"/>
      <c r="F202" s="55"/>
      <c r="G202" s="55"/>
      <c r="H202" s="55"/>
      <c r="I202" s="55"/>
      <c r="J202" s="55"/>
      <c r="K202" s="55"/>
      <c r="L202" s="55"/>
      <c r="M202" s="55"/>
      <c r="N202" s="55"/>
      <c r="O202" s="55"/>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x14ac:dyDescent="0.25">
      <c r="C203" s="1"/>
      <c r="D203" s="1"/>
      <c r="E203" s="55"/>
      <c r="F203" s="55"/>
      <c r="G203" s="55"/>
      <c r="H203" s="55"/>
      <c r="I203" s="55"/>
      <c r="J203" s="55"/>
      <c r="K203" s="55"/>
      <c r="L203" s="55"/>
      <c r="M203" s="55"/>
      <c r="N203" s="55"/>
      <c r="O203" s="55"/>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x14ac:dyDescent="0.25">
      <c r="C204" s="1"/>
      <c r="D204" s="1"/>
      <c r="E204" s="55"/>
      <c r="F204" s="55"/>
      <c r="G204" s="55"/>
      <c r="H204" s="55"/>
      <c r="I204" s="55"/>
      <c r="J204" s="55"/>
      <c r="K204" s="55"/>
      <c r="L204" s="55"/>
      <c r="M204" s="55"/>
      <c r="N204" s="55"/>
      <c r="O204" s="55"/>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x14ac:dyDescent="0.25">
      <c r="C205" s="1"/>
      <c r="D205" s="1"/>
      <c r="E205" s="55"/>
      <c r="F205" s="55"/>
      <c r="G205" s="55"/>
      <c r="H205" s="55"/>
      <c r="I205" s="55"/>
      <c r="J205" s="55"/>
      <c r="K205" s="55"/>
      <c r="L205" s="55"/>
      <c r="M205" s="55"/>
      <c r="N205" s="55"/>
      <c r="O205" s="55"/>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x14ac:dyDescent="0.25">
      <c r="C206" s="2"/>
      <c r="D206" s="1"/>
      <c r="E206" s="55"/>
      <c r="F206" s="55"/>
      <c r="G206" s="55"/>
      <c r="H206" s="55"/>
      <c r="I206" s="55"/>
      <c r="J206" s="55"/>
      <c r="K206" s="55"/>
      <c r="L206" s="55"/>
      <c r="M206" s="55"/>
      <c r="N206" s="55"/>
      <c r="O206" s="55"/>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x14ac:dyDescent="0.25">
      <c r="C207" s="2"/>
      <c r="D207" s="1"/>
      <c r="E207" s="55"/>
      <c r="F207" s="55"/>
      <c r="G207" s="55"/>
      <c r="H207" s="55"/>
      <c r="I207" s="55"/>
      <c r="J207" s="55"/>
      <c r="K207" s="55"/>
      <c r="L207" s="55"/>
      <c r="M207" s="55"/>
      <c r="N207" s="55"/>
      <c r="O207" s="55"/>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x14ac:dyDescent="0.25">
      <c r="C208" s="1"/>
      <c r="D208" s="1"/>
      <c r="E208" s="55"/>
      <c r="F208" s="55"/>
      <c r="G208" s="55"/>
      <c r="H208" s="55"/>
      <c r="I208" s="55"/>
      <c r="J208" s="55"/>
      <c r="K208" s="55"/>
      <c r="L208" s="55"/>
      <c r="M208" s="55"/>
      <c r="N208" s="55"/>
      <c r="O208" s="55"/>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x14ac:dyDescent="0.25">
      <c r="C209" s="1"/>
      <c r="D209" s="1"/>
      <c r="E209" s="55"/>
      <c r="F209" s="55"/>
      <c r="G209" s="55"/>
      <c r="H209" s="55"/>
      <c r="I209" s="55"/>
      <c r="J209" s="55"/>
      <c r="K209" s="55"/>
      <c r="L209" s="55"/>
      <c r="M209" s="55"/>
      <c r="N209" s="55"/>
      <c r="O209" s="55"/>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x14ac:dyDescent="0.25">
      <c r="C210" s="1"/>
      <c r="D210" s="4"/>
      <c r="E210" s="55"/>
      <c r="F210" s="55"/>
      <c r="G210" s="55"/>
      <c r="H210" s="55"/>
      <c r="I210" s="55"/>
      <c r="J210" s="55"/>
      <c r="K210" s="55"/>
      <c r="L210" s="55"/>
      <c r="M210" s="55"/>
      <c r="N210" s="55"/>
      <c r="O210" s="55"/>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x14ac:dyDescent="0.25">
      <c r="C211" s="1"/>
      <c r="D211" s="1"/>
      <c r="E211" s="55"/>
      <c r="F211" s="55"/>
      <c r="G211" s="55"/>
      <c r="H211" s="55"/>
      <c r="I211" s="55"/>
      <c r="J211" s="55"/>
      <c r="K211" s="55"/>
      <c r="L211" s="55"/>
      <c r="M211" s="55"/>
      <c r="N211" s="55"/>
      <c r="O211" s="55"/>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x14ac:dyDescent="0.25">
      <c r="C212" s="2"/>
      <c r="D212" s="1"/>
      <c r="E212" s="55"/>
      <c r="F212" s="55"/>
      <c r="G212" s="55"/>
      <c r="H212" s="55"/>
      <c r="I212" s="55"/>
      <c r="J212" s="55"/>
      <c r="K212" s="55"/>
      <c r="L212" s="55"/>
      <c r="M212" s="55"/>
      <c r="N212" s="55"/>
      <c r="O212" s="55"/>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x14ac:dyDescent="0.25">
      <c r="C213" s="2"/>
      <c r="D213" s="1"/>
      <c r="E213" s="55"/>
      <c r="F213" s="55"/>
      <c r="G213" s="55"/>
      <c r="H213" s="55"/>
      <c r="I213" s="55"/>
      <c r="J213" s="55"/>
      <c r="K213" s="55"/>
      <c r="L213" s="55"/>
      <c r="M213" s="55"/>
      <c r="N213" s="55"/>
      <c r="O213" s="55"/>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x14ac:dyDescent="0.25">
      <c r="C214" s="3"/>
      <c r="D214" s="1"/>
      <c r="E214" s="55"/>
      <c r="F214" s="55"/>
      <c r="G214" s="55"/>
      <c r="H214" s="55"/>
      <c r="I214" s="55"/>
      <c r="J214" s="55"/>
      <c r="K214" s="55"/>
      <c r="L214" s="55"/>
      <c r="M214" s="55"/>
      <c r="N214" s="55"/>
      <c r="O214" s="55"/>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x14ac:dyDescent="0.25">
      <c r="C215" s="2"/>
      <c r="D215" s="1"/>
      <c r="E215" s="55"/>
      <c r="F215" s="55"/>
      <c r="G215" s="55"/>
      <c r="H215" s="55"/>
      <c r="I215" s="55"/>
      <c r="J215" s="55"/>
      <c r="K215" s="55"/>
      <c r="L215" s="55"/>
      <c r="M215" s="55"/>
      <c r="N215" s="55"/>
      <c r="O215" s="55"/>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x14ac:dyDescent="0.25">
      <c r="C216" s="1"/>
      <c r="D216" s="1"/>
      <c r="E216" s="55"/>
      <c r="F216" s="55"/>
      <c r="G216" s="55"/>
      <c r="H216" s="55"/>
      <c r="I216" s="55"/>
      <c r="J216" s="55"/>
      <c r="K216" s="55"/>
      <c r="L216" s="55"/>
      <c r="M216" s="55"/>
      <c r="N216" s="55"/>
      <c r="O216" s="55"/>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x14ac:dyDescent="0.25">
      <c r="C217" s="1"/>
      <c r="D217" s="1"/>
      <c r="E217" s="55"/>
      <c r="F217" s="55"/>
      <c r="G217" s="55"/>
      <c r="H217" s="55"/>
      <c r="I217" s="55"/>
      <c r="J217" s="55"/>
      <c r="K217" s="55"/>
      <c r="L217" s="55"/>
      <c r="M217" s="55"/>
      <c r="N217" s="55"/>
      <c r="O217" s="55"/>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x14ac:dyDescent="0.25">
      <c r="C218" s="1"/>
      <c r="D218" s="1"/>
      <c r="E218" s="55"/>
      <c r="F218" s="55"/>
      <c r="G218" s="55"/>
      <c r="H218" s="55"/>
      <c r="I218" s="55"/>
      <c r="J218" s="55"/>
      <c r="K218" s="55"/>
      <c r="L218" s="55"/>
      <c r="M218" s="55"/>
      <c r="N218" s="55"/>
      <c r="O218" s="55"/>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x14ac:dyDescent="0.25">
      <c r="C219" s="1"/>
      <c r="D219" s="1"/>
      <c r="E219" s="55"/>
      <c r="F219" s="55"/>
      <c r="G219" s="55"/>
      <c r="H219" s="55"/>
      <c r="I219" s="55"/>
      <c r="J219" s="55"/>
      <c r="K219" s="55"/>
      <c r="L219" s="55"/>
      <c r="M219" s="55"/>
      <c r="N219" s="55"/>
      <c r="O219" s="55"/>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x14ac:dyDescent="0.25">
      <c r="C220" s="1"/>
      <c r="D220" s="1"/>
      <c r="E220" s="55"/>
      <c r="F220" s="55"/>
      <c r="G220" s="55"/>
      <c r="H220" s="55"/>
      <c r="I220" s="55"/>
      <c r="J220" s="55"/>
      <c r="K220" s="55"/>
      <c r="L220" s="55"/>
      <c r="M220" s="55"/>
      <c r="N220" s="55"/>
      <c r="O220" s="55"/>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x14ac:dyDescent="0.25">
      <c r="C221" s="1"/>
      <c r="D221" s="1"/>
      <c r="E221" s="55"/>
      <c r="F221" s="55"/>
      <c r="G221" s="55"/>
      <c r="H221" s="55"/>
      <c r="I221" s="55"/>
      <c r="J221" s="55"/>
      <c r="K221" s="55"/>
      <c r="L221" s="55"/>
      <c r="M221" s="55"/>
      <c r="N221" s="55"/>
      <c r="O221" s="55"/>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x14ac:dyDescent="0.25">
      <c r="C222" s="1"/>
      <c r="D222" s="1"/>
      <c r="E222" s="55"/>
      <c r="F222" s="55"/>
      <c r="G222" s="55"/>
      <c r="H222" s="55"/>
      <c r="I222" s="55"/>
      <c r="J222" s="55"/>
      <c r="K222" s="55"/>
      <c r="L222" s="55"/>
      <c r="M222" s="55"/>
      <c r="N222" s="55"/>
      <c r="O222" s="55"/>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x14ac:dyDescent="0.25">
      <c r="C223" s="1"/>
      <c r="D223" s="1"/>
      <c r="E223" s="55"/>
      <c r="F223" s="55"/>
      <c r="G223" s="55"/>
      <c r="H223" s="55"/>
      <c r="I223" s="55"/>
      <c r="J223" s="55"/>
      <c r="K223" s="55"/>
      <c r="L223" s="55"/>
      <c r="M223" s="55"/>
      <c r="N223" s="55"/>
      <c r="O223" s="55"/>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x14ac:dyDescent="0.25">
      <c r="C224" s="1"/>
      <c r="D224" s="1"/>
      <c r="E224" s="55"/>
      <c r="F224" s="55"/>
      <c r="G224" s="55"/>
      <c r="H224" s="55"/>
      <c r="I224" s="55"/>
      <c r="J224" s="55"/>
      <c r="K224" s="55"/>
      <c r="L224" s="55"/>
      <c r="M224" s="55"/>
      <c r="N224" s="55"/>
      <c r="O224" s="55"/>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x14ac:dyDescent="0.25">
      <c r="C225" s="1"/>
      <c r="D225" s="1"/>
      <c r="E225" s="55"/>
      <c r="F225" s="55"/>
      <c r="G225" s="55"/>
      <c r="H225" s="55"/>
      <c r="I225" s="55"/>
      <c r="J225" s="55"/>
      <c r="K225" s="55"/>
      <c r="L225" s="55"/>
      <c r="M225" s="55"/>
      <c r="N225" s="55"/>
      <c r="O225" s="55"/>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x14ac:dyDescent="0.25">
      <c r="C226" s="1"/>
      <c r="D226" s="1"/>
      <c r="E226" s="55"/>
      <c r="F226" s="55"/>
      <c r="G226" s="55"/>
      <c r="H226" s="55"/>
      <c r="I226" s="55"/>
      <c r="J226" s="55"/>
      <c r="K226" s="55"/>
      <c r="L226" s="55"/>
      <c r="M226" s="55"/>
      <c r="N226" s="55"/>
      <c r="O226" s="55"/>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x14ac:dyDescent="0.25">
      <c r="C227" s="1"/>
      <c r="D227" s="1"/>
      <c r="E227" s="55"/>
      <c r="F227" s="55"/>
      <c r="G227" s="55"/>
      <c r="H227" s="55"/>
      <c r="I227" s="55"/>
      <c r="J227" s="55"/>
      <c r="K227" s="55"/>
      <c r="L227" s="55"/>
      <c r="M227" s="55"/>
      <c r="N227" s="55"/>
      <c r="O227" s="55"/>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x14ac:dyDescent="0.25">
      <c r="C228" s="1"/>
      <c r="D228" s="1"/>
      <c r="E228" s="55"/>
      <c r="F228" s="55"/>
      <c r="G228" s="55"/>
      <c r="H228" s="55"/>
      <c r="I228" s="55"/>
      <c r="J228" s="55"/>
      <c r="K228" s="55"/>
      <c r="L228" s="55"/>
      <c r="M228" s="55"/>
      <c r="N228" s="55"/>
      <c r="O228" s="55"/>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x14ac:dyDescent="0.25">
      <c r="C229" s="1"/>
      <c r="D229" s="1"/>
      <c r="E229" s="55"/>
      <c r="F229" s="55"/>
      <c r="G229" s="55"/>
      <c r="H229" s="55"/>
      <c r="I229" s="55"/>
      <c r="J229" s="55"/>
      <c r="K229" s="55"/>
      <c r="L229" s="55"/>
      <c r="M229" s="55"/>
      <c r="N229" s="55"/>
      <c r="O229" s="55"/>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x14ac:dyDescent="0.25">
      <c r="C230" s="1"/>
      <c r="D230" s="1"/>
      <c r="E230" s="55"/>
      <c r="F230" s="55"/>
      <c r="G230" s="55"/>
      <c r="H230" s="55"/>
      <c r="I230" s="55"/>
      <c r="J230" s="55"/>
      <c r="K230" s="55"/>
      <c r="L230" s="55"/>
      <c r="M230" s="55"/>
      <c r="N230" s="55"/>
      <c r="O230" s="55"/>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x14ac:dyDescent="0.25">
      <c r="C231" s="1"/>
      <c r="D231" s="1"/>
      <c r="E231" s="55"/>
      <c r="F231" s="55"/>
      <c r="G231" s="55"/>
      <c r="H231" s="55"/>
      <c r="I231" s="55"/>
      <c r="J231" s="55"/>
      <c r="K231" s="55"/>
      <c r="L231" s="55"/>
      <c r="M231" s="55"/>
      <c r="N231" s="55"/>
      <c r="O231" s="55"/>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x14ac:dyDescent="0.25">
      <c r="C232" s="1"/>
      <c r="D232" s="1"/>
      <c r="E232" s="55"/>
      <c r="F232" s="55"/>
      <c r="G232" s="55"/>
      <c r="H232" s="55"/>
      <c r="I232" s="55"/>
      <c r="J232" s="55"/>
      <c r="K232" s="55"/>
      <c r="L232" s="55"/>
      <c r="M232" s="55"/>
      <c r="N232" s="55"/>
      <c r="O232" s="55"/>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x14ac:dyDescent="0.25">
      <c r="C233" s="1"/>
      <c r="D233" s="1"/>
      <c r="E233" s="55"/>
      <c r="F233" s="55"/>
      <c r="G233" s="55"/>
      <c r="H233" s="55"/>
      <c r="I233" s="55"/>
      <c r="J233" s="55"/>
      <c r="K233" s="55"/>
      <c r="L233" s="55"/>
      <c r="M233" s="55"/>
      <c r="N233" s="55"/>
      <c r="O233" s="55"/>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x14ac:dyDescent="0.25">
      <c r="C234" s="1"/>
      <c r="D234" s="1"/>
      <c r="E234" s="55"/>
      <c r="F234" s="55"/>
      <c r="G234" s="55"/>
      <c r="H234" s="55"/>
      <c r="I234" s="55"/>
      <c r="J234" s="55"/>
      <c r="K234" s="55"/>
      <c r="L234" s="55"/>
      <c r="M234" s="55"/>
      <c r="N234" s="55"/>
      <c r="O234" s="55"/>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x14ac:dyDescent="0.25">
      <c r="C235" s="1"/>
      <c r="D235" s="1"/>
      <c r="E235" s="55"/>
      <c r="F235" s="55"/>
      <c r="G235" s="55"/>
      <c r="H235" s="55"/>
      <c r="I235" s="55"/>
      <c r="J235" s="55"/>
      <c r="K235" s="55"/>
      <c r="L235" s="55"/>
      <c r="M235" s="55"/>
      <c r="N235" s="55"/>
      <c r="O235" s="55"/>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x14ac:dyDescent="0.25">
      <c r="C236" s="1"/>
      <c r="D236" s="1"/>
      <c r="E236" s="55"/>
      <c r="F236" s="55"/>
      <c r="G236" s="55"/>
      <c r="H236" s="55"/>
      <c r="I236" s="55"/>
      <c r="J236" s="55"/>
      <c r="K236" s="55"/>
      <c r="L236" s="55"/>
      <c r="M236" s="55"/>
      <c r="N236" s="55"/>
      <c r="O236" s="55"/>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x14ac:dyDescent="0.25">
      <c r="C237" s="1"/>
      <c r="D237" s="1"/>
      <c r="E237" s="55"/>
      <c r="F237" s="55"/>
      <c r="G237" s="55"/>
      <c r="H237" s="55"/>
      <c r="I237" s="55"/>
      <c r="J237" s="55"/>
      <c r="K237" s="55"/>
      <c r="L237" s="55"/>
      <c r="M237" s="55"/>
      <c r="N237" s="55"/>
      <c r="O237" s="55"/>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x14ac:dyDescent="0.25">
      <c r="C238" s="1"/>
      <c r="D238" s="1"/>
      <c r="E238" s="55"/>
      <c r="F238" s="55"/>
      <c r="G238" s="55"/>
      <c r="H238" s="55"/>
      <c r="I238" s="55"/>
      <c r="J238" s="55"/>
      <c r="K238" s="55"/>
      <c r="L238" s="55"/>
      <c r="M238" s="55"/>
      <c r="N238" s="55"/>
      <c r="O238" s="55"/>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x14ac:dyDescent="0.25">
      <c r="C239" s="1"/>
      <c r="D239" s="1"/>
      <c r="E239" s="55"/>
      <c r="F239" s="55"/>
      <c r="G239" s="55"/>
      <c r="H239" s="55"/>
      <c r="I239" s="55"/>
      <c r="J239" s="55"/>
      <c r="K239" s="55"/>
      <c r="L239" s="55"/>
      <c r="M239" s="55"/>
      <c r="N239" s="55"/>
      <c r="O239" s="55"/>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x14ac:dyDescent="0.25">
      <c r="C240" s="1"/>
      <c r="D240" s="1"/>
      <c r="E240" s="55"/>
      <c r="F240" s="55"/>
      <c r="G240" s="55"/>
      <c r="H240" s="55"/>
      <c r="I240" s="55"/>
      <c r="J240" s="55"/>
      <c r="K240" s="55"/>
      <c r="L240" s="55"/>
      <c r="M240" s="55"/>
      <c r="N240" s="55"/>
      <c r="O240" s="55"/>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x14ac:dyDescent="0.25">
      <c r="C241" s="1"/>
      <c r="D241" s="1"/>
      <c r="E241" s="55"/>
      <c r="F241" s="55"/>
      <c r="G241" s="55"/>
      <c r="H241" s="55"/>
      <c r="I241" s="55"/>
      <c r="J241" s="55"/>
      <c r="K241" s="55"/>
      <c r="L241" s="55"/>
      <c r="M241" s="55"/>
      <c r="N241" s="55"/>
      <c r="O241" s="55"/>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x14ac:dyDescent="0.25">
      <c r="C242" s="1"/>
      <c r="D242" s="1"/>
      <c r="E242" s="55"/>
      <c r="F242" s="55"/>
      <c r="G242" s="55"/>
      <c r="H242" s="55"/>
      <c r="I242" s="55"/>
      <c r="J242" s="55"/>
      <c r="K242" s="55"/>
      <c r="L242" s="55"/>
      <c r="M242" s="55"/>
      <c r="N242" s="55"/>
      <c r="O242" s="55"/>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x14ac:dyDescent="0.25">
      <c r="C243" s="1"/>
      <c r="D243" s="1"/>
      <c r="E243" s="55"/>
      <c r="F243" s="55"/>
      <c r="G243" s="55"/>
      <c r="H243" s="55"/>
      <c r="I243" s="55"/>
      <c r="J243" s="55"/>
      <c r="K243" s="55"/>
      <c r="L243" s="55"/>
      <c r="M243" s="55"/>
      <c r="N243" s="55"/>
      <c r="O243" s="55"/>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x14ac:dyDescent="0.25">
      <c r="C244" s="1"/>
      <c r="D244" s="1"/>
      <c r="E244" s="55"/>
      <c r="F244" s="55"/>
      <c r="G244" s="55"/>
      <c r="H244" s="55"/>
      <c r="I244" s="55"/>
      <c r="J244" s="55"/>
      <c r="K244" s="55"/>
      <c r="L244" s="55"/>
      <c r="M244" s="55"/>
      <c r="N244" s="55"/>
      <c r="O244" s="55"/>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x14ac:dyDescent="0.25">
      <c r="C245" s="1"/>
      <c r="D245" s="1"/>
      <c r="E245" s="55"/>
      <c r="F245" s="55"/>
      <c r="G245" s="55"/>
      <c r="H245" s="55"/>
      <c r="I245" s="55"/>
      <c r="J245" s="55"/>
      <c r="K245" s="55"/>
      <c r="L245" s="55"/>
      <c r="M245" s="55"/>
      <c r="N245" s="55"/>
      <c r="O245" s="55"/>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x14ac:dyDescent="0.25">
      <c r="C246" s="1"/>
      <c r="D246" s="1"/>
      <c r="E246" s="55"/>
      <c r="F246" s="55"/>
      <c r="G246" s="55"/>
      <c r="H246" s="55"/>
      <c r="I246" s="55"/>
      <c r="J246" s="55"/>
      <c r="K246" s="55"/>
      <c r="L246" s="55"/>
      <c r="M246" s="55"/>
      <c r="N246" s="55"/>
      <c r="O246" s="55"/>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x14ac:dyDescent="0.25">
      <c r="C247" s="1"/>
      <c r="D247" s="1"/>
      <c r="E247" s="55"/>
      <c r="F247" s="55"/>
      <c r="G247" s="55"/>
      <c r="H247" s="55"/>
      <c r="I247" s="55"/>
      <c r="J247" s="55"/>
      <c r="K247" s="55"/>
      <c r="L247" s="55"/>
      <c r="M247" s="55"/>
      <c r="N247" s="55"/>
      <c r="O247" s="55"/>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x14ac:dyDescent="0.25">
      <c r="C248" s="1"/>
      <c r="D248" s="1"/>
      <c r="E248" s="55"/>
      <c r="F248" s="55"/>
      <c r="G248" s="55"/>
      <c r="H248" s="55"/>
      <c r="I248" s="55"/>
      <c r="J248" s="55"/>
      <c r="K248" s="55"/>
      <c r="L248" s="55"/>
      <c r="M248" s="55"/>
      <c r="N248" s="55"/>
      <c r="O248" s="55"/>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x14ac:dyDescent="0.25">
      <c r="C249" s="1"/>
      <c r="D249" s="1"/>
      <c r="E249" s="55"/>
      <c r="F249" s="55"/>
      <c r="G249" s="55"/>
      <c r="H249" s="55"/>
      <c r="I249" s="55"/>
      <c r="J249" s="55"/>
      <c r="K249" s="55"/>
      <c r="L249" s="55"/>
      <c r="M249" s="55"/>
      <c r="N249" s="55"/>
      <c r="O249" s="55"/>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x14ac:dyDescent="0.25">
      <c r="C250" s="1"/>
      <c r="D250" s="1"/>
      <c r="E250" s="55"/>
      <c r="F250" s="55"/>
      <c r="G250" s="55"/>
      <c r="H250" s="55"/>
      <c r="I250" s="55"/>
      <c r="J250" s="55"/>
      <c r="K250" s="55"/>
      <c r="L250" s="55"/>
      <c r="M250" s="55"/>
      <c r="N250" s="55"/>
      <c r="O250" s="55"/>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x14ac:dyDescent="0.25">
      <c r="C251" s="1"/>
      <c r="D251" s="1"/>
      <c r="E251" s="55"/>
      <c r="F251" s="55"/>
      <c r="G251" s="55"/>
      <c r="H251" s="55"/>
      <c r="I251" s="55"/>
      <c r="J251" s="55"/>
      <c r="K251" s="55"/>
      <c r="L251" s="55"/>
      <c r="M251" s="55"/>
      <c r="N251" s="55"/>
      <c r="O251" s="55"/>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x14ac:dyDescent="0.25">
      <c r="C252" s="1"/>
      <c r="D252" s="1"/>
      <c r="E252" s="55"/>
      <c r="F252" s="55"/>
      <c r="G252" s="55"/>
      <c r="H252" s="55"/>
      <c r="I252" s="55"/>
      <c r="J252" s="55"/>
      <c r="K252" s="55"/>
      <c r="L252" s="55"/>
      <c r="M252" s="55"/>
      <c r="N252" s="55"/>
      <c r="O252" s="55"/>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x14ac:dyDescent="0.25">
      <c r="C253" s="1"/>
      <c r="D253" s="1"/>
      <c r="E253" s="55"/>
      <c r="F253" s="55"/>
      <c r="G253" s="55"/>
      <c r="H253" s="55"/>
      <c r="I253" s="55"/>
      <c r="J253" s="55"/>
      <c r="K253" s="55"/>
      <c r="L253" s="55"/>
      <c r="M253" s="55"/>
      <c r="N253" s="55"/>
      <c r="O253" s="55"/>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x14ac:dyDescent="0.25">
      <c r="C254" s="1"/>
      <c r="D254" s="1"/>
      <c r="E254" s="55"/>
      <c r="F254" s="55"/>
      <c r="G254" s="55"/>
      <c r="H254" s="55"/>
      <c r="I254" s="55"/>
      <c r="J254" s="55"/>
      <c r="K254" s="55"/>
      <c r="L254" s="55"/>
      <c r="M254" s="55"/>
      <c r="N254" s="55"/>
      <c r="O254" s="55"/>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x14ac:dyDescent="0.25">
      <c r="C255" s="1"/>
      <c r="D255" s="1"/>
      <c r="E255" s="55"/>
      <c r="F255" s="55"/>
      <c r="G255" s="55"/>
      <c r="H255" s="55"/>
      <c r="I255" s="55"/>
      <c r="J255" s="55"/>
      <c r="K255" s="55"/>
      <c r="L255" s="55"/>
      <c r="M255" s="55"/>
      <c r="N255" s="55"/>
      <c r="O255" s="55"/>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x14ac:dyDescent="0.25">
      <c r="C256" s="1"/>
      <c r="D256" s="1"/>
      <c r="E256" s="55"/>
      <c r="F256" s="55"/>
      <c r="G256" s="55"/>
      <c r="H256" s="55"/>
      <c r="I256" s="55"/>
      <c r="J256" s="55"/>
      <c r="K256" s="55"/>
      <c r="L256" s="55"/>
      <c r="M256" s="55"/>
      <c r="N256" s="55"/>
      <c r="O256" s="55"/>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x14ac:dyDescent="0.25">
      <c r="C257" s="1"/>
      <c r="D257" s="1"/>
      <c r="E257" s="55"/>
      <c r="F257" s="55"/>
      <c r="G257" s="55"/>
      <c r="H257" s="55"/>
      <c r="I257" s="55"/>
      <c r="J257" s="55"/>
      <c r="K257" s="55"/>
      <c r="L257" s="55"/>
      <c r="M257" s="55"/>
      <c r="N257" s="55"/>
      <c r="O257" s="55"/>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x14ac:dyDescent="0.25">
      <c r="C258" s="1"/>
      <c r="D258" s="1"/>
      <c r="E258" s="55"/>
      <c r="F258" s="55"/>
      <c r="G258" s="55"/>
      <c r="H258" s="55"/>
      <c r="I258" s="55"/>
      <c r="J258" s="55"/>
      <c r="K258" s="55"/>
      <c r="L258" s="55"/>
      <c r="M258" s="55"/>
      <c r="N258" s="55"/>
      <c r="O258" s="55"/>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x14ac:dyDescent="0.25">
      <c r="C259" s="1"/>
      <c r="D259" s="1"/>
      <c r="E259" s="55"/>
      <c r="F259" s="55"/>
      <c r="G259" s="55"/>
      <c r="H259" s="55"/>
      <c r="I259" s="55"/>
      <c r="J259" s="55"/>
      <c r="K259" s="55"/>
      <c r="L259" s="55"/>
      <c r="M259" s="55"/>
      <c r="N259" s="55"/>
      <c r="O259" s="55"/>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x14ac:dyDescent="0.25">
      <c r="C260" s="1"/>
      <c r="D260" s="1"/>
      <c r="E260" s="55"/>
      <c r="F260" s="55"/>
      <c r="G260" s="55"/>
      <c r="H260" s="55"/>
      <c r="I260" s="55"/>
      <c r="J260" s="55"/>
      <c r="K260" s="55"/>
      <c r="L260" s="55"/>
      <c r="M260" s="55"/>
      <c r="N260" s="55"/>
      <c r="O260" s="55"/>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x14ac:dyDescent="0.25">
      <c r="C261" s="1"/>
      <c r="D261" s="1"/>
      <c r="E261" s="55"/>
      <c r="F261" s="55"/>
      <c r="G261" s="55"/>
      <c r="H261" s="55"/>
      <c r="I261" s="55"/>
      <c r="J261" s="55"/>
      <c r="K261" s="55"/>
      <c r="L261" s="55"/>
      <c r="M261" s="55"/>
      <c r="N261" s="55"/>
      <c r="O261" s="55"/>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x14ac:dyDescent="0.25">
      <c r="C262" s="1"/>
      <c r="D262" s="1"/>
      <c r="E262" s="55"/>
      <c r="F262" s="55"/>
      <c r="G262" s="55"/>
      <c r="H262" s="55"/>
      <c r="I262" s="55"/>
      <c r="J262" s="55"/>
      <c r="K262" s="55"/>
      <c r="L262" s="55"/>
      <c r="M262" s="55"/>
      <c r="N262" s="55"/>
      <c r="O262" s="55"/>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x14ac:dyDescent="0.25">
      <c r="C263" s="1"/>
      <c r="D263" s="1"/>
      <c r="E263" s="55"/>
      <c r="F263" s="55"/>
      <c r="G263" s="55"/>
      <c r="H263" s="55"/>
      <c r="I263" s="55"/>
      <c r="J263" s="55"/>
      <c r="K263" s="55"/>
      <c r="L263" s="55"/>
      <c r="M263" s="55"/>
      <c r="N263" s="55"/>
      <c r="O263" s="55"/>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x14ac:dyDescent="0.25">
      <c r="C264" s="1"/>
      <c r="D264" s="1"/>
      <c r="E264" s="55"/>
      <c r="F264" s="55"/>
      <c r="G264" s="55"/>
      <c r="H264" s="55"/>
      <c r="I264" s="55"/>
      <c r="J264" s="55"/>
      <c r="K264" s="55"/>
      <c r="L264" s="55"/>
      <c r="M264" s="55"/>
      <c r="N264" s="55"/>
      <c r="O264" s="55"/>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x14ac:dyDescent="0.25">
      <c r="C265" s="1"/>
      <c r="D265" s="1"/>
      <c r="E265" s="55"/>
      <c r="F265" s="55"/>
      <c r="G265" s="55"/>
      <c r="H265" s="55"/>
      <c r="I265" s="55"/>
      <c r="J265" s="55"/>
      <c r="K265" s="55"/>
      <c r="L265" s="55"/>
      <c r="M265" s="55"/>
      <c r="N265" s="55"/>
      <c r="O265" s="55"/>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x14ac:dyDescent="0.25">
      <c r="C266" s="1"/>
      <c r="D266" s="1"/>
      <c r="E266" s="55"/>
      <c r="F266" s="55"/>
      <c r="G266" s="55"/>
      <c r="H266" s="55"/>
      <c r="I266" s="55"/>
      <c r="J266" s="55"/>
      <c r="K266" s="55"/>
      <c r="L266" s="55"/>
      <c r="M266" s="55"/>
      <c r="N266" s="55"/>
      <c r="O266" s="55"/>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x14ac:dyDescent="0.25">
      <c r="C267" s="1"/>
      <c r="D267" s="1"/>
      <c r="E267" s="55"/>
      <c r="F267" s="55"/>
      <c r="G267" s="55"/>
      <c r="H267" s="55"/>
      <c r="I267" s="55"/>
      <c r="J267" s="55"/>
      <c r="K267" s="55"/>
      <c r="L267" s="55"/>
      <c r="M267" s="55"/>
      <c r="N267" s="55"/>
      <c r="O267" s="55"/>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x14ac:dyDescent="0.25">
      <c r="C268" s="1"/>
      <c r="D268" s="1"/>
      <c r="E268" s="55"/>
      <c r="F268" s="55"/>
      <c r="G268" s="55"/>
      <c r="H268" s="55"/>
      <c r="I268" s="55"/>
      <c r="J268" s="55"/>
      <c r="K268" s="55"/>
      <c r="L268" s="55"/>
      <c r="M268" s="55"/>
      <c r="N268" s="55"/>
      <c r="O268" s="55"/>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x14ac:dyDescent="0.25">
      <c r="C269" s="1"/>
      <c r="D269" s="1"/>
      <c r="E269" s="55"/>
      <c r="F269" s="55"/>
      <c r="G269" s="55"/>
      <c r="H269" s="55"/>
      <c r="I269" s="55"/>
      <c r="J269" s="55"/>
      <c r="K269" s="55"/>
      <c r="L269" s="55"/>
      <c r="M269" s="55"/>
      <c r="N269" s="55"/>
      <c r="O269" s="55"/>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x14ac:dyDescent="0.25">
      <c r="C270" s="1"/>
      <c r="D270" s="1"/>
      <c r="E270" s="55"/>
      <c r="F270" s="55"/>
      <c r="G270" s="55"/>
      <c r="H270" s="55"/>
      <c r="I270" s="55"/>
      <c r="J270" s="55"/>
      <c r="K270" s="55"/>
      <c r="L270" s="55"/>
      <c r="M270" s="55"/>
      <c r="N270" s="55"/>
      <c r="O270" s="55"/>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x14ac:dyDescent="0.25">
      <c r="C271" s="1"/>
      <c r="D271" s="1"/>
      <c r="E271" s="55"/>
      <c r="F271" s="55"/>
      <c r="G271" s="55"/>
      <c r="H271" s="55"/>
      <c r="I271" s="55"/>
      <c r="J271" s="55"/>
      <c r="K271" s="55"/>
      <c r="L271" s="55"/>
      <c r="M271" s="55"/>
      <c r="N271" s="55"/>
      <c r="O271" s="55"/>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x14ac:dyDescent="0.25">
      <c r="C272" s="1"/>
      <c r="D272" s="1"/>
      <c r="E272" s="55"/>
      <c r="F272" s="55"/>
      <c r="G272" s="55"/>
      <c r="H272" s="55"/>
      <c r="I272" s="55"/>
      <c r="J272" s="55"/>
      <c r="K272" s="55"/>
      <c r="L272" s="55"/>
      <c r="M272" s="55"/>
      <c r="N272" s="55"/>
      <c r="O272" s="55"/>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x14ac:dyDescent="0.25">
      <c r="C273" s="1"/>
      <c r="D273" s="1"/>
      <c r="E273" s="55"/>
      <c r="F273" s="55"/>
      <c r="G273" s="55"/>
      <c r="H273" s="55"/>
      <c r="I273" s="55"/>
      <c r="J273" s="55"/>
      <c r="K273" s="55"/>
      <c r="L273" s="55"/>
      <c r="M273" s="55"/>
      <c r="N273" s="55"/>
      <c r="O273" s="55"/>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x14ac:dyDescent="0.25">
      <c r="C274" s="1"/>
      <c r="D274" s="1"/>
      <c r="E274" s="55"/>
      <c r="F274" s="55"/>
      <c r="G274" s="55"/>
      <c r="H274" s="55"/>
      <c r="I274" s="55"/>
      <c r="J274" s="55"/>
      <c r="K274" s="55"/>
      <c r="L274" s="55"/>
      <c r="M274" s="55"/>
      <c r="N274" s="55"/>
      <c r="O274" s="55"/>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x14ac:dyDescent="0.25">
      <c r="C275" s="1"/>
      <c r="D275" s="1"/>
      <c r="E275" s="55"/>
      <c r="F275" s="55"/>
      <c r="G275" s="55"/>
      <c r="H275" s="55"/>
      <c r="I275" s="55"/>
      <c r="J275" s="55"/>
      <c r="K275" s="55"/>
      <c r="L275" s="55"/>
      <c r="M275" s="55"/>
      <c r="N275" s="55"/>
      <c r="O275" s="55"/>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x14ac:dyDescent="0.25">
      <c r="C276" s="1"/>
      <c r="D276" s="1"/>
      <c r="E276" s="55"/>
      <c r="F276" s="55"/>
      <c r="G276" s="55"/>
      <c r="H276" s="55"/>
      <c r="I276" s="55"/>
      <c r="J276" s="55"/>
      <c r="K276" s="55"/>
      <c r="L276" s="55"/>
      <c r="M276" s="55"/>
      <c r="N276" s="55"/>
      <c r="O276" s="55"/>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x14ac:dyDescent="0.25">
      <c r="C277" s="1"/>
      <c r="D277" s="1"/>
      <c r="E277" s="55"/>
      <c r="F277" s="55"/>
      <c r="G277" s="55"/>
      <c r="H277" s="55"/>
      <c r="I277" s="55"/>
      <c r="J277" s="55"/>
      <c r="K277" s="55"/>
      <c r="L277" s="55"/>
      <c r="M277" s="55"/>
      <c r="N277" s="55"/>
      <c r="O277" s="55"/>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x14ac:dyDescent="0.25">
      <c r="C278" s="1"/>
      <c r="D278" s="1"/>
      <c r="E278" s="55"/>
      <c r="F278" s="55"/>
      <c r="G278" s="55"/>
      <c r="H278" s="55"/>
      <c r="I278" s="55"/>
      <c r="J278" s="55"/>
      <c r="K278" s="55"/>
      <c r="L278" s="55"/>
      <c r="M278" s="55"/>
      <c r="N278" s="55"/>
      <c r="O278" s="55"/>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x14ac:dyDescent="0.25">
      <c r="C279" s="1"/>
      <c r="D279" s="1"/>
      <c r="E279" s="55"/>
      <c r="F279" s="55"/>
      <c r="G279" s="55"/>
      <c r="H279" s="55"/>
      <c r="I279" s="55"/>
      <c r="J279" s="55"/>
      <c r="K279" s="55"/>
      <c r="L279" s="55"/>
      <c r="M279" s="55"/>
      <c r="N279" s="55"/>
      <c r="O279" s="55"/>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x14ac:dyDescent="0.25">
      <c r="C280" s="1"/>
      <c r="D280" s="1"/>
      <c r="E280" s="55"/>
      <c r="F280" s="55"/>
      <c r="G280" s="55"/>
      <c r="H280" s="55"/>
      <c r="I280" s="55"/>
      <c r="J280" s="55"/>
      <c r="K280" s="55"/>
      <c r="L280" s="55"/>
      <c r="M280" s="55"/>
      <c r="N280" s="55"/>
      <c r="O280" s="55"/>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x14ac:dyDescent="0.25">
      <c r="C281" s="1"/>
      <c r="D281" s="1"/>
      <c r="E281" s="55"/>
      <c r="F281" s="55"/>
      <c r="G281" s="55"/>
      <c r="H281" s="55"/>
      <c r="I281" s="55"/>
      <c r="J281" s="55"/>
      <c r="K281" s="55"/>
      <c r="L281" s="55"/>
      <c r="M281" s="55"/>
      <c r="N281" s="55"/>
      <c r="O281" s="55"/>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x14ac:dyDescent="0.25">
      <c r="C282" s="1"/>
      <c r="D282" s="1"/>
      <c r="E282" s="55"/>
      <c r="F282" s="55"/>
      <c r="G282" s="55"/>
      <c r="H282" s="55"/>
      <c r="I282" s="55"/>
      <c r="J282" s="55"/>
      <c r="K282" s="55"/>
      <c r="L282" s="55"/>
      <c r="M282" s="55"/>
      <c r="N282" s="55"/>
      <c r="O282" s="55"/>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x14ac:dyDescent="0.25">
      <c r="C283" s="1"/>
      <c r="D283" s="1"/>
      <c r="E283" s="55"/>
      <c r="F283" s="55"/>
      <c r="G283" s="55"/>
      <c r="H283" s="55"/>
      <c r="I283" s="55"/>
      <c r="J283" s="55"/>
      <c r="K283" s="55"/>
      <c r="L283" s="55"/>
      <c r="M283" s="55"/>
      <c r="N283" s="55"/>
      <c r="O283" s="55"/>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x14ac:dyDescent="0.25">
      <c r="C284" s="1"/>
      <c r="D284" s="1"/>
      <c r="E284" s="55"/>
      <c r="F284" s="55"/>
      <c r="G284" s="55"/>
      <c r="H284" s="55"/>
      <c r="I284" s="55"/>
      <c r="J284" s="55"/>
      <c r="K284" s="55"/>
      <c r="L284" s="55"/>
      <c r="M284" s="55"/>
      <c r="N284" s="55"/>
      <c r="O284" s="55"/>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x14ac:dyDescent="0.25">
      <c r="C285" s="1"/>
      <c r="D285" s="1"/>
      <c r="E285" s="55"/>
      <c r="F285" s="55"/>
      <c r="G285" s="55"/>
      <c r="H285" s="55"/>
      <c r="I285" s="55"/>
      <c r="J285" s="55"/>
      <c r="K285" s="55"/>
      <c r="L285" s="55"/>
      <c r="M285" s="55"/>
      <c r="N285" s="55"/>
      <c r="O285" s="55"/>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x14ac:dyDescent="0.25">
      <c r="C286" s="1"/>
      <c r="D286" s="1"/>
      <c r="E286" s="55"/>
      <c r="F286" s="55"/>
      <c r="G286" s="55"/>
      <c r="H286" s="55"/>
      <c r="I286" s="55"/>
      <c r="J286" s="55"/>
      <c r="K286" s="55"/>
      <c r="L286" s="55"/>
      <c r="M286" s="55"/>
      <c r="N286" s="55"/>
      <c r="O286" s="55"/>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x14ac:dyDescent="0.25">
      <c r="C287" s="1"/>
      <c r="D287" s="1"/>
      <c r="E287" s="55"/>
      <c r="F287" s="55"/>
      <c r="G287" s="55"/>
      <c r="H287" s="55"/>
      <c r="I287" s="55"/>
      <c r="J287" s="55"/>
      <c r="K287" s="55"/>
      <c r="L287" s="55"/>
      <c r="M287" s="55"/>
      <c r="N287" s="55"/>
      <c r="O287" s="55"/>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x14ac:dyDescent="0.25">
      <c r="C288" s="1"/>
      <c r="D288" s="1"/>
      <c r="E288" s="55"/>
      <c r="F288" s="55"/>
      <c r="G288" s="55"/>
      <c r="H288" s="55"/>
      <c r="I288" s="55"/>
      <c r="J288" s="55"/>
      <c r="K288" s="55"/>
      <c r="L288" s="55"/>
      <c r="M288" s="55"/>
      <c r="N288" s="55"/>
      <c r="O288" s="55"/>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x14ac:dyDescent="0.25">
      <c r="C289" s="1"/>
      <c r="D289" s="1"/>
      <c r="E289" s="55"/>
      <c r="F289" s="55"/>
      <c r="G289" s="55"/>
      <c r="H289" s="55"/>
      <c r="I289" s="55"/>
      <c r="J289" s="55"/>
      <c r="K289" s="55"/>
      <c r="L289" s="55"/>
      <c r="M289" s="55"/>
      <c r="N289" s="55"/>
      <c r="O289" s="55"/>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x14ac:dyDescent="0.25">
      <c r="C290" s="1"/>
      <c r="D290" s="1"/>
      <c r="E290" s="55"/>
      <c r="F290" s="55"/>
      <c r="G290" s="55"/>
      <c r="H290" s="55"/>
      <c r="I290" s="55"/>
      <c r="J290" s="55"/>
      <c r="K290" s="55"/>
      <c r="L290" s="55"/>
      <c r="M290" s="55"/>
      <c r="N290" s="55"/>
      <c r="O290" s="55"/>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x14ac:dyDescent="0.25">
      <c r="C291" s="1"/>
      <c r="D291" s="1"/>
      <c r="E291" s="55"/>
      <c r="F291" s="55"/>
      <c r="G291" s="55"/>
      <c r="H291" s="55"/>
      <c r="I291" s="55"/>
      <c r="J291" s="55"/>
      <c r="K291" s="55"/>
      <c r="L291" s="55"/>
      <c r="M291" s="55"/>
      <c r="N291" s="55"/>
      <c r="O291" s="55"/>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x14ac:dyDescent="0.25">
      <c r="C292" s="1"/>
      <c r="D292" s="1"/>
      <c r="E292" s="55"/>
      <c r="F292" s="55"/>
      <c r="G292" s="55"/>
      <c r="H292" s="55"/>
      <c r="I292" s="55"/>
      <c r="J292" s="55"/>
      <c r="K292" s="55"/>
      <c r="L292" s="55"/>
      <c r="M292" s="55"/>
      <c r="N292" s="55"/>
      <c r="O292" s="55"/>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x14ac:dyDescent="0.25">
      <c r="C293" s="1"/>
      <c r="D293" s="1"/>
      <c r="E293" s="55"/>
      <c r="F293" s="55"/>
      <c r="G293" s="55"/>
      <c r="H293" s="55"/>
      <c r="I293" s="55"/>
      <c r="J293" s="55"/>
      <c r="K293" s="55"/>
      <c r="L293" s="55"/>
      <c r="M293" s="55"/>
      <c r="N293" s="55"/>
      <c r="O293" s="55"/>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x14ac:dyDescent="0.25">
      <c r="C294" s="1"/>
      <c r="D294" s="1"/>
      <c r="E294" s="55"/>
      <c r="F294" s="55"/>
      <c r="G294" s="55"/>
      <c r="H294" s="55"/>
      <c r="I294" s="55"/>
      <c r="J294" s="55"/>
      <c r="K294" s="55"/>
      <c r="L294" s="55"/>
      <c r="M294" s="55"/>
      <c r="N294" s="55"/>
      <c r="O294" s="55"/>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x14ac:dyDescent="0.25">
      <c r="C295" s="1"/>
      <c r="D295" s="1"/>
      <c r="E295" s="55"/>
      <c r="F295" s="55"/>
      <c r="G295" s="55"/>
      <c r="H295" s="55"/>
      <c r="I295" s="55"/>
      <c r="J295" s="55"/>
      <c r="K295" s="55"/>
      <c r="L295" s="55"/>
      <c r="M295" s="55"/>
      <c r="N295" s="55"/>
      <c r="O295" s="55"/>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x14ac:dyDescent="0.25">
      <c r="C296" s="1"/>
      <c r="D296" s="1"/>
      <c r="E296" s="55"/>
      <c r="F296" s="55"/>
      <c r="G296" s="55"/>
      <c r="H296" s="55"/>
      <c r="I296" s="55"/>
      <c r="J296" s="55"/>
      <c r="K296" s="55"/>
      <c r="L296" s="55"/>
      <c r="M296" s="55"/>
      <c r="N296" s="55"/>
      <c r="O296" s="55"/>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x14ac:dyDescent="0.25">
      <c r="C297" s="1"/>
      <c r="D297" s="1"/>
      <c r="E297" s="55"/>
      <c r="F297" s="55"/>
      <c r="G297" s="55"/>
      <c r="H297" s="55"/>
      <c r="I297" s="55"/>
      <c r="J297" s="55"/>
      <c r="K297" s="55"/>
      <c r="L297" s="55"/>
      <c r="M297" s="55"/>
      <c r="N297" s="55"/>
      <c r="O297" s="55"/>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x14ac:dyDescent="0.25">
      <c r="C298" s="1"/>
      <c r="D298" s="1"/>
      <c r="E298" s="55"/>
      <c r="F298" s="55"/>
      <c r="G298" s="55"/>
      <c r="H298" s="55"/>
      <c r="I298" s="55"/>
      <c r="J298" s="55"/>
      <c r="K298" s="55"/>
      <c r="L298" s="55"/>
      <c r="M298" s="55"/>
      <c r="N298" s="55"/>
      <c r="O298" s="55"/>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x14ac:dyDescent="0.25">
      <c r="C299" s="1"/>
      <c r="D299" s="1"/>
      <c r="E299" s="55"/>
      <c r="F299" s="55"/>
      <c r="G299" s="55"/>
      <c r="H299" s="55"/>
      <c r="I299" s="55"/>
      <c r="J299" s="55"/>
      <c r="K299" s="55"/>
      <c r="L299" s="55"/>
      <c r="M299" s="55"/>
      <c r="N299" s="55"/>
      <c r="O299" s="55"/>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x14ac:dyDescent="0.25">
      <c r="C300" s="1"/>
      <c r="D300" s="1"/>
      <c r="E300" s="55"/>
      <c r="F300" s="55"/>
      <c r="G300" s="55"/>
      <c r="H300" s="55"/>
      <c r="I300" s="55"/>
      <c r="J300" s="55"/>
      <c r="K300" s="55"/>
      <c r="L300" s="55"/>
      <c r="M300" s="55"/>
      <c r="N300" s="55"/>
      <c r="O300" s="55"/>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x14ac:dyDescent="0.25">
      <c r="C301" s="1"/>
      <c r="D301" s="1"/>
      <c r="E301" s="55"/>
      <c r="F301" s="55"/>
      <c r="G301" s="55"/>
      <c r="H301" s="55"/>
      <c r="I301" s="55"/>
      <c r="J301" s="55"/>
      <c r="K301" s="55"/>
      <c r="L301" s="55"/>
      <c r="M301" s="55"/>
      <c r="N301" s="55"/>
      <c r="O301" s="55"/>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x14ac:dyDescent="0.25">
      <c r="C302" s="1"/>
      <c r="D302" s="1"/>
      <c r="E302" s="55"/>
      <c r="F302" s="55"/>
      <c r="G302" s="55"/>
      <c r="H302" s="55"/>
      <c r="I302" s="55"/>
      <c r="J302" s="55"/>
      <c r="K302" s="55"/>
      <c r="L302" s="55"/>
      <c r="M302" s="55"/>
      <c r="N302" s="55"/>
      <c r="O302" s="55"/>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x14ac:dyDescent="0.25">
      <c r="C303" s="1"/>
      <c r="D303" s="1"/>
      <c r="E303" s="55"/>
      <c r="F303" s="55"/>
      <c r="G303" s="55"/>
      <c r="H303" s="55"/>
      <c r="I303" s="55"/>
      <c r="J303" s="55"/>
      <c r="K303" s="55"/>
      <c r="L303" s="55"/>
      <c r="M303" s="55"/>
      <c r="N303" s="55"/>
      <c r="O303" s="55"/>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x14ac:dyDescent="0.25">
      <c r="C304" s="1"/>
      <c r="D304" s="1"/>
      <c r="E304" s="55"/>
      <c r="F304" s="55"/>
      <c r="G304" s="55"/>
      <c r="H304" s="55"/>
      <c r="I304" s="55"/>
      <c r="J304" s="55"/>
      <c r="K304" s="55"/>
      <c r="L304" s="55"/>
      <c r="M304" s="55"/>
      <c r="N304" s="55"/>
      <c r="O304" s="55"/>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x14ac:dyDescent="0.25">
      <c r="C305" s="1"/>
      <c r="D305" s="1"/>
      <c r="E305" s="55"/>
      <c r="F305" s="55"/>
      <c r="G305" s="55"/>
      <c r="H305" s="55"/>
      <c r="I305" s="55"/>
      <c r="J305" s="55"/>
      <c r="K305" s="55"/>
      <c r="L305" s="55"/>
      <c r="M305" s="55"/>
      <c r="N305" s="55"/>
      <c r="O305" s="55"/>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x14ac:dyDescent="0.25">
      <c r="C306" s="1"/>
      <c r="D306" s="1"/>
      <c r="E306" s="55"/>
      <c r="F306" s="55"/>
      <c r="G306" s="55"/>
      <c r="H306" s="55"/>
      <c r="I306" s="55"/>
      <c r="J306" s="55"/>
      <c r="K306" s="55"/>
      <c r="L306" s="55"/>
      <c r="M306" s="55"/>
      <c r="N306" s="55"/>
      <c r="O306" s="55"/>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x14ac:dyDescent="0.25">
      <c r="C307" s="1"/>
      <c r="D307" s="1"/>
      <c r="E307" s="55"/>
      <c r="F307" s="55"/>
      <c r="G307" s="55"/>
      <c r="H307" s="55"/>
      <c r="I307" s="55"/>
      <c r="J307" s="55"/>
      <c r="K307" s="55"/>
      <c r="L307" s="55"/>
      <c r="M307" s="55"/>
      <c r="N307" s="55"/>
      <c r="O307" s="55"/>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x14ac:dyDescent="0.25">
      <c r="C308" s="1"/>
      <c r="D308" s="1"/>
      <c r="E308" s="55"/>
      <c r="F308" s="55"/>
      <c r="G308" s="55"/>
      <c r="H308" s="55"/>
      <c r="I308" s="55"/>
      <c r="J308" s="55"/>
      <c r="K308" s="55"/>
      <c r="L308" s="55"/>
      <c r="M308" s="55"/>
      <c r="N308" s="55"/>
      <c r="O308" s="55"/>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x14ac:dyDescent="0.25">
      <c r="C309" s="1"/>
      <c r="D309" s="1"/>
      <c r="E309" s="55"/>
      <c r="F309" s="55"/>
      <c r="G309" s="55"/>
      <c r="H309" s="55"/>
      <c r="I309" s="55"/>
      <c r="J309" s="55"/>
      <c r="K309" s="55"/>
      <c r="L309" s="55"/>
      <c r="M309" s="55"/>
      <c r="N309" s="55"/>
      <c r="O309" s="55"/>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x14ac:dyDescent="0.25">
      <c r="C310" s="1"/>
      <c r="D310" s="1"/>
      <c r="E310" s="55"/>
      <c r="F310" s="55"/>
      <c r="G310" s="55"/>
      <c r="H310" s="55"/>
      <c r="I310" s="55"/>
      <c r="J310" s="55"/>
      <c r="K310" s="55"/>
      <c r="L310" s="55"/>
      <c r="M310" s="55"/>
      <c r="N310" s="55"/>
      <c r="O310" s="55"/>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x14ac:dyDescent="0.25">
      <c r="C311" s="1"/>
      <c r="D311" s="1"/>
      <c r="E311" s="55"/>
      <c r="F311" s="55"/>
      <c r="G311" s="55"/>
      <c r="H311" s="55"/>
      <c r="I311" s="55"/>
      <c r="J311" s="55"/>
      <c r="K311" s="55"/>
      <c r="L311" s="55"/>
      <c r="M311" s="55"/>
      <c r="N311" s="55"/>
      <c r="O311" s="55"/>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x14ac:dyDescent="0.25">
      <c r="C312" s="1"/>
      <c r="D312" s="1"/>
      <c r="E312" s="55"/>
      <c r="F312" s="55"/>
      <c r="G312" s="55"/>
      <c r="H312" s="55"/>
      <c r="I312" s="55"/>
      <c r="J312" s="55"/>
      <c r="K312" s="55"/>
      <c r="L312" s="55"/>
      <c r="M312" s="55"/>
      <c r="N312" s="55"/>
      <c r="O312" s="55"/>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x14ac:dyDescent="0.25">
      <c r="C313" s="1"/>
      <c r="D313" s="1"/>
      <c r="E313" s="55"/>
      <c r="F313" s="55"/>
      <c r="G313" s="55"/>
      <c r="H313" s="55"/>
      <c r="I313" s="55"/>
      <c r="J313" s="55"/>
      <c r="K313" s="55"/>
      <c r="L313" s="55"/>
      <c r="M313" s="55"/>
      <c r="N313" s="55"/>
      <c r="O313" s="55"/>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x14ac:dyDescent="0.25">
      <c r="C314" s="1"/>
      <c r="D314" s="1"/>
      <c r="E314" s="55"/>
      <c r="F314" s="55"/>
      <c r="G314" s="55"/>
      <c r="H314" s="55"/>
      <c r="I314" s="55"/>
      <c r="J314" s="55"/>
      <c r="K314" s="55"/>
      <c r="L314" s="55"/>
      <c r="M314" s="55"/>
      <c r="N314" s="55"/>
      <c r="O314" s="55"/>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x14ac:dyDescent="0.25">
      <c r="C315" s="1"/>
      <c r="D315" s="1"/>
      <c r="E315" s="55"/>
      <c r="F315" s="55"/>
      <c r="G315" s="55"/>
      <c r="H315" s="55"/>
      <c r="I315" s="55"/>
      <c r="J315" s="55"/>
      <c r="K315" s="55"/>
      <c r="L315" s="55"/>
      <c r="M315" s="55"/>
      <c r="N315" s="55"/>
      <c r="O315" s="55"/>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x14ac:dyDescent="0.25">
      <c r="C316" s="1"/>
      <c r="D316" s="1"/>
      <c r="E316" s="55"/>
      <c r="F316" s="55"/>
      <c r="G316" s="55"/>
      <c r="H316" s="55"/>
      <c r="I316" s="55"/>
      <c r="J316" s="55"/>
      <c r="K316" s="55"/>
      <c r="L316" s="55"/>
      <c r="M316" s="55"/>
      <c r="N316" s="55"/>
      <c r="O316" s="55"/>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x14ac:dyDescent="0.25">
      <c r="C317" s="1"/>
      <c r="D317" s="1"/>
      <c r="E317" s="55"/>
      <c r="F317" s="55"/>
      <c r="G317" s="55"/>
      <c r="H317" s="55"/>
      <c r="I317" s="55"/>
      <c r="J317" s="55"/>
      <c r="K317" s="55"/>
      <c r="L317" s="55"/>
      <c r="M317" s="55"/>
      <c r="N317" s="55"/>
      <c r="O317" s="55"/>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x14ac:dyDescent="0.25">
      <c r="C318" s="1"/>
      <c r="D318" s="1"/>
      <c r="E318" s="55"/>
      <c r="F318" s="55"/>
      <c r="G318" s="55"/>
      <c r="H318" s="55"/>
      <c r="I318" s="55"/>
      <c r="J318" s="55"/>
      <c r="K318" s="55"/>
      <c r="L318" s="55"/>
      <c r="M318" s="55"/>
      <c r="N318" s="55"/>
      <c r="O318" s="55"/>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x14ac:dyDescent="0.25">
      <c r="C319" s="1"/>
      <c r="D319" s="1"/>
      <c r="E319" s="55"/>
      <c r="F319" s="55"/>
      <c r="G319" s="55"/>
      <c r="H319" s="55"/>
      <c r="I319" s="55"/>
      <c r="J319" s="55"/>
      <c r="K319" s="55"/>
      <c r="L319" s="55"/>
      <c r="M319" s="55"/>
      <c r="N319" s="55"/>
      <c r="O319" s="55"/>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x14ac:dyDescent="0.25">
      <c r="C320" s="1"/>
      <c r="D320" s="1"/>
      <c r="E320" s="55"/>
      <c r="F320" s="55"/>
      <c r="G320" s="55"/>
      <c r="H320" s="55"/>
      <c r="I320" s="55"/>
      <c r="J320" s="55"/>
      <c r="K320" s="55"/>
      <c r="L320" s="55"/>
      <c r="M320" s="55"/>
      <c r="N320" s="55"/>
      <c r="O320" s="55"/>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x14ac:dyDescent="0.25">
      <c r="C321" s="1"/>
      <c r="D321" s="1"/>
      <c r="E321" s="55"/>
      <c r="F321" s="55"/>
      <c r="G321" s="55"/>
      <c r="H321" s="55"/>
      <c r="I321" s="55"/>
      <c r="J321" s="55"/>
      <c r="K321" s="55"/>
      <c r="L321" s="55"/>
      <c r="M321" s="55"/>
      <c r="N321" s="55"/>
      <c r="O321" s="55"/>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x14ac:dyDescent="0.25">
      <c r="C322" s="1"/>
      <c r="D322" s="1"/>
      <c r="E322" s="55"/>
      <c r="F322" s="55"/>
      <c r="G322" s="55"/>
      <c r="H322" s="55"/>
      <c r="I322" s="55"/>
      <c r="J322" s="55"/>
      <c r="K322" s="55"/>
      <c r="L322" s="55"/>
      <c r="M322" s="55"/>
      <c r="N322" s="55"/>
      <c r="O322" s="55"/>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x14ac:dyDescent="0.25">
      <c r="C323" s="1"/>
      <c r="D323" s="1"/>
      <c r="E323" s="55"/>
      <c r="F323" s="55"/>
      <c r="G323" s="55"/>
      <c r="H323" s="55"/>
      <c r="I323" s="55"/>
      <c r="J323" s="55"/>
      <c r="K323" s="55"/>
      <c r="L323" s="55"/>
      <c r="M323" s="55"/>
      <c r="N323" s="55"/>
      <c r="O323" s="55"/>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x14ac:dyDescent="0.25">
      <c r="C324" s="1"/>
      <c r="D324" s="1"/>
      <c r="E324" s="55"/>
      <c r="F324" s="55"/>
      <c r="G324" s="55"/>
      <c r="H324" s="55"/>
      <c r="I324" s="55"/>
      <c r="J324" s="55"/>
      <c r="K324" s="55"/>
      <c r="L324" s="55"/>
      <c r="M324" s="55"/>
      <c r="N324" s="55"/>
      <c r="O324" s="55"/>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x14ac:dyDescent="0.25">
      <c r="C325" s="1"/>
      <c r="D325" s="1"/>
      <c r="E325" s="55"/>
      <c r="F325" s="55"/>
      <c r="G325" s="55"/>
      <c r="H325" s="55"/>
      <c r="I325" s="55"/>
      <c r="J325" s="55"/>
      <c r="K325" s="55"/>
      <c r="L325" s="55"/>
      <c r="M325" s="55"/>
      <c r="N325" s="55"/>
      <c r="O325" s="55"/>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x14ac:dyDescent="0.25">
      <c r="C326" s="1"/>
      <c r="D326" s="1"/>
      <c r="E326" s="55"/>
      <c r="F326" s="55"/>
      <c r="G326" s="55"/>
      <c r="H326" s="55"/>
      <c r="I326" s="55"/>
      <c r="J326" s="55"/>
      <c r="K326" s="55"/>
      <c r="L326" s="55"/>
      <c r="M326" s="55"/>
      <c r="N326" s="55"/>
      <c r="O326" s="55"/>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x14ac:dyDescent="0.25">
      <c r="C327" s="1"/>
      <c r="D327" s="1"/>
      <c r="E327" s="55"/>
      <c r="F327" s="55"/>
      <c r="G327" s="55"/>
      <c r="H327" s="55"/>
      <c r="I327" s="55"/>
      <c r="J327" s="55"/>
      <c r="K327" s="55"/>
      <c r="L327" s="55"/>
      <c r="M327" s="55"/>
      <c r="N327" s="55"/>
      <c r="O327" s="55"/>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x14ac:dyDescent="0.25">
      <c r="C328" s="1"/>
      <c r="D328" s="1"/>
      <c r="E328" s="55"/>
      <c r="F328" s="55"/>
      <c r="G328" s="55"/>
      <c r="H328" s="55"/>
      <c r="I328" s="55"/>
      <c r="J328" s="55"/>
      <c r="K328" s="55"/>
      <c r="L328" s="55"/>
      <c r="M328" s="55"/>
      <c r="N328" s="55"/>
      <c r="O328" s="55"/>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x14ac:dyDescent="0.25">
      <c r="C329" s="1"/>
      <c r="D329" s="1"/>
      <c r="E329" s="55"/>
      <c r="F329" s="55"/>
      <c r="G329" s="55"/>
      <c r="H329" s="55"/>
      <c r="I329" s="55"/>
      <c r="J329" s="55"/>
      <c r="K329" s="55"/>
      <c r="L329" s="55"/>
      <c r="M329" s="55"/>
      <c r="N329" s="55"/>
      <c r="O329" s="55"/>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x14ac:dyDescent="0.25">
      <c r="C330" s="1"/>
      <c r="D330" s="1"/>
      <c r="E330" s="55"/>
      <c r="F330" s="55"/>
      <c r="G330" s="55"/>
      <c r="H330" s="55"/>
      <c r="I330" s="55"/>
      <c r="J330" s="55"/>
      <c r="K330" s="55"/>
      <c r="L330" s="55"/>
      <c r="M330" s="55"/>
      <c r="N330" s="55"/>
      <c r="O330" s="55"/>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x14ac:dyDescent="0.25">
      <c r="C331" s="1"/>
      <c r="D331" s="1"/>
      <c r="E331" s="55"/>
      <c r="F331" s="55"/>
      <c r="G331" s="55"/>
      <c r="H331" s="55"/>
      <c r="I331" s="55"/>
      <c r="J331" s="55"/>
      <c r="K331" s="55"/>
      <c r="L331" s="55"/>
      <c r="M331" s="55"/>
      <c r="N331" s="55"/>
      <c r="O331" s="55"/>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x14ac:dyDescent="0.25">
      <c r="C332" s="1"/>
      <c r="D332" s="1"/>
      <c r="E332" s="55"/>
      <c r="F332" s="55"/>
      <c r="G332" s="55"/>
      <c r="H332" s="55"/>
      <c r="I332" s="55"/>
      <c r="J332" s="55"/>
      <c r="K332" s="55"/>
      <c r="L332" s="55"/>
      <c r="M332" s="55"/>
      <c r="N332" s="55"/>
      <c r="O332" s="55"/>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x14ac:dyDescent="0.25">
      <c r="C333" s="1"/>
      <c r="D333" s="1"/>
      <c r="E333" s="55"/>
      <c r="F333" s="55"/>
      <c r="G333" s="55"/>
      <c r="H333" s="55"/>
      <c r="I333" s="55"/>
      <c r="J333" s="55"/>
      <c r="K333" s="55"/>
      <c r="L333" s="55"/>
      <c r="M333" s="55"/>
      <c r="N333" s="55"/>
      <c r="O333" s="55"/>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x14ac:dyDescent="0.25">
      <c r="C334" s="1"/>
      <c r="D334" s="1"/>
      <c r="E334" s="55"/>
      <c r="F334" s="55"/>
      <c r="G334" s="55"/>
      <c r="H334" s="55"/>
      <c r="I334" s="55"/>
      <c r="J334" s="55"/>
      <c r="K334" s="55"/>
      <c r="L334" s="55"/>
      <c r="M334" s="55"/>
      <c r="N334" s="55"/>
      <c r="O334" s="55"/>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x14ac:dyDescent="0.25">
      <c r="C335" s="1"/>
      <c r="D335" s="1"/>
      <c r="E335" s="55"/>
      <c r="F335" s="55"/>
      <c r="G335" s="55"/>
      <c r="H335" s="55"/>
      <c r="I335" s="55"/>
      <c r="J335" s="55"/>
      <c r="K335" s="55"/>
      <c r="L335" s="55"/>
      <c r="M335" s="55"/>
      <c r="N335" s="55"/>
      <c r="O335" s="55"/>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x14ac:dyDescent="0.25">
      <c r="C336" s="1"/>
      <c r="D336" s="1"/>
      <c r="E336" s="55"/>
      <c r="F336" s="55"/>
      <c r="G336" s="55"/>
      <c r="H336" s="55"/>
      <c r="I336" s="55"/>
      <c r="J336" s="55"/>
      <c r="K336" s="55"/>
      <c r="L336" s="55"/>
      <c r="M336" s="55"/>
      <c r="N336" s="55"/>
      <c r="O336" s="55"/>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x14ac:dyDescent="0.25">
      <c r="C337" s="1"/>
      <c r="D337" s="1"/>
      <c r="E337" s="55"/>
      <c r="F337" s="55"/>
      <c r="G337" s="55"/>
      <c r="H337" s="55"/>
      <c r="I337" s="55"/>
      <c r="J337" s="55"/>
      <c r="K337" s="55"/>
      <c r="L337" s="55"/>
      <c r="M337" s="55"/>
      <c r="N337" s="55"/>
      <c r="O337" s="55"/>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x14ac:dyDescent="0.25">
      <c r="C338" s="1"/>
      <c r="D338" s="1"/>
      <c r="E338" s="55"/>
      <c r="F338" s="55"/>
      <c r="G338" s="55"/>
      <c r="H338" s="55"/>
      <c r="I338" s="55"/>
      <c r="J338" s="55"/>
      <c r="K338" s="55"/>
      <c r="L338" s="55"/>
      <c r="M338" s="55"/>
      <c r="N338" s="55"/>
      <c r="O338" s="55"/>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x14ac:dyDescent="0.25">
      <c r="C339" s="1"/>
      <c r="D339" s="1"/>
      <c r="E339" s="55"/>
      <c r="F339" s="55"/>
      <c r="G339" s="55"/>
      <c r="H339" s="55"/>
      <c r="I339" s="55"/>
      <c r="J339" s="55"/>
      <c r="K339" s="55"/>
      <c r="L339" s="55"/>
      <c r="M339" s="55"/>
      <c r="N339" s="55"/>
      <c r="O339" s="55"/>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x14ac:dyDescent="0.25">
      <c r="C340" s="1"/>
      <c r="D340" s="1"/>
      <c r="E340" s="55"/>
      <c r="F340" s="55"/>
      <c r="G340" s="55"/>
      <c r="H340" s="55"/>
      <c r="I340" s="55"/>
      <c r="J340" s="55"/>
      <c r="K340" s="55"/>
      <c r="L340" s="55"/>
      <c r="M340" s="55"/>
      <c r="N340" s="55"/>
      <c r="O340" s="55"/>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x14ac:dyDescent="0.25">
      <c r="C341" s="1"/>
      <c r="D341" s="1"/>
      <c r="E341" s="55"/>
      <c r="F341" s="55"/>
      <c r="G341" s="55"/>
      <c r="H341" s="55"/>
      <c r="I341" s="55"/>
      <c r="J341" s="55"/>
      <c r="K341" s="55"/>
      <c r="L341" s="55"/>
      <c r="M341" s="55"/>
      <c r="N341" s="55"/>
      <c r="O341" s="55"/>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x14ac:dyDescent="0.25">
      <c r="C342" s="1"/>
      <c r="D342" s="1"/>
      <c r="E342" s="55"/>
      <c r="F342" s="55"/>
      <c r="G342" s="55"/>
      <c r="H342" s="55"/>
      <c r="I342" s="55"/>
      <c r="J342" s="55"/>
      <c r="K342" s="55"/>
      <c r="L342" s="55"/>
      <c r="M342" s="55"/>
      <c r="N342" s="55"/>
      <c r="O342" s="55"/>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x14ac:dyDescent="0.25">
      <c r="C343" s="1"/>
      <c r="D343" s="1"/>
      <c r="E343" s="55"/>
      <c r="F343" s="55"/>
      <c r="G343" s="55"/>
      <c r="H343" s="55"/>
      <c r="I343" s="55"/>
      <c r="J343" s="55"/>
      <c r="K343" s="55"/>
      <c r="L343" s="55"/>
      <c r="M343" s="55"/>
      <c r="N343" s="55"/>
      <c r="O343" s="55"/>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x14ac:dyDescent="0.25">
      <c r="C344" s="1"/>
      <c r="D344" s="1"/>
      <c r="E344" s="55"/>
      <c r="F344" s="55"/>
      <c r="G344" s="55"/>
      <c r="H344" s="55"/>
      <c r="I344" s="55"/>
      <c r="J344" s="55"/>
      <c r="K344" s="55"/>
      <c r="L344" s="55"/>
      <c r="M344" s="55"/>
      <c r="N344" s="55"/>
      <c r="O344" s="55"/>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x14ac:dyDescent="0.25">
      <c r="C345" s="1"/>
      <c r="D345" s="1"/>
      <c r="E345" s="55"/>
      <c r="F345" s="55"/>
      <c r="G345" s="55"/>
      <c r="H345" s="55"/>
      <c r="I345" s="55"/>
      <c r="J345" s="55"/>
      <c r="K345" s="55"/>
      <c r="L345" s="55"/>
      <c r="M345" s="55"/>
      <c r="N345" s="55"/>
      <c r="O345" s="55"/>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x14ac:dyDescent="0.25">
      <c r="C346" s="1"/>
      <c r="D346" s="1"/>
      <c r="E346" s="55"/>
      <c r="F346" s="55"/>
      <c r="G346" s="55"/>
      <c r="H346" s="55"/>
      <c r="I346" s="55"/>
      <c r="J346" s="55"/>
      <c r="K346" s="55"/>
      <c r="L346" s="55"/>
      <c r="M346" s="55"/>
      <c r="N346" s="55"/>
      <c r="O346" s="55"/>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x14ac:dyDescent="0.25">
      <c r="C347" s="1"/>
      <c r="D347" s="1"/>
      <c r="E347" s="55"/>
      <c r="F347" s="55"/>
      <c r="G347" s="55"/>
      <c r="H347" s="55"/>
      <c r="I347" s="55"/>
      <c r="J347" s="55"/>
      <c r="K347" s="55"/>
      <c r="L347" s="55"/>
      <c r="M347" s="55"/>
      <c r="N347" s="55"/>
      <c r="O347" s="55"/>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x14ac:dyDescent="0.25">
      <c r="C348" s="1"/>
      <c r="D348" s="1"/>
      <c r="E348" s="55"/>
      <c r="F348" s="55"/>
      <c r="G348" s="55"/>
      <c r="H348" s="55"/>
      <c r="I348" s="55"/>
      <c r="J348" s="55"/>
      <c r="K348" s="55"/>
      <c r="L348" s="55"/>
      <c r="M348" s="55"/>
      <c r="N348" s="55"/>
      <c r="O348" s="55"/>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x14ac:dyDescent="0.25">
      <c r="C349" s="1"/>
      <c r="D349" s="1"/>
      <c r="E349" s="55"/>
      <c r="F349" s="55"/>
      <c r="G349" s="55"/>
      <c r="H349" s="55"/>
      <c r="I349" s="55"/>
      <c r="J349" s="55"/>
      <c r="K349" s="55"/>
      <c r="L349" s="55"/>
      <c r="M349" s="55"/>
      <c r="N349" s="55"/>
      <c r="O349" s="55"/>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x14ac:dyDescent="0.25">
      <c r="C350" s="1"/>
      <c r="D350" s="1"/>
      <c r="E350" s="55"/>
      <c r="F350" s="55"/>
      <c r="G350" s="55"/>
      <c r="H350" s="55"/>
      <c r="I350" s="55"/>
      <c r="J350" s="55"/>
      <c r="K350" s="55"/>
      <c r="L350" s="55"/>
      <c r="M350" s="55"/>
      <c r="N350" s="55"/>
      <c r="O350" s="55"/>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x14ac:dyDescent="0.25">
      <c r="C351" s="1"/>
      <c r="D351" s="1"/>
      <c r="E351" s="55"/>
      <c r="F351" s="55"/>
      <c r="G351" s="55"/>
      <c r="H351" s="55"/>
      <c r="I351" s="55"/>
      <c r="J351" s="55"/>
      <c r="K351" s="55"/>
      <c r="L351" s="55"/>
      <c r="M351" s="55"/>
      <c r="N351" s="55"/>
      <c r="O351" s="55"/>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x14ac:dyDescent="0.25">
      <c r="C352" s="1"/>
      <c r="D352" s="1"/>
      <c r="E352" s="55"/>
      <c r="F352" s="55"/>
      <c r="G352" s="55"/>
      <c r="H352" s="55"/>
      <c r="I352" s="55"/>
      <c r="J352" s="55"/>
      <c r="K352" s="55"/>
      <c r="L352" s="55"/>
      <c r="M352" s="55"/>
      <c r="N352" s="55"/>
      <c r="O352" s="55"/>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x14ac:dyDescent="0.25">
      <c r="C353" s="1"/>
      <c r="D353" s="1"/>
      <c r="E353" s="55"/>
      <c r="F353" s="55"/>
      <c r="G353" s="55"/>
      <c r="H353" s="55"/>
      <c r="I353" s="55"/>
      <c r="J353" s="55"/>
      <c r="K353" s="55"/>
      <c r="L353" s="55"/>
      <c r="M353" s="55"/>
      <c r="N353" s="55"/>
      <c r="O353" s="55"/>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x14ac:dyDescent="0.25">
      <c r="C354" s="1"/>
      <c r="D354" s="1"/>
      <c r="E354" s="55"/>
      <c r="F354" s="55"/>
      <c r="G354" s="55"/>
      <c r="H354" s="55"/>
      <c r="I354" s="55"/>
      <c r="J354" s="55"/>
      <c r="K354" s="55"/>
      <c r="L354" s="55"/>
      <c r="M354" s="55"/>
      <c r="N354" s="55"/>
      <c r="O354" s="55"/>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x14ac:dyDescent="0.25">
      <c r="C355" s="1"/>
      <c r="D355" s="1"/>
      <c r="E355" s="55"/>
      <c r="F355" s="55"/>
      <c r="G355" s="55"/>
      <c r="H355" s="55"/>
      <c r="I355" s="55"/>
      <c r="J355" s="55"/>
      <c r="K355" s="55"/>
      <c r="L355" s="55"/>
      <c r="M355" s="55"/>
      <c r="N355" s="55"/>
      <c r="O355" s="55"/>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x14ac:dyDescent="0.25">
      <c r="C356" s="1"/>
      <c r="D356" s="1"/>
      <c r="E356" s="55"/>
      <c r="F356" s="55"/>
      <c r="G356" s="55"/>
      <c r="H356" s="55"/>
      <c r="I356" s="55"/>
      <c r="J356" s="55"/>
      <c r="K356" s="55"/>
      <c r="L356" s="55"/>
      <c r="M356" s="55"/>
      <c r="N356" s="55"/>
      <c r="O356" s="55"/>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x14ac:dyDescent="0.25">
      <c r="C357" s="1"/>
      <c r="D357" s="1"/>
      <c r="E357" s="55"/>
      <c r="F357" s="55"/>
      <c r="G357" s="55"/>
      <c r="H357" s="55"/>
      <c r="I357" s="55"/>
      <c r="J357" s="55"/>
      <c r="K357" s="55"/>
      <c r="L357" s="55"/>
      <c r="M357" s="55"/>
      <c r="N357" s="55"/>
      <c r="O357" s="55"/>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x14ac:dyDescent="0.25">
      <c r="C358" s="1"/>
      <c r="D358" s="1"/>
      <c r="E358" s="55"/>
      <c r="F358" s="55"/>
      <c r="G358" s="55"/>
      <c r="H358" s="55"/>
      <c r="I358" s="55"/>
      <c r="J358" s="55"/>
      <c r="K358" s="55"/>
      <c r="L358" s="55"/>
      <c r="M358" s="55"/>
      <c r="N358" s="55"/>
      <c r="O358" s="55"/>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x14ac:dyDescent="0.25">
      <c r="C359" s="1"/>
      <c r="D359" s="1"/>
      <c r="E359" s="55"/>
      <c r="F359" s="55"/>
      <c r="G359" s="55"/>
      <c r="H359" s="55"/>
      <c r="I359" s="55"/>
      <c r="J359" s="55"/>
      <c r="K359" s="55"/>
      <c r="L359" s="55"/>
      <c r="M359" s="55"/>
      <c r="N359" s="55"/>
      <c r="O359" s="55"/>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x14ac:dyDescent="0.25">
      <c r="C360" s="1"/>
      <c r="D360" s="1"/>
      <c r="E360" s="55"/>
      <c r="F360" s="55"/>
      <c r="G360" s="55"/>
      <c r="H360" s="55"/>
      <c r="I360" s="55"/>
      <c r="J360" s="55"/>
      <c r="K360" s="55"/>
      <c r="L360" s="55"/>
      <c r="M360" s="55"/>
      <c r="N360" s="55"/>
      <c r="O360" s="55"/>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x14ac:dyDescent="0.25">
      <c r="C361" s="1"/>
      <c r="D361" s="1"/>
      <c r="E361" s="55"/>
      <c r="F361" s="55"/>
      <c r="G361" s="55"/>
      <c r="H361" s="55"/>
      <c r="I361" s="55"/>
      <c r="J361" s="55"/>
      <c r="K361" s="55"/>
      <c r="L361" s="55"/>
      <c r="M361" s="55"/>
      <c r="N361" s="55"/>
      <c r="O361" s="55"/>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x14ac:dyDescent="0.25">
      <c r="C362" s="1"/>
      <c r="D362" s="1"/>
      <c r="E362" s="55"/>
      <c r="F362" s="55"/>
      <c r="G362" s="55"/>
      <c r="H362" s="55"/>
      <c r="I362" s="55"/>
      <c r="J362" s="55"/>
      <c r="K362" s="55"/>
      <c r="L362" s="55"/>
      <c r="M362" s="55"/>
      <c r="N362" s="55"/>
      <c r="O362" s="55"/>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x14ac:dyDescent="0.25">
      <c r="C363" s="1"/>
      <c r="D363" s="1"/>
      <c r="E363" s="55"/>
      <c r="F363" s="55"/>
      <c r="G363" s="55"/>
      <c r="H363" s="55"/>
      <c r="I363" s="55"/>
      <c r="J363" s="55"/>
      <c r="K363" s="55"/>
      <c r="L363" s="55"/>
      <c r="M363" s="55"/>
      <c r="N363" s="55"/>
      <c r="O363" s="55"/>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x14ac:dyDescent="0.25">
      <c r="C364" s="1"/>
      <c r="D364" s="1"/>
      <c r="E364" s="55"/>
      <c r="F364" s="55"/>
      <c r="G364" s="55"/>
      <c r="H364" s="55"/>
      <c r="I364" s="55"/>
      <c r="J364" s="55"/>
      <c r="K364" s="55"/>
      <c r="L364" s="55"/>
      <c r="M364" s="55"/>
      <c r="N364" s="55"/>
      <c r="O364" s="55"/>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x14ac:dyDescent="0.25">
      <c r="C365" s="1"/>
      <c r="D365" s="1"/>
      <c r="E365" s="55"/>
      <c r="F365" s="55"/>
      <c r="G365" s="55"/>
      <c r="H365" s="55"/>
      <c r="I365" s="55"/>
      <c r="J365" s="55"/>
      <c r="K365" s="55"/>
      <c r="L365" s="55"/>
      <c r="M365" s="55"/>
      <c r="N365" s="55"/>
      <c r="O365" s="55"/>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x14ac:dyDescent="0.25">
      <c r="C366" s="1"/>
      <c r="D366" s="1"/>
      <c r="E366" s="55"/>
      <c r="F366" s="55"/>
      <c r="G366" s="55"/>
      <c r="H366" s="55"/>
      <c r="I366" s="55"/>
      <c r="J366" s="55"/>
      <c r="K366" s="55"/>
      <c r="L366" s="55"/>
      <c r="M366" s="55"/>
      <c r="N366" s="55"/>
      <c r="O366" s="55"/>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x14ac:dyDescent="0.25">
      <c r="C367" s="1"/>
      <c r="D367" s="1"/>
      <c r="E367" s="55"/>
      <c r="F367" s="55"/>
      <c r="G367" s="55"/>
      <c r="H367" s="55"/>
      <c r="I367" s="55"/>
      <c r="J367" s="55"/>
      <c r="K367" s="55"/>
      <c r="L367" s="55"/>
      <c r="M367" s="55"/>
      <c r="N367" s="55"/>
      <c r="O367" s="55"/>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x14ac:dyDescent="0.25">
      <c r="C368" s="1"/>
      <c r="D368" s="1"/>
      <c r="E368" s="55"/>
      <c r="F368" s="55"/>
      <c r="G368" s="55"/>
      <c r="H368" s="55"/>
      <c r="I368" s="55"/>
      <c r="J368" s="55"/>
      <c r="K368" s="55"/>
      <c r="L368" s="55"/>
      <c r="M368" s="55"/>
      <c r="N368" s="55"/>
      <c r="O368" s="55"/>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x14ac:dyDescent="0.25">
      <c r="C369" s="1"/>
      <c r="D369" s="1"/>
      <c r="E369" s="55"/>
      <c r="F369" s="55"/>
      <c r="G369" s="55"/>
      <c r="H369" s="55"/>
      <c r="I369" s="55"/>
      <c r="J369" s="55"/>
      <c r="K369" s="55"/>
      <c r="L369" s="55"/>
      <c r="M369" s="55"/>
      <c r="N369" s="55"/>
      <c r="O369" s="55"/>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x14ac:dyDescent="0.25">
      <c r="C370" s="1"/>
      <c r="D370" s="1"/>
      <c r="E370" s="55"/>
      <c r="F370" s="55"/>
      <c r="G370" s="55"/>
      <c r="H370" s="55"/>
      <c r="I370" s="55"/>
      <c r="J370" s="55"/>
      <c r="K370" s="55"/>
      <c r="L370" s="55"/>
      <c r="M370" s="55"/>
      <c r="N370" s="55"/>
      <c r="O370" s="55"/>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x14ac:dyDescent="0.25">
      <c r="C371" s="1"/>
      <c r="D371" s="1"/>
      <c r="E371" s="55"/>
      <c r="F371" s="55"/>
      <c r="G371" s="55"/>
      <c r="H371" s="55"/>
      <c r="I371" s="55"/>
      <c r="J371" s="55"/>
      <c r="K371" s="55"/>
      <c r="L371" s="55"/>
      <c r="M371" s="55"/>
      <c r="N371" s="55"/>
      <c r="O371" s="55"/>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x14ac:dyDescent="0.25">
      <c r="C372" s="1"/>
      <c r="D372" s="1"/>
      <c r="E372" s="55"/>
      <c r="F372" s="55"/>
      <c r="G372" s="55"/>
      <c r="H372" s="55"/>
      <c r="I372" s="55"/>
      <c r="J372" s="55"/>
      <c r="K372" s="55"/>
      <c r="L372" s="55"/>
      <c r="M372" s="55"/>
      <c r="N372" s="55"/>
      <c r="O372" s="55"/>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x14ac:dyDescent="0.25">
      <c r="C373" s="1"/>
      <c r="D373" s="1"/>
      <c r="E373" s="55"/>
      <c r="F373" s="55"/>
      <c r="G373" s="55"/>
      <c r="H373" s="55"/>
      <c r="I373" s="55"/>
      <c r="J373" s="55"/>
      <c r="K373" s="55"/>
      <c r="L373" s="55"/>
      <c r="M373" s="55"/>
      <c r="N373" s="55"/>
      <c r="O373" s="55"/>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x14ac:dyDescent="0.25">
      <c r="C374" s="1"/>
      <c r="D374" s="1"/>
      <c r="E374" s="55"/>
      <c r="F374" s="55"/>
      <c r="G374" s="55"/>
      <c r="H374" s="55"/>
      <c r="I374" s="55"/>
      <c r="J374" s="55"/>
      <c r="K374" s="55"/>
      <c r="L374" s="55"/>
      <c r="M374" s="55"/>
      <c r="N374" s="55"/>
      <c r="O374" s="55"/>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x14ac:dyDescent="0.25">
      <c r="C375" s="1"/>
      <c r="D375" s="1"/>
      <c r="E375" s="55"/>
      <c r="F375" s="55"/>
      <c r="G375" s="55"/>
      <c r="H375" s="55"/>
      <c r="I375" s="55"/>
      <c r="J375" s="55"/>
      <c r="K375" s="55"/>
      <c r="L375" s="55"/>
      <c r="M375" s="55"/>
      <c r="N375" s="55"/>
      <c r="O375" s="55"/>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x14ac:dyDescent="0.25">
      <c r="C376" s="1"/>
      <c r="D376" s="1"/>
      <c r="E376" s="55"/>
      <c r="F376" s="55"/>
      <c r="G376" s="55"/>
      <c r="H376" s="55"/>
      <c r="I376" s="55"/>
      <c r="J376" s="55"/>
      <c r="K376" s="55"/>
      <c r="L376" s="55"/>
      <c r="M376" s="55"/>
      <c r="N376" s="55"/>
      <c r="O376" s="55"/>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x14ac:dyDescent="0.25">
      <c r="C377" s="1"/>
      <c r="D377" s="1"/>
      <c r="E377" s="55"/>
      <c r="F377" s="55"/>
      <c r="G377" s="55"/>
      <c r="H377" s="55"/>
      <c r="I377" s="55"/>
      <c r="J377" s="55"/>
      <c r="K377" s="55"/>
      <c r="L377" s="55"/>
      <c r="M377" s="55"/>
      <c r="N377" s="55"/>
      <c r="O377" s="55"/>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x14ac:dyDescent="0.25">
      <c r="C378" s="1"/>
      <c r="D378" s="1"/>
      <c r="E378" s="55"/>
      <c r="F378" s="55"/>
      <c r="G378" s="55"/>
      <c r="H378" s="55"/>
      <c r="I378" s="55"/>
      <c r="J378" s="55"/>
      <c r="K378" s="55"/>
      <c r="L378" s="55"/>
      <c r="M378" s="55"/>
      <c r="N378" s="55"/>
      <c r="O378" s="55"/>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x14ac:dyDescent="0.25">
      <c r="C379" s="1"/>
      <c r="D379" s="1"/>
      <c r="E379" s="55"/>
      <c r="F379" s="55"/>
      <c r="G379" s="55"/>
      <c r="H379" s="55"/>
      <c r="I379" s="55"/>
      <c r="J379" s="55"/>
      <c r="K379" s="55"/>
      <c r="L379" s="55"/>
      <c r="M379" s="55"/>
      <c r="N379" s="55"/>
      <c r="O379" s="55"/>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x14ac:dyDescent="0.25">
      <c r="C380" s="1"/>
      <c r="D380" s="1"/>
      <c r="E380" s="55"/>
      <c r="F380" s="55"/>
      <c r="G380" s="55"/>
      <c r="H380" s="55"/>
      <c r="I380" s="55"/>
      <c r="J380" s="55"/>
      <c r="K380" s="55"/>
      <c r="L380" s="55"/>
      <c r="M380" s="55"/>
      <c r="N380" s="55"/>
      <c r="O380" s="55"/>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x14ac:dyDescent="0.25">
      <c r="C381" s="1"/>
      <c r="D381" s="1"/>
      <c r="E381" s="55"/>
      <c r="F381" s="55"/>
      <c r="G381" s="55"/>
      <c r="H381" s="55"/>
      <c r="I381" s="55"/>
      <c r="J381" s="55"/>
      <c r="K381" s="55"/>
      <c r="L381" s="55"/>
      <c r="M381" s="55"/>
      <c r="N381" s="55"/>
      <c r="O381" s="55"/>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x14ac:dyDescent="0.25">
      <c r="C382" s="1"/>
      <c r="D382" s="1"/>
      <c r="E382" s="55"/>
      <c r="F382" s="55"/>
      <c r="G382" s="55"/>
      <c r="H382" s="55"/>
      <c r="I382" s="55"/>
      <c r="J382" s="55"/>
      <c r="K382" s="55"/>
      <c r="L382" s="55"/>
      <c r="M382" s="55"/>
      <c r="N382" s="55"/>
      <c r="O382" s="55"/>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x14ac:dyDescent="0.25">
      <c r="C383" s="1"/>
      <c r="D383" s="1"/>
      <c r="E383" s="55"/>
      <c r="F383" s="55"/>
      <c r="G383" s="55"/>
      <c r="H383" s="55"/>
      <c r="I383" s="55"/>
      <c r="J383" s="55"/>
      <c r="K383" s="55"/>
      <c r="L383" s="55"/>
      <c r="M383" s="55"/>
      <c r="N383" s="55"/>
      <c r="O383" s="55"/>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x14ac:dyDescent="0.25">
      <c r="C384" s="1"/>
      <c r="D384" s="1"/>
      <c r="E384" s="55"/>
      <c r="F384" s="55"/>
      <c r="G384" s="55"/>
      <c r="H384" s="55"/>
      <c r="I384" s="55"/>
      <c r="J384" s="55"/>
      <c r="K384" s="55"/>
      <c r="L384" s="55"/>
      <c r="M384" s="55"/>
      <c r="N384" s="55"/>
      <c r="O384" s="55"/>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x14ac:dyDescent="0.25">
      <c r="C385" s="1"/>
      <c r="D385" s="1"/>
      <c r="E385" s="55"/>
      <c r="F385" s="55"/>
      <c r="G385" s="55"/>
      <c r="H385" s="55"/>
      <c r="I385" s="55"/>
      <c r="J385" s="55"/>
      <c r="K385" s="55"/>
      <c r="L385" s="55"/>
      <c r="M385" s="55"/>
      <c r="N385" s="55"/>
      <c r="O385" s="55"/>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x14ac:dyDescent="0.25">
      <c r="C386" s="1"/>
      <c r="D386" s="1"/>
      <c r="E386" s="55"/>
      <c r="F386" s="55"/>
      <c r="G386" s="55"/>
      <c r="H386" s="55"/>
      <c r="I386" s="55"/>
      <c r="J386" s="55"/>
      <c r="K386" s="55"/>
      <c r="L386" s="55"/>
      <c r="M386" s="55"/>
      <c r="N386" s="55"/>
      <c r="O386" s="55"/>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x14ac:dyDescent="0.25">
      <c r="C387" s="1"/>
      <c r="D387" s="1"/>
      <c r="E387" s="55"/>
      <c r="F387" s="55"/>
      <c r="G387" s="55"/>
      <c r="H387" s="55"/>
      <c r="I387" s="55"/>
      <c r="J387" s="55"/>
      <c r="K387" s="55"/>
      <c r="L387" s="55"/>
      <c r="M387" s="55"/>
      <c r="N387" s="55"/>
      <c r="O387" s="55"/>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x14ac:dyDescent="0.25">
      <c r="C388" s="1"/>
      <c r="D388" s="1"/>
      <c r="E388" s="55"/>
      <c r="F388" s="55"/>
      <c r="G388" s="55"/>
      <c r="H388" s="55"/>
      <c r="I388" s="55"/>
      <c r="J388" s="55"/>
      <c r="K388" s="55"/>
      <c r="L388" s="55"/>
      <c r="M388" s="55"/>
      <c r="N388" s="55"/>
      <c r="O388" s="55"/>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x14ac:dyDescent="0.25">
      <c r="C389" s="1"/>
      <c r="D389" s="1"/>
      <c r="E389" s="55"/>
      <c r="F389" s="55"/>
      <c r="G389" s="55"/>
      <c r="H389" s="55"/>
      <c r="I389" s="55"/>
      <c r="J389" s="55"/>
      <c r="K389" s="55"/>
      <c r="L389" s="55"/>
      <c r="M389" s="55"/>
      <c r="N389" s="55"/>
      <c r="O389" s="55"/>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x14ac:dyDescent="0.25">
      <c r="C390" s="1"/>
      <c r="D390" s="1"/>
      <c r="E390" s="55"/>
      <c r="F390" s="55"/>
      <c r="G390" s="55"/>
      <c r="H390" s="55"/>
      <c r="I390" s="55"/>
      <c r="J390" s="55"/>
      <c r="K390" s="55"/>
      <c r="L390" s="55"/>
      <c r="M390" s="55"/>
      <c r="N390" s="55"/>
      <c r="O390" s="55"/>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x14ac:dyDescent="0.25">
      <c r="C391" s="1"/>
      <c r="D391" s="1"/>
      <c r="E391" s="55"/>
      <c r="F391" s="55"/>
      <c r="G391" s="55"/>
      <c r="H391" s="55"/>
      <c r="I391" s="55"/>
      <c r="J391" s="55"/>
      <c r="K391" s="55"/>
      <c r="L391" s="55"/>
      <c r="M391" s="55"/>
      <c r="N391" s="55"/>
      <c r="O391" s="55"/>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x14ac:dyDescent="0.25">
      <c r="C392" s="1"/>
      <c r="D392" s="1"/>
      <c r="E392" s="55"/>
      <c r="F392" s="55"/>
      <c r="G392" s="55"/>
      <c r="H392" s="55"/>
      <c r="I392" s="55"/>
      <c r="J392" s="55"/>
      <c r="K392" s="55"/>
      <c r="L392" s="55"/>
      <c r="M392" s="55"/>
      <c r="N392" s="55"/>
      <c r="O392" s="55"/>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x14ac:dyDescent="0.25">
      <c r="C393" s="1"/>
      <c r="D393" s="1"/>
      <c r="E393" s="55"/>
      <c r="F393" s="55"/>
      <c r="G393" s="55"/>
      <c r="H393" s="55"/>
      <c r="I393" s="55"/>
      <c r="J393" s="55"/>
      <c r="K393" s="55"/>
      <c r="L393" s="55"/>
      <c r="M393" s="55"/>
      <c r="N393" s="55"/>
      <c r="O393" s="55"/>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x14ac:dyDescent="0.25">
      <c r="C394" s="1"/>
      <c r="D394" s="1"/>
      <c r="E394" s="55"/>
      <c r="F394" s="55"/>
      <c r="G394" s="55"/>
      <c r="H394" s="55"/>
      <c r="I394" s="55"/>
      <c r="J394" s="55"/>
      <c r="K394" s="55"/>
      <c r="L394" s="55"/>
      <c r="M394" s="55"/>
      <c r="N394" s="55"/>
      <c r="O394" s="55"/>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x14ac:dyDescent="0.25">
      <c r="C395" s="1"/>
      <c r="D395" s="1"/>
      <c r="E395" s="55"/>
      <c r="F395" s="55"/>
      <c r="G395" s="55"/>
      <c r="H395" s="55"/>
      <c r="I395" s="55"/>
      <c r="J395" s="55"/>
      <c r="K395" s="55"/>
      <c r="L395" s="55"/>
      <c r="M395" s="55"/>
      <c r="N395" s="55"/>
      <c r="O395" s="55"/>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x14ac:dyDescent="0.25">
      <c r="C396" s="1"/>
      <c r="D396" s="1"/>
      <c r="E396" s="55"/>
      <c r="F396" s="55"/>
      <c r="G396" s="55"/>
      <c r="H396" s="55"/>
      <c r="I396" s="55"/>
      <c r="J396" s="55"/>
      <c r="K396" s="55"/>
      <c r="L396" s="55"/>
      <c r="M396" s="55"/>
      <c r="N396" s="55"/>
      <c r="O396" s="55"/>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x14ac:dyDescent="0.25">
      <c r="C397" s="1"/>
      <c r="D397" s="1"/>
      <c r="E397" s="55"/>
      <c r="F397" s="55"/>
      <c r="G397" s="55"/>
      <c r="H397" s="55"/>
      <c r="I397" s="55"/>
      <c r="J397" s="55"/>
      <c r="K397" s="55"/>
      <c r="L397" s="55"/>
      <c r="M397" s="55"/>
      <c r="N397" s="55"/>
      <c r="O397" s="55"/>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x14ac:dyDescent="0.25">
      <c r="C398" s="1"/>
      <c r="D398" s="1"/>
      <c r="E398" s="55"/>
      <c r="F398" s="55"/>
      <c r="G398" s="55"/>
      <c r="H398" s="55"/>
      <c r="I398" s="55"/>
      <c r="J398" s="55"/>
      <c r="K398" s="55"/>
      <c r="L398" s="55"/>
      <c r="M398" s="55"/>
      <c r="N398" s="55"/>
      <c r="O398" s="55"/>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x14ac:dyDescent="0.25">
      <c r="C399" s="1"/>
      <c r="D399" s="1"/>
      <c r="E399" s="55"/>
      <c r="F399" s="55"/>
      <c r="G399" s="55"/>
      <c r="H399" s="55"/>
      <c r="I399" s="55"/>
      <c r="J399" s="55"/>
      <c r="K399" s="55"/>
      <c r="L399" s="55"/>
      <c r="M399" s="55"/>
      <c r="N399" s="55"/>
      <c r="O399" s="55"/>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x14ac:dyDescent="0.25">
      <c r="C400" s="1"/>
      <c r="D400" s="1"/>
      <c r="E400" s="55"/>
      <c r="F400" s="55"/>
      <c r="G400" s="55"/>
      <c r="H400" s="55"/>
      <c r="I400" s="55"/>
      <c r="J400" s="55"/>
      <c r="K400" s="55"/>
      <c r="L400" s="55"/>
      <c r="M400" s="55"/>
      <c r="N400" s="55"/>
      <c r="O400" s="55"/>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x14ac:dyDescent="0.25">
      <c r="C401" s="1"/>
      <c r="D401" s="1"/>
      <c r="E401" s="55"/>
      <c r="F401" s="55"/>
      <c r="G401" s="55"/>
      <c r="H401" s="55"/>
      <c r="I401" s="55"/>
      <c r="J401" s="55"/>
      <c r="K401" s="55"/>
      <c r="L401" s="55"/>
      <c r="M401" s="55"/>
      <c r="N401" s="55"/>
      <c r="O401" s="55"/>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x14ac:dyDescent="0.25">
      <c r="C402" s="1"/>
      <c r="D402" s="1"/>
      <c r="E402" s="55"/>
      <c r="F402" s="55"/>
      <c r="G402" s="55"/>
      <c r="H402" s="55"/>
      <c r="I402" s="55"/>
      <c r="J402" s="55"/>
      <c r="K402" s="55"/>
      <c r="L402" s="55"/>
      <c r="M402" s="55"/>
      <c r="N402" s="55"/>
      <c r="O402" s="55"/>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x14ac:dyDescent="0.25">
      <c r="C403" s="1"/>
      <c r="D403" s="1"/>
      <c r="E403" s="55"/>
      <c r="F403" s="55"/>
      <c r="G403" s="55"/>
      <c r="H403" s="55"/>
      <c r="I403" s="55"/>
      <c r="J403" s="55"/>
      <c r="K403" s="55"/>
      <c r="L403" s="55"/>
      <c r="M403" s="55"/>
      <c r="N403" s="55"/>
      <c r="O403" s="55"/>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x14ac:dyDescent="0.25">
      <c r="C404" s="1"/>
      <c r="D404" s="1"/>
      <c r="E404" s="55"/>
      <c r="F404" s="55"/>
      <c r="G404" s="55"/>
      <c r="H404" s="55"/>
      <c r="I404" s="55"/>
      <c r="J404" s="55"/>
      <c r="K404" s="55"/>
      <c r="L404" s="55"/>
      <c r="M404" s="55"/>
      <c r="N404" s="55"/>
      <c r="O404" s="55"/>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x14ac:dyDescent="0.25">
      <c r="C405" s="1"/>
      <c r="D405" s="1"/>
      <c r="E405" s="55"/>
      <c r="F405" s="55"/>
      <c r="G405" s="55"/>
      <c r="H405" s="55"/>
      <c r="I405" s="55"/>
      <c r="J405" s="55"/>
      <c r="K405" s="55"/>
      <c r="L405" s="55"/>
      <c r="M405" s="55"/>
      <c r="N405" s="55"/>
      <c r="O405" s="55"/>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x14ac:dyDescent="0.25">
      <c r="C406" s="1"/>
      <c r="D406" s="1"/>
      <c r="E406" s="55"/>
      <c r="F406" s="55"/>
      <c r="G406" s="55"/>
      <c r="H406" s="55"/>
      <c r="I406" s="55"/>
      <c r="J406" s="55"/>
      <c r="K406" s="55"/>
      <c r="L406" s="55"/>
      <c r="M406" s="55"/>
      <c r="N406" s="55"/>
      <c r="O406" s="55"/>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x14ac:dyDescent="0.25">
      <c r="C407" s="1"/>
      <c r="D407" s="1"/>
      <c r="E407" s="55"/>
      <c r="F407" s="55"/>
      <c r="G407" s="55"/>
      <c r="H407" s="55"/>
      <c r="I407" s="55"/>
      <c r="J407" s="55"/>
      <c r="K407" s="55"/>
      <c r="L407" s="55"/>
      <c r="M407" s="55"/>
      <c r="N407" s="55"/>
      <c r="O407" s="55"/>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x14ac:dyDescent="0.25">
      <c r="C408" s="1"/>
      <c r="D408" s="1"/>
      <c r="E408" s="55"/>
      <c r="F408" s="55"/>
      <c r="G408" s="55"/>
      <c r="H408" s="55"/>
      <c r="I408" s="55"/>
      <c r="J408" s="55"/>
      <c r="K408" s="55"/>
      <c r="L408" s="55"/>
      <c r="M408" s="55"/>
      <c r="N408" s="55"/>
      <c r="O408" s="55"/>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x14ac:dyDescent="0.25">
      <c r="C409" s="1"/>
      <c r="D409" s="1"/>
      <c r="E409" s="55"/>
      <c r="F409" s="55"/>
      <c r="G409" s="55"/>
      <c r="H409" s="55"/>
      <c r="I409" s="55"/>
      <c r="J409" s="55"/>
      <c r="K409" s="55"/>
      <c r="L409" s="55"/>
      <c r="M409" s="55"/>
      <c r="N409" s="55"/>
      <c r="O409" s="55"/>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x14ac:dyDescent="0.25">
      <c r="C410" s="1"/>
      <c r="D410" s="1"/>
      <c r="E410" s="55"/>
      <c r="F410" s="55"/>
      <c r="G410" s="55"/>
      <c r="H410" s="55"/>
      <c r="I410" s="55"/>
      <c r="J410" s="55"/>
      <c r="K410" s="55"/>
      <c r="L410" s="55"/>
      <c r="M410" s="55"/>
      <c r="N410" s="55"/>
      <c r="O410" s="55"/>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x14ac:dyDescent="0.25">
      <c r="C411" s="1"/>
      <c r="D411" s="1"/>
      <c r="E411" s="55"/>
      <c r="F411" s="55"/>
      <c r="G411" s="55"/>
      <c r="H411" s="55"/>
      <c r="I411" s="55"/>
      <c r="J411" s="55"/>
      <c r="K411" s="55"/>
      <c r="L411" s="55"/>
      <c r="M411" s="55"/>
      <c r="N411" s="55"/>
      <c r="O411" s="55"/>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x14ac:dyDescent="0.25">
      <c r="C412" s="1"/>
      <c r="D412" s="1"/>
      <c r="E412" s="55"/>
      <c r="F412" s="55"/>
      <c r="G412" s="55"/>
      <c r="H412" s="55"/>
      <c r="I412" s="55"/>
      <c r="J412" s="55"/>
      <c r="K412" s="55"/>
      <c r="L412" s="55"/>
      <c r="M412" s="55"/>
      <c r="N412" s="55"/>
      <c r="O412" s="55"/>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x14ac:dyDescent="0.25">
      <c r="C413" s="1"/>
      <c r="D413" s="1"/>
      <c r="E413" s="55"/>
      <c r="F413" s="55"/>
      <c r="G413" s="55"/>
      <c r="H413" s="55"/>
      <c r="I413" s="55"/>
      <c r="J413" s="55"/>
      <c r="K413" s="55"/>
      <c r="L413" s="55"/>
      <c r="M413" s="55"/>
      <c r="N413" s="55"/>
      <c r="O413" s="55"/>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x14ac:dyDescent="0.25">
      <c r="C414" s="1"/>
      <c r="D414" s="1"/>
      <c r="E414" s="55"/>
      <c r="F414" s="55"/>
      <c r="G414" s="55"/>
      <c r="H414" s="55"/>
      <c r="I414" s="55"/>
      <c r="J414" s="55"/>
      <c r="K414" s="55"/>
      <c r="L414" s="55"/>
      <c r="M414" s="55"/>
      <c r="N414" s="55"/>
      <c r="O414" s="55"/>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x14ac:dyDescent="0.25">
      <c r="C415" s="1"/>
      <c r="D415" s="1"/>
      <c r="E415" s="55"/>
      <c r="F415" s="55"/>
      <c r="G415" s="55"/>
      <c r="H415" s="55"/>
      <c r="I415" s="55"/>
      <c r="J415" s="55"/>
      <c r="K415" s="55"/>
      <c r="L415" s="55"/>
      <c r="M415" s="55"/>
      <c r="N415" s="55"/>
      <c r="O415" s="55"/>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x14ac:dyDescent="0.25">
      <c r="C416" s="1"/>
      <c r="D416" s="1"/>
      <c r="E416" s="55"/>
      <c r="F416" s="55"/>
      <c r="G416" s="55"/>
      <c r="H416" s="55"/>
      <c r="I416" s="55"/>
      <c r="J416" s="55"/>
      <c r="K416" s="55"/>
      <c r="L416" s="55"/>
      <c r="M416" s="55"/>
      <c r="N416" s="55"/>
      <c r="O416" s="55"/>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x14ac:dyDescent="0.25">
      <c r="C417" s="1"/>
      <c r="D417" s="1"/>
      <c r="E417" s="55"/>
      <c r="F417" s="55"/>
      <c r="G417" s="55"/>
      <c r="H417" s="55"/>
      <c r="I417" s="55"/>
      <c r="J417" s="55"/>
      <c r="K417" s="55"/>
      <c r="L417" s="55"/>
      <c r="M417" s="55"/>
      <c r="N417" s="55"/>
      <c r="O417" s="55"/>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x14ac:dyDescent="0.25">
      <c r="C418" s="1"/>
      <c r="D418" s="1"/>
      <c r="E418" s="55"/>
      <c r="F418" s="55"/>
      <c r="G418" s="55"/>
      <c r="H418" s="55"/>
      <c r="I418" s="55"/>
      <c r="J418" s="55"/>
      <c r="K418" s="55"/>
      <c r="L418" s="55"/>
      <c r="M418" s="55"/>
      <c r="N418" s="55"/>
      <c r="O418" s="55"/>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x14ac:dyDescent="0.25">
      <c r="C419" s="1"/>
      <c r="D419" s="1"/>
      <c r="E419" s="55"/>
      <c r="F419" s="55"/>
      <c r="G419" s="55"/>
      <c r="H419" s="55"/>
      <c r="I419" s="55"/>
      <c r="J419" s="55"/>
      <c r="K419" s="55"/>
      <c r="L419" s="55"/>
      <c r="M419" s="55"/>
      <c r="N419" s="55"/>
      <c r="O419" s="55"/>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x14ac:dyDescent="0.25">
      <c r="C420" s="1"/>
      <c r="D420" s="1"/>
      <c r="E420" s="55"/>
      <c r="F420" s="55"/>
      <c r="G420" s="55"/>
      <c r="H420" s="55"/>
      <c r="I420" s="55"/>
      <c r="J420" s="55"/>
      <c r="K420" s="55"/>
      <c r="L420" s="55"/>
      <c r="M420" s="55"/>
      <c r="N420" s="55"/>
      <c r="O420" s="55"/>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x14ac:dyDescent="0.25">
      <c r="C421" s="1"/>
      <c r="D421" s="1"/>
      <c r="E421" s="55"/>
      <c r="F421" s="55"/>
      <c r="G421" s="55"/>
      <c r="H421" s="55"/>
      <c r="I421" s="55"/>
      <c r="J421" s="55"/>
      <c r="K421" s="55"/>
      <c r="L421" s="55"/>
      <c r="M421" s="55"/>
      <c r="N421" s="55"/>
      <c r="O421" s="55"/>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x14ac:dyDescent="0.25">
      <c r="C422" s="1"/>
      <c r="D422" s="1"/>
      <c r="E422" s="55"/>
      <c r="F422" s="55"/>
      <c r="G422" s="55"/>
      <c r="H422" s="55"/>
      <c r="I422" s="55"/>
      <c r="J422" s="55"/>
      <c r="K422" s="55"/>
      <c r="L422" s="55"/>
      <c r="M422" s="55"/>
      <c r="N422" s="55"/>
      <c r="O422" s="55"/>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x14ac:dyDescent="0.25">
      <c r="C423" s="1"/>
      <c r="D423" s="1"/>
      <c r="E423" s="55"/>
      <c r="F423" s="55"/>
      <c r="G423" s="55"/>
      <c r="H423" s="55"/>
      <c r="I423" s="55"/>
      <c r="J423" s="55"/>
      <c r="K423" s="55"/>
      <c r="L423" s="55"/>
      <c r="M423" s="55"/>
      <c r="N423" s="55"/>
      <c r="O423" s="55"/>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x14ac:dyDescent="0.25">
      <c r="C424" s="1"/>
      <c r="D424" s="1"/>
      <c r="E424" s="55"/>
      <c r="F424" s="55"/>
      <c r="G424" s="55"/>
      <c r="H424" s="55"/>
      <c r="I424" s="55"/>
      <c r="J424" s="55"/>
      <c r="K424" s="55"/>
      <c r="L424" s="55"/>
      <c r="M424" s="55"/>
      <c r="N424" s="55"/>
      <c r="O424" s="55"/>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x14ac:dyDescent="0.25">
      <c r="C425" s="1"/>
      <c r="D425" s="1"/>
      <c r="E425" s="55"/>
      <c r="F425" s="55"/>
      <c r="G425" s="55"/>
      <c r="H425" s="55"/>
      <c r="I425" s="55"/>
      <c r="J425" s="55"/>
      <c r="K425" s="55"/>
      <c r="L425" s="55"/>
      <c r="M425" s="55"/>
      <c r="N425" s="55"/>
      <c r="O425" s="55"/>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x14ac:dyDescent="0.25">
      <c r="C426" s="1"/>
      <c r="D426" s="1"/>
      <c r="E426" s="55"/>
      <c r="F426" s="55"/>
      <c r="G426" s="55"/>
      <c r="H426" s="55"/>
      <c r="I426" s="55"/>
      <c r="J426" s="55"/>
      <c r="K426" s="55"/>
      <c r="L426" s="55"/>
      <c r="M426" s="55"/>
      <c r="N426" s="55"/>
      <c r="O426" s="55"/>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x14ac:dyDescent="0.25">
      <c r="C427" s="1"/>
      <c r="D427" s="1"/>
      <c r="E427" s="55"/>
      <c r="F427" s="55"/>
      <c r="G427" s="55"/>
      <c r="H427" s="55"/>
      <c r="I427" s="55"/>
      <c r="J427" s="55"/>
      <c r="K427" s="55"/>
      <c r="L427" s="55"/>
      <c r="M427" s="55"/>
      <c r="N427" s="55"/>
      <c r="O427" s="55"/>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x14ac:dyDescent="0.25">
      <c r="C428" s="1"/>
      <c r="D428" s="1"/>
      <c r="E428" s="55"/>
      <c r="F428" s="55"/>
      <c r="G428" s="55"/>
      <c r="H428" s="55"/>
      <c r="I428" s="55"/>
      <c r="J428" s="55"/>
      <c r="K428" s="55"/>
      <c r="L428" s="55"/>
      <c r="M428" s="55"/>
      <c r="N428" s="55"/>
      <c r="O428" s="55"/>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x14ac:dyDescent="0.25">
      <c r="C429" s="1"/>
      <c r="D429" s="1"/>
      <c r="E429" s="55"/>
      <c r="F429" s="55"/>
      <c r="G429" s="55"/>
      <c r="H429" s="55"/>
      <c r="I429" s="55"/>
      <c r="J429" s="55"/>
      <c r="K429" s="55"/>
      <c r="L429" s="55"/>
      <c r="M429" s="55"/>
      <c r="N429" s="55"/>
      <c r="O429" s="55"/>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x14ac:dyDescent="0.25">
      <c r="C430" s="1"/>
      <c r="D430" s="1"/>
      <c r="E430" s="55"/>
      <c r="F430" s="55"/>
      <c r="G430" s="55"/>
      <c r="H430" s="55"/>
      <c r="I430" s="55"/>
      <c r="J430" s="55"/>
      <c r="K430" s="55"/>
      <c r="L430" s="55"/>
      <c r="M430" s="55"/>
      <c r="N430" s="55"/>
      <c r="O430" s="55"/>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x14ac:dyDescent="0.25">
      <c r="C431" s="1"/>
      <c r="D431" s="1"/>
      <c r="E431" s="55"/>
      <c r="F431" s="55"/>
      <c r="G431" s="55"/>
      <c r="H431" s="55"/>
      <c r="I431" s="55"/>
      <c r="J431" s="55"/>
      <c r="K431" s="55"/>
      <c r="L431" s="55"/>
      <c r="M431" s="55"/>
      <c r="N431" s="55"/>
      <c r="O431" s="55"/>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x14ac:dyDescent="0.25">
      <c r="C432" s="1"/>
      <c r="D432" s="1"/>
      <c r="E432" s="55"/>
      <c r="F432" s="55"/>
      <c r="G432" s="55"/>
      <c r="H432" s="55"/>
      <c r="I432" s="55"/>
      <c r="J432" s="55"/>
      <c r="K432" s="55"/>
      <c r="L432" s="55"/>
      <c r="M432" s="55"/>
      <c r="N432" s="55"/>
      <c r="O432" s="55"/>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x14ac:dyDescent="0.25">
      <c r="C433" s="1"/>
      <c r="D433" s="1"/>
      <c r="E433" s="55"/>
      <c r="F433" s="55"/>
      <c r="G433" s="55"/>
      <c r="H433" s="55"/>
      <c r="I433" s="55"/>
      <c r="J433" s="55"/>
      <c r="K433" s="55"/>
      <c r="L433" s="55"/>
      <c r="M433" s="55"/>
      <c r="N433" s="55"/>
      <c r="O433" s="55"/>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x14ac:dyDescent="0.25">
      <c r="C434" s="1"/>
      <c r="D434" s="1"/>
      <c r="E434" s="55"/>
      <c r="F434" s="55"/>
      <c r="G434" s="55"/>
      <c r="H434" s="55"/>
      <c r="I434" s="55"/>
      <c r="J434" s="55"/>
      <c r="K434" s="55"/>
      <c r="L434" s="55"/>
      <c r="M434" s="55"/>
      <c r="N434" s="55"/>
      <c r="O434" s="55"/>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x14ac:dyDescent="0.25">
      <c r="C435" s="1"/>
      <c r="D435" s="1"/>
      <c r="E435" s="55"/>
      <c r="F435" s="55"/>
      <c r="G435" s="55"/>
      <c r="H435" s="55"/>
      <c r="I435" s="55"/>
      <c r="J435" s="55"/>
      <c r="K435" s="55"/>
      <c r="L435" s="55"/>
      <c r="M435" s="55"/>
      <c r="N435" s="55"/>
      <c r="O435" s="55"/>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x14ac:dyDescent="0.25">
      <c r="C436" s="1"/>
      <c r="D436" s="1"/>
      <c r="E436" s="55"/>
      <c r="F436" s="55"/>
      <c r="G436" s="55"/>
      <c r="H436" s="55"/>
      <c r="I436" s="55"/>
      <c r="J436" s="55"/>
      <c r="K436" s="55"/>
      <c r="L436" s="55"/>
      <c r="M436" s="55"/>
      <c r="N436" s="55"/>
      <c r="O436" s="55"/>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x14ac:dyDescent="0.25">
      <c r="C437" s="1"/>
      <c r="D437" s="1"/>
      <c r="E437" s="55"/>
      <c r="F437" s="55"/>
      <c r="G437" s="55"/>
      <c r="H437" s="55"/>
      <c r="I437" s="55"/>
      <c r="J437" s="55"/>
      <c r="K437" s="55"/>
      <c r="L437" s="55"/>
      <c r="M437" s="55"/>
      <c r="N437" s="55"/>
      <c r="O437" s="55"/>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x14ac:dyDescent="0.25">
      <c r="C438" s="1"/>
      <c r="D438" s="1"/>
      <c r="E438" s="55"/>
      <c r="F438" s="55"/>
      <c r="G438" s="55"/>
      <c r="H438" s="55"/>
      <c r="I438" s="55"/>
      <c r="J438" s="55"/>
      <c r="K438" s="55"/>
      <c r="L438" s="55"/>
      <c r="M438" s="55"/>
      <c r="N438" s="55"/>
      <c r="O438" s="55"/>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x14ac:dyDescent="0.25">
      <c r="C439" s="1"/>
      <c r="D439" s="1"/>
      <c r="E439" s="55"/>
      <c r="F439" s="55"/>
      <c r="G439" s="55"/>
      <c r="H439" s="55"/>
      <c r="I439" s="55"/>
      <c r="J439" s="55"/>
      <c r="K439" s="55"/>
      <c r="L439" s="55"/>
      <c r="M439" s="55"/>
      <c r="N439" s="55"/>
      <c r="O439" s="55"/>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x14ac:dyDescent="0.25">
      <c r="C440" s="1"/>
      <c r="D440" s="1"/>
      <c r="E440" s="55"/>
      <c r="F440" s="55"/>
      <c r="G440" s="55"/>
      <c r="H440" s="55"/>
      <c r="I440" s="55"/>
      <c r="J440" s="55"/>
      <c r="K440" s="55"/>
      <c r="L440" s="55"/>
      <c r="M440" s="55"/>
      <c r="N440" s="55"/>
      <c r="O440" s="55"/>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x14ac:dyDescent="0.25">
      <c r="C441" s="1"/>
      <c r="D441" s="1"/>
      <c r="E441" s="55"/>
      <c r="F441" s="55"/>
      <c r="G441" s="55"/>
      <c r="H441" s="55"/>
      <c r="I441" s="55"/>
      <c r="J441" s="55"/>
      <c r="K441" s="55"/>
      <c r="L441" s="55"/>
      <c r="M441" s="55"/>
      <c r="N441" s="55"/>
      <c r="O441" s="55"/>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x14ac:dyDescent="0.25">
      <c r="C442" s="1"/>
      <c r="D442" s="1"/>
      <c r="E442" s="55"/>
      <c r="F442" s="55"/>
      <c r="G442" s="55"/>
      <c r="H442" s="55"/>
      <c r="I442" s="55"/>
      <c r="J442" s="55"/>
      <c r="K442" s="55"/>
      <c r="L442" s="55"/>
      <c r="M442" s="55"/>
      <c r="N442" s="55"/>
      <c r="O442" s="55"/>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x14ac:dyDescent="0.25">
      <c r="C443" s="1"/>
      <c r="D443" s="1"/>
      <c r="E443" s="55"/>
      <c r="F443" s="55"/>
      <c r="G443" s="55"/>
      <c r="H443" s="55"/>
      <c r="I443" s="55"/>
      <c r="J443" s="55"/>
      <c r="K443" s="55"/>
      <c r="L443" s="55"/>
      <c r="M443" s="55"/>
      <c r="N443" s="55"/>
      <c r="O443" s="55"/>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x14ac:dyDescent="0.25">
      <c r="C444" s="1"/>
      <c r="D444" s="1"/>
      <c r="E444" s="55"/>
      <c r="F444" s="55"/>
      <c r="G444" s="55"/>
      <c r="H444" s="55"/>
      <c r="I444" s="55"/>
      <c r="J444" s="55"/>
      <c r="K444" s="55"/>
      <c r="L444" s="55"/>
      <c r="M444" s="55"/>
      <c r="N444" s="55"/>
      <c r="O444" s="55"/>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x14ac:dyDescent="0.25">
      <c r="C445" s="1"/>
      <c r="D445" s="1"/>
      <c r="E445" s="55"/>
      <c r="F445" s="55"/>
      <c r="G445" s="55"/>
      <c r="H445" s="55"/>
      <c r="I445" s="55"/>
      <c r="J445" s="55"/>
      <c r="K445" s="55"/>
      <c r="L445" s="55"/>
      <c r="M445" s="55"/>
      <c r="N445" s="55"/>
      <c r="O445" s="55"/>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x14ac:dyDescent="0.25">
      <c r="C446" s="1"/>
      <c r="D446" s="1"/>
      <c r="E446" s="55"/>
      <c r="F446" s="55"/>
      <c r="G446" s="55"/>
      <c r="H446" s="55"/>
      <c r="I446" s="55"/>
      <c r="J446" s="55"/>
      <c r="K446" s="55"/>
      <c r="L446" s="55"/>
      <c r="M446" s="55"/>
      <c r="N446" s="55"/>
      <c r="O446" s="55"/>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x14ac:dyDescent="0.25">
      <c r="C447" s="1"/>
      <c r="D447" s="1"/>
      <c r="E447" s="55"/>
      <c r="F447" s="55"/>
      <c r="G447" s="55"/>
      <c r="H447" s="55"/>
      <c r="I447" s="55"/>
      <c r="J447" s="55"/>
      <c r="K447" s="55"/>
      <c r="L447" s="55"/>
      <c r="M447" s="55"/>
      <c r="N447" s="55"/>
      <c r="O447" s="55"/>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x14ac:dyDescent="0.25">
      <c r="C448" s="1"/>
      <c r="D448" s="1"/>
      <c r="E448" s="55"/>
      <c r="F448" s="55"/>
      <c r="G448" s="55"/>
      <c r="H448" s="55"/>
      <c r="I448" s="55"/>
      <c r="J448" s="55"/>
      <c r="K448" s="55"/>
      <c r="L448" s="55"/>
      <c r="M448" s="55"/>
      <c r="N448" s="55"/>
      <c r="O448" s="55"/>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x14ac:dyDescent="0.25">
      <c r="C449" s="1"/>
      <c r="D449" s="1"/>
      <c r="E449" s="55"/>
      <c r="F449" s="55"/>
      <c r="G449" s="55"/>
      <c r="H449" s="55"/>
      <c r="I449" s="55"/>
      <c r="J449" s="55"/>
      <c r="K449" s="55"/>
      <c r="L449" s="55"/>
      <c r="M449" s="55"/>
      <c r="N449" s="55"/>
      <c r="O449" s="55"/>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x14ac:dyDescent="0.25">
      <c r="C450" s="1"/>
      <c r="D450" s="1"/>
      <c r="E450" s="55"/>
      <c r="F450" s="55"/>
      <c r="G450" s="55"/>
      <c r="H450" s="55"/>
      <c r="I450" s="55"/>
      <c r="J450" s="55"/>
      <c r="K450" s="55"/>
      <c r="L450" s="55"/>
      <c r="M450" s="55"/>
      <c r="N450" s="55"/>
      <c r="O450" s="55"/>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x14ac:dyDescent="0.25">
      <c r="C451" s="1"/>
      <c r="D451" s="1"/>
      <c r="E451" s="55"/>
      <c r="F451" s="55"/>
      <c r="G451" s="55"/>
      <c r="H451" s="55"/>
      <c r="I451" s="55"/>
      <c r="J451" s="55"/>
      <c r="K451" s="55"/>
      <c r="L451" s="55"/>
      <c r="M451" s="55"/>
      <c r="N451" s="55"/>
      <c r="O451" s="55"/>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x14ac:dyDescent="0.25">
      <c r="C452" s="1"/>
      <c r="D452" s="1"/>
      <c r="E452" s="55"/>
      <c r="F452" s="55"/>
      <c r="G452" s="55"/>
      <c r="H452" s="55"/>
      <c r="I452" s="55"/>
      <c r="J452" s="55"/>
      <c r="K452" s="55"/>
      <c r="L452" s="55"/>
      <c r="M452" s="55"/>
      <c r="N452" s="55"/>
      <c r="O452" s="55"/>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x14ac:dyDescent="0.25">
      <c r="C453" s="1"/>
      <c r="D453" s="1"/>
      <c r="E453" s="55"/>
      <c r="F453" s="55"/>
      <c r="G453" s="55"/>
      <c r="H453" s="55"/>
      <c r="I453" s="55"/>
      <c r="J453" s="55"/>
      <c r="K453" s="55"/>
      <c r="L453" s="55"/>
      <c r="M453" s="55"/>
      <c r="N453" s="55"/>
      <c r="O453" s="55"/>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x14ac:dyDescent="0.25">
      <c r="C454" s="1"/>
      <c r="D454" s="1"/>
      <c r="E454" s="55"/>
      <c r="F454" s="55"/>
      <c r="G454" s="55"/>
      <c r="H454" s="55"/>
      <c r="I454" s="55"/>
      <c r="J454" s="55"/>
      <c r="K454" s="55"/>
      <c r="L454" s="55"/>
      <c r="M454" s="55"/>
      <c r="N454" s="55"/>
      <c r="O454" s="55"/>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x14ac:dyDescent="0.25">
      <c r="C455" s="1"/>
      <c r="D455" s="1"/>
      <c r="E455" s="55"/>
      <c r="F455" s="55"/>
      <c r="G455" s="55"/>
      <c r="H455" s="55"/>
      <c r="I455" s="55"/>
      <c r="J455" s="55"/>
      <c r="K455" s="55"/>
      <c r="L455" s="55"/>
      <c r="M455" s="55"/>
      <c r="N455" s="55"/>
      <c r="O455" s="55"/>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x14ac:dyDescent="0.25">
      <c r="C456" s="1"/>
      <c r="D456" s="1"/>
      <c r="E456" s="55"/>
      <c r="F456" s="55"/>
      <c r="G456" s="55"/>
      <c r="H456" s="55"/>
      <c r="I456" s="55"/>
      <c r="J456" s="55"/>
      <c r="K456" s="55"/>
      <c r="L456" s="55"/>
      <c r="M456" s="55"/>
      <c r="N456" s="55"/>
      <c r="O456" s="55"/>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x14ac:dyDescent="0.25">
      <c r="C457" s="1"/>
      <c r="D457" s="1"/>
      <c r="E457" s="55"/>
      <c r="F457" s="55"/>
      <c r="G457" s="55"/>
      <c r="H457" s="55"/>
      <c r="I457" s="55"/>
      <c r="J457" s="55"/>
      <c r="K457" s="55"/>
      <c r="L457" s="55"/>
      <c r="M457" s="55"/>
      <c r="N457" s="55"/>
      <c r="O457" s="55"/>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x14ac:dyDescent="0.25">
      <c r="C458" s="1"/>
      <c r="D458" s="1"/>
      <c r="E458" s="55"/>
      <c r="F458" s="55"/>
      <c r="G458" s="55"/>
      <c r="H458" s="55"/>
      <c r="I458" s="55"/>
      <c r="J458" s="55"/>
      <c r="K458" s="55"/>
      <c r="L458" s="55"/>
      <c r="M458" s="55"/>
      <c r="N458" s="55"/>
      <c r="O458" s="55"/>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x14ac:dyDescent="0.25">
      <c r="C459" s="1"/>
      <c r="D459" s="1"/>
      <c r="E459" s="55"/>
      <c r="F459" s="55"/>
      <c r="G459" s="55"/>
      <c r="H459" s="55"/>
      <c r="I459" s="55"/>
      <c r="J459" s="55"/>
      <c r="K459" s="55"/>
      <c r="L459" s="55"/>
      <c r="M459" s="55"/>
      <c r="N459" s="55"/>
      <c r="O459" s="55"/>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x14ac:dyDescent="0.25">
      <c r="C460" s="1"/>
      <c r="D460" s="1"/>
      <c r="E460" s="55"/>
      <c r="F460" s="55"/>
      <c r="G460" s="55"/>
      <c r="H460" s="55"/>
      <c r="I460" s="55"/>
      <c r="J460" s="55"/>
      <c r="K460" s="55"/>
      <c r="L460" s="55"/>
      <c r="M460" s="55"/>
      <c r="N460" s="55"/>
      <c r="O460" s="55"/>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x14ac:dyDescent="0.25">
      <c r="C461" s="1"/>
      <c r="D461" s="1"/>
      <c r="E461" s="55"/>
      <c r="F461" s="55"/>
      <c r="G461" s="55"/>
      <c r="H461" s="55"/>
      <c r="I461" s="55"/>
      <c r="J461" s="55"/>
      <c r="K461" s="55"/>
      <c r="L461" s="55"/>
      <c r="M461" s="55"/>
      <c r="N461" s="55"/>
      <c r="O461" s="55"/>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x14ac:dyDescent="0.25">
      <c r="C462" s="1"/>
      <c r="D462" s="1"/>
      <c r="E462" s="55"/>
      <c r="F462" s="55"/>
      <c r="G462" s="55"/>
      <c r="H462" s="55"/>
      <c r="I462" s="55"/>
      <c r="J462" s="55"/>
      <c r="K462" s="55"/>
      <c r="L462" s="55"/>
      <c r="M462" s="55"/>
      <c r="N462" s="55"/>
      <c r="O462" s="55"/>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x14ac:dyDescent="0.25">
      <c r="C463" s="1"/>
      <c r="D463" s="1"/>
      <c r="E463" s="55"/>
      <c r="F463" s="55"/>
      <c r="G463" s="55"/>
      <c r="H463" s="55"/>
      <c r="I463" s="55"/>
      <c r="J463" s="55"/>
      <c r="K463" s="55"/>
      <c r="L463" s="55"/>
      <c r="M463" s="55"/>
      <c r="N463" s="55"/>
      <c r="O463" s="55"/>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x14ac:dyDescent="0.25">
      <c r="C464" s="1"/>
      <c r="D464" s="1"/>
      <c r="E464" s="55"/>
      <c r="F464" s="55"/>
      <c r="G464" s="55"/>
      <c r="H464" s="55"/>
      <c r="I464" s="55"/>
      <c r="J464" s="55"/>
      <c r="K464" s="55"/>
      <c r="L464" s="55"/>
      <c r="M464" s="55"/>
      <c r="N464" s="55"/>
      <c r="O464" s="55"/>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x14ac:dyDescent="0.25">
      <c r="C465" s="1"/>
      <c r="D465" s="1"/>
      <c r="E465" s="55"/>
      <c r="F465" s="55"/>
      <c r="G465" s="55"/>
      <c r="H465" s="55"/>
      <c r="I465" s="55"/>
      <c r="J465" s="55"/>
      <c r="K465" s="55"/>
      <c r="L465" s="55"/>
      <c r="M465" s="55"/>
      <c r="N465" s="55"/>
      <c r="O465" s="55"/>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x14ac:dyDescent="0.25">
      <c r="C466" s="1"/>
      <c r="D466" s="1"/>
      <c r="E466" s="55"/>
      <c r="F466" s="55"/>
      <c r="G466" s="55"/>
      <c r="H466" s="55"/>
      <c r="I466" s="55"/>
      <c r="J466" s="55"/>
      <c r="K466" s="55"/>
      <c r="L466" s="55"/>
      <c r="M466" s="55"/>
      <c r="N466" s="55"/>
      <c r="O466" s="55"/>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x14ac:dyDescent="0.25">
      <c r="C467" s="1"/>
      <c r="D467" s="1"/>
      <c r="E467" s="55"/>
      <c r="F467" s="55"/>
      <c r="G467" s="55"/>
      <c r="H467" s="55"/>
      <c r="I467" s="55"/>
      <c r="J467" s="55"/>
      <c r="K467" s="55"/>
      <c r="L467" s="55"/>
      <c r="M467" s="55"/>
      <c r="N467" s="55"/>
      <c r="O467" s="55"/>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x14ac:dyDescent="0.25">
      <c r="C468" s="1"/>
      <c r="D468" s="1"/>
      <c r="E468" s="55"/>
      <c r="F468" s="55"/>
      <c r="G468" s="55"/>
      <c r="H468" s="55"/>
      <c r="I468" s="55"/>
      <c r="J468" s="55"/>
      <c r="K468" s="55"/>
      <c r="L468" s="55"/>
      <c r="M468" s="55"/>
      <c r="N468" s="55"/>
      <c r="O468" s="55"/>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x14ac:dyDescent="0.25">
      <c r="C469" s="1"/>
      <c r="D469" s="1"/>
      <c r="E469" s="55"/>
      <c r="F469" s="55"/>
      <c r="G469" s="55"/>
      <c r="H469" s="55"/>
      <c r="I469" s="55"/>
      <c r="J469" s="55"/>
      <c r="K469" s="55"/>
      <c r="L469" s="55"/>
      <c r="M469" s="55"/>
      <c r="N469" s="55"/>
      <c r="O469" s="55"/>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x14ac:dyDescent="0.25">
      <c r="C470" s="1"/>
      <c r="D470" s="1"/>
      <c r="E470" s="55"/>
      <c r="F470" s="55"/>
      <c r="G470" s="55"/>
      <c r="H470" s="55"/>
      <c r="I470" s="55"/>
      <c r="J470" s="55"/>
      <c r="K470" s="55"/>
      <c r="L470" s="55"/>
      <c r="M470" s="55"/>
      <c r="N470" s="55"/>
      <c r="O470" s="55"/>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x14ac:dyDescent="0.25">
      <c r="C471" s="1"/>
      <c r="D471" s="1"/>
      <c r="E471" s="55"/>
      <c r="F471" s="55"/>
      <c r="G471" s="55"/>
      <c r="H471" s="55"/>
      <c r="I471" s="55"/>
      <c r="J471" s="55"/>
      <c r="K471" s="55"/>
      <c r="L471" s="55"/>
      <c r="M471" s="55"/>
      <c r="N471" s="55"/>
      <c r="O471" s="55"/>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x14ac:dyDescent="0.25">
      <c r="C472" s="1"/>
      <c r="D472" s="1"/>
      <c r="E472" s="55"/>
      <c r="F472" s="55"/>
      <c r="G472" s="55"/>
      <c r="H472" s="55"/>
      <c r="I472" s="55"/>
      <c r="J472" s="55"/>
      <c r="K472" s="55"/>
      <c r="L472" s="55"/>
      <c r="M472" s="55"/>
      <c r="N472" s="55"/>
      <c r="O472" s="55"/>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x14ac:dyDescent="0.25">
      <c r="C473" s="1"/>
      <c r="D473" s="1"/>
      <c r="E473" s="55"/>
      <c r="F473" s="55"/>
      <c r="G473" s="55"/>
      <c r="H473" s="55"/>
      <c r="I473" s="55"/>
      <c r="J473" s="55"/>
      <c r="K473" s="55"/>
      <c r="L473" s="55"/>
      <c r="M473" s="55"/>
      <c r="N473" s="55"/>
      <c r="O473" s="55"/>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x14ac:dyDescent="0.25">
      <c r="C474" s="1"/>
      <c r="D474" s="1"/>
      <c r="E474" s="55"/>
      <c r="F474" s="55"/>
      <c r="G474" s="55"/>
      <c r="H474" s="55"/>
      <c r="I474" s="55"/>
      <c r="J474" s="55"/>
      <c r="K474" s="55"/>
      <c r="L474" s="55"/>
      <c r="M474" s="55"/>
      <c r="N474" s="55"/>
      <c r="O474" s="55"/>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x14ac:dyDescent="0.25">
      <c r="C475" s="1"/>
      <c r="D475" s="1"/>
      <c r="E475" s="55"/>
      <c r="F475" s="55"/>
      <c r="G475" s="55"/>
      <c r="H475" s="55"/>
      <c r="I475" s="55"/>
      <c r="J475" s="55"/>
      <c r="K475" s="55"/>
      <c r="L475" s="55"/>
      <c r="M475" s="55"/>
      <c r="N475" s="55"/>
      <c r="O475" s="55"/>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x14ac:dyDescent="0.25">
      <c r="C476" s="1"/>
      <c r="D476" s="1"/>
      <c r="E476" s="55"/>
      <c r="F476" s="55"/>
      <c r="G476" s="55"/>
      <c r="H476" s="55"/>
      <c r="I476" s="55"/>
      <c r="J476" s="55"/>
      <c r="K476" s="55"/>
      <c r="L476" s="55"/>
      <c r="M476" s="55"/>
      <c r="N476" s="55"/>
      <c r="O476" s="55"/>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x14ac:dyDescent="0.25">
      <c r="C477" s="1"/>
      <c r="D477" s="1"/>
      <c r="E477" s="55"/>
      <c r="F477" s="55"/>
      <c r="G477" s="55"/>
      <c r="H477" s="55"/>
      <c r="I477" s="55"/>
      <c r="J477" s="55"/>
      <c r="K477" s="55"/>
      <c r="L477" s="55"/>
      <c r="M477" s="55"/>
      <c r="N477" s="55"/>
      <c r="O477" s="55"/>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x14ac:dyDescent="0.25">
      <c r="C478" s="1"/>
      <c r="D478" s="1"/>
      <c r="E478" s="55"/>
      <c r="F478" s="55"/>
      <c r="G478" s="55"/>
      <c r="H478" s="55"/>
      <c r="I478" s="55"/>
      <c r="J478" s="55"/>
      <c r="K478" s="55"/>
      <c r="L478" s="55"/>
      <c r="M478" s="55"/>
      <c r="N478" s="55"/>
      <c r="O478" s="55"/>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x14ac:dyDescent="0.25">
      <c r="C479" s="1"/>
      <c r="D479" s="1"/>
      <c r="E479" s="55"/>
      <c r="F479" s="55"/>
      <c r="G479" s="55"/>
      <c r="H479" s="55"/>
      <c r="I479" s="55"/>
      <c r="J479" s="55"/>
      <c r="K479" s="55"/>
      <c r="L479" s="55"/>
      <c r="M479" s="55"/>
      <c r="N479" s="55"/>
      <c r="O479" s="55"/>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x14ac:dyDescent="0.25">
      <c r="C480" s="1"/>
      <c r="D480" s="1"/>
      <c r="E480" s="55"/>
      <c r="F480" s="55"/>
      <c r="G480" s="55"/>
      <c r="H480" s="55"/>
      <c r="I480" s="55"/>
      <c r="J480" s="55"/>
      <c r="K480" s="55"/>
      <c r="L480" s="55"/>
      <c r="M480" s="55"/>
      <c r="N480" s="55"/>
      <c r="O480" s="55"/>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x14ac:dyDescent="0.25">
      <c r="C481" s="1"/>
      <c r="D481" s="1"/>
      <c r="E481" s="55"/>
      <c r="F481" s="55"/>
      <c r="G481" s="55"/>
      <c r="H481" s="55"/>
      <c r="I481" s="55"/>
      <c r="J481" s="55"/>
      <c r="K481" s="55"/>
      <c r="L481" s="55"/>
      <c r="M481" s="55"/>
      <c r="N481" s="55"/>
      <c r="O481" s="55"/>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x14ac:dyDescent="0.25">
      <c r="C482" s="1"/>
      <c r="D482" s="1"/>
      <c r="E482" s="55"/>
      <c r="F482" s="55"/>
      <c r="G482" s="55"/>
      <c r="H482" s="55"/>
      <c r="I482" s="55"/>
      <c r="J482" s="55"/>
      <c r="K482" s="55"/>
      <c r="L482" s="55"/>
      <c r="M482" s="55"/>
      <c r="N482" s="55"/>
      <c r="O482" s="55"/>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x14ac:dyDescent="0.25">
      <c r="C483" s="1"/>
      <c r="D483" s="1"/>
      <c r="E483" s="55"/>
      <c r="F483" s="55"/>
      <c r="G483" s="55"/>
      <c r="H483" s="55"/>
      <c r="I483" s="55"/>
      <c r="J483" s="55"/>
      <c r="K483" s="55"/>
      <c r="L483" s="55"/>
      <c r="M483" s="55"/>
      <c r="N483" s="55"/>
      <c r="O483" s="55"/>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x14ac:dyDescent="0.25">
      <c r="C484" s="1"/>
      <c r="D484" s="1"/>
      <c r="E484" s="55"/>
      <c r="F484" s="55"/>
      <c r="G484" s="55"/>
      <c r="H484" s="55"/>
      <c r="I484" s="55"/>
      <c r="J484" s="55"/>
      <c r="K484" s="55"/>
      <c r="L484" s="55"/>
      <c r="M484" s="55"/>
      <c r="N484" s="55"/>
      <c r="O484" s="55"/>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x14ac:dyDescent="0.25">
      <c r="C485" s="1"/>
      <c r="D485" s="1"/>
      <c r="E485" s="55"/>
      <c r="F485" s="55"/>
      <c r="G485" s="55"/>
      <c r="H485" s="55"/>
      <c r="I485" s="55"/>
      <c r="J485" s="55"/>
      <c r="K485" s="55"/>
      <c r="L485" s="55"/>
      <c r="M485" s="55"/>
      <c r="N485" s="55"/>
      <c r="O485" s="55"/>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x14ac:dyDescent="0.25">
      <c r="C486" s="1"/>
      <c r="D486" s="1"/>
      <c r="E486" s="55"/>
      <c r="F486" s="55"/>
      <c r="G486" s="55"/>
      <c r="H486" s="55"/>
      <c r="I486" s="55"/>
      <c r="J486" s="55"/>
      <c r="K486" s="55"/>
      <c r="L486" s="55"/>
      <c r="M486" s="55"/>
      <c r="N486" s="55"/>
      <c r="O486" s="55"/>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x14ac:dyDescent="0.25">
      <c r="C487" s="1"/>
      <c r="D487" s="1"/>
      <c r="E487" s="55"/>
      <c r="F487" s="55"/>
      <c r="G487" s="55"/>
      <c r="H487" s="55"/>
      <c r="I487" s="55"/>
      <c r="J487" s="55"/>
      <c r="K487" s="55"/>
      <c r="L487" s="55"/>
      <c r="M487" s="55"/>
      <c r="N487" s="55"/>
      <c r="O487" s="55"/>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x14ac:dyDescent="0.25">
      <c r="C488" s="1"/>
      <c r="D488" s="1"/>
      <c r="E488" s="55"/>
      <c r="F488" s="55"/>
      <c r="G488" s="55"/>
      <c r="H488" s="55"/>
      <c r="I488" s="55"/>
      <c r="J488" s="55"/>
      <c r="K488" s="55"/>
      <c r="L488" s="55"/>
      <c r="M488" s="55"/>
      <c r="N488" s="55"/>
      <c r="O488" s="55"/>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x14ac:dyDescent="0.25">
      <c r="C489" s="1"/>
      <c r="D489" s="1"/>
      <c r="E489" s="55"/>
      <c r="F489" s="55"/>
      <c r="G489" s="55"/>
      <c r="H489" s="55"/>
      <c r="I489" s="55"/>
      <c r="J489" s="55"/>
      <c r="K489" s="55"/>
      <c r="L489" s="55"/>
      <c r="M489" s="55"/>
      <c r="N489" s="55"/>
      <c r="O489" s="55"/>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x14ac:dyDescent="0.25">
      <c r="C490" s="1"/>
      <c r="D490" s="1"/>
      <c r="E490" s="55"/>
      <c r="F490" s="55"/>
      <c r="G490" s="55"/>
      <c r="H490" s="55"/>
      <c r="I490" s="55"/>
      <c r="J490" s="55"/>
      <c r="K490" s="55"/>
      <c r="L490" s="55"/>
      <c r="M490" s="55"/>
      <c r="N490" s="55"/>
      <c r="O490" s="55"/>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x14ac:dyDescent="0.25">
      <c r="C491" s="1"/>
      <c r="D491" s="1"/>
      <c r="E491" s="55"/>
      <c r="F491" s="55"/>
      <c r="G491" s="55"/>
      <c r="H491" s="55"/>
      <c r="I491" s="55"/>
      <c r="J491" s="55"/>
      <c r="K491" s="55"/>
      <c r="L491" s="55"/>
      <c r="M491" s="55"/>
      <c r="N491" s="55"/>
      <c r="O491" s="55"/>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x14ac:dyDescent="0.25">
      <c r="C492" s="1"/>
      <c r="D492" s="1"/>
      <c r="E492" s="55"/>
      <c r="F492" s="55"/>
      <c r="G492" s="55"/>
      <c r="H492" s="55"/>
      <c r="I492" s="55"/>
      <c r="J492" s="55"/>
      <c r="K492" s="55"/>
      <c r="L492" s="55"/>
      <c r="M492" s="55"/>
      <c r="N492" s="55"/>
      <c r="O492" s="55"/>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x14ac:dyDescent="0.25">
      <c r="C493" s="1"/>
      <c r="D493" s="1"/>
      <c r="E493" s="55"/>
      <c r="F493" s="55"/>
      <c r="G493" s="55"/>
      <c r="H493" s="55"/>
      <c r="I493" s="55"/>
      <c r="J493" s="55"/>
      <c r="K493" s="55"/>
      <c r="L493" s="55"/>
      <c r="M493" s="55"/>
      <c r="N493" s="55"/>
      <c r="O493" s="55"/>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x14ac:dyDescent="0.25">
      <c r="C494" s="1"/>
      <c r="D494" s="1"/>
      <c r="E494" s="55"/>
      <c r="F494" s="55"/>
      <c r="G494" s="55"/>
      <c r="H494" s="55"/>
      <c r="I494" s="55"/>
      <c r="J494" s="55"/>
      <c r="K494" s="55"/>
      <c r="L494" s="55"/>
      <c r="M494" s="55"/>
      <c r="N494" s="55"/>
      <c r="O494" s="55"/>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x14ac:dyDescent="0.25">
      <c r="C495" s="1"/>
      <c r="D495" s="1"/>
      <c r="E495" s="55"/>
      <c r="F495" s="55"/>
      <c r="G495" s="55"/>
      <c r="H495" s="55"/>
      <c r="I495" s="55"/>
      <c r="J495" s="55"/>
      <c r="K495" s="55"/>
      <c r="L495" s="55"/>
      <c r="M495" s="55"/>
      <c r="N495" s="55"/>
      <c r="O495" s="55"/>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x14ac:dyDescent="0.25">
      <c r="C496" s="1"/>
      <c r="D496" s="1"/>
      <c r="E496" s="55"/>
      <c r="F496" s="55"/>
      <c r="G496" s="55"/>
      <c r="H496" s="55"/>
      <c r="I496" s="55"/>
      <c r="J496" s="55"/>
      <c r="K496" s="55"/>
      <c r="L496" s="55"/>
      <c r="M496" s="55"/>
      <c r="N496" s="55"/>
      <c r="O496" s="55"/>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x14ac:dyDescent="0.25">
      <c r="C497" s="1"/>
      <c r="D497" s="1"/>
      <c r="E497" s="55"/>
      <c r="F497" s="55"/>
      <c r="G497" s="55"/>
      <c r="H497" s="55"/>
      <c r="I497" s="55"/>
      <c r="J497" s="55"/>
      <c r="K497" s="55"/>
      <c r="L497" s="55"/>
      <c r="M497" s="55"/>
      <c r="N497" s="55"/>
      <c r="O497" s="55"/>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x14ac:dyDescent="0.25">
      <c r="C498" s="1"/>
      <c r="D498" s="1"/>
      <c r="E498" s="55"/>
      <c r="F498" s="55"/>
      <c r="G498" s="55"/>
      <c r="H498" s="55"/>
      <c r="I498" s="55"/>
      <c r="J498" s="55"/>
      <c r="K498" s="55"/>
      <c r="L498" s="55"/>
      <c r="M498" s="55"/>
      <c r="N498" s="55"/>
      <c r="O498" s="55"/>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x14ac:dyDescent="0.25">
      <c r="C499" s="1"/>
      <c r="D499" s="1"/>
      <c r="E499" s="55"/>
      <c r="F499" s="55"/>
      <c r="G499" s="55"/>
      <c r="H499" s="55"/>
      <c r="I499" s="55"/>
      <c r="J499" s="55"/>
      <c r="K499" s="55"/>
      <c r="L499" s="55"/>
      <c r="M499" s="55"/>
      <c r="N499" s="55"/>
      <c r="O499" s="55"/>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x14ac:dyDescent="0.25">
      <c r="C500" s="1"/>
      <c r="D500" s="1"/>
      <c r="E500" s="55"/>
      <c r="F500" s="55"/>
      <c r="G500" s="55"/>
      <c r="H500" s="55"/>
      <c r="I500" s="55"/>
      <c r="J500" s="55"/>
      <c r="K500" s="55"/>
      <c r="L500" s="55"/>
      <c r="M500" s="55"/>
      <c r="N500" s="55"/>
      <c r="O500" s="55"/>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x14ac:dyDescent="0.25">
      <c r="C501" s="1"/>
      <c r="D501" s="1"/>
      <c r="E501" s="55"/>
      <c r="F501" s="55"/>
      <c r="G501" s="55"/>
      <c r="H501" s="55"/>
      <c r="I501" s="55"/>
      <c r="J501" s="55"/>
      <c r="K501" s="55"/>
      <c r="L501" s="55"/>
      <c r="M501" s="55"/>
      <c r="N501" s="55"/>
      <c r="O501" s="55"/>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x14ac:dyDescent="0.25">
      <c r="C502" s="1"/>
      <c r="D502" s="1"/>
      <c r="E502" s="55"/>
      <c r="F502" s="55"/>
      <c r="G502" s="55"/>
      <c r="H502" s="55"/>
      <c r="I502" s="55"/>
      <c r="J502" s="55"/>
      <c r="K502" s="55"/>
      <c r="L502" s="55"/>
      <c r="M502" s="55"/>
      <c r="N502" s="55"/>
      <c r="O502" s="55"/>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x14ac:dyDescent="0.25">
      <c r="C503" s="1"/>
      <c r="D503" s="1"/>
      <c r="E503" s="55"/>
      <c r="F503" s="55"/>
      <c r="G503" s="55"/>
      <c r="H503" s="55"/>
      <c r="I503" s="55"/>
      <c r="J503" s="55"/>
      <c r="K503" s="55"/>
      <c r="L503" s="55"/>
      <c r="M503" s="55"/>
      <c r="N503" s="55"/>
      <c r="O503" s="55"/>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x14ac:dyDescent="0.25">
      <c r="C504" s="1"/>
      <c r="D504" s="1"/>
      <c r="E504" s="55"/>
      <c r="F504" s="55"/>
      <c r="G504" s="55"/>
      <c r="H504" s="55"/>
      <c r="I504" s="55"/>
      <c r="J504" s="55"/>
      <c r="K504" s="55"/>
      <c r="L504" s="55"/>
      <c r="M504" s="55"/>
      <c r="N504" s="55"/>
      <c r="O504" s="55"/>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x14ac:dyDescent="0.25">
      <c r="C505" s="1"/>
      <c r="D505" s="1"/>
      <c r="E505" s="55"/>
      <c r="F505" s="55"/>
      <c r="G505" s="55"/>
      <c r="H505" s="55"/>
      <c r="I505" s="55"/>
      <c r="J505" s="55"/>
      <c r="K505" s="55"/>
      <c r="L505" s="55"/>
      <c r="M505" s="55"/>
      <c r="N505" s="55"/>
      <c r="O505" s="55"/>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x14ac:dyDescent="0.25">
      <c r="C506" s="1"/>
      <c r="D506" s="1"/>
      <c r="E506" s="55"/>
      <c r="F506" s="55"/>
      <c r="G506" s="55"/>
      <c r="H506" s="55"/>
      <c r="I506" s="55"/>
      <c r="J506" s="55"/>
      <c r="K506" s="55"/>
      <c r="L506" s="55"/>
      <c r="M506" s="55"/>
      <c r="N506" s="55"/>
      <c r="O506" s="55"/>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x14ac:dyDescent="0.25">
      <c r="C507" s="1"/>
      <c r="D507" s="1"/>
      <c r="E507" s="55"/>
      <c r="F507" s="55"/>
      <c r="G507" s="55"/>
      <c r="H507" s="55"/>
      <c r="I507" s="55"/>
      <c r="J507" s="55"/>
      <c r="K507" s="55"/>
      <c r="L507" s="55"/>
      <c r="M507" s="55"/>
      <c r="N507" s="55"/>
      <c r="O507" s="55"/>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x14ac:dyDescent="0.25">
      <c r="C508" s="1"/>
      <c r="D508" s="1"/>
      <c r="E508" s="55"/>
      <c r="F508" s="55"/>
      <c r="G508" s="55"/>
      <c r="H508" s="55"/>
      <c r="I508" s="55"/>
      <c r="J508" s="55"/>
      <c r="K508" s="55"/>
      <c r="L508" s="55"/>
      <c r="M508" s="55"/>
      <c r="N508" s="55"/>
      <c r="O508" s="55"/>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x14ac:dyDescent="0.25">
      <c r="C509" s="1"/>
      <c r="D509" s="1"/>
      <c r="E509" s="55"/>
      <c r="F509" s="55"/>
      <c r="G509" s="55"/>
      <c r="H509" s="55"/>
      <c r="I509" s="55"/>
      <c r="J509" s="55"/>
      <c r="K509" s="55"/>
      <c r="L509" s="55"/>
      <c r="M509" s="55"/>
      <c r="N509" s="55"/>
      <c r="O509" s="55"/>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x14ac:dyDescent="0.25">
      <c r="C510" s="1"/>
      <c r="D510" s="1"/>
      <c r="E510" s="55"/>
      <c r="F510" s="55"/>
      <c r="G510" s="55"/>
      <c r="H510" s="55"/>
      <c r="I510" s="55"/>
      <c r="J510" s="55"/>
      <c r="K510" s="55"/>
      <c r="L510" s="55"/>
      <c r="M510" s="55"/>
      <c r="N510" s="55"/>
      <c r="O510" s="55"/>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x14ac:dyDescent="0.25">
      <c r="C511" s="1"/>
      <c r="D511" s="1"/>
      <c r="E511" s="55"/>
      <c r="F511" s="55"/>
      <c r="G511" s="55"/>
      <c r="H511" s="55"/>
      <c r="I511" s="55"/>
      <c r="J511" s="55"/>
      <c r="K511" s="55"/>
      <c r="L511" s="55"/>
      <c r="M511" s="55"/>
      <c r="N511" s="55"/>
      <c r="O511" s="55"/>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x14ac:dyDescent="0.25">
      <c r="C512" s="1"/>
      <c r="D512" s="1"/>
      <c r="E512" s="55"/>
      <c r="F512" s="55"/>
      <c r="G512" s="55"/>
      <c r="H512" s="55"/>
      <c r="I512" s="55"/>
      <c r="J512" s="55"/>
      <c r="K512" s="55"/>
      <c r="L512" s="55"/>
      <c r="M512" s="55"/>
      <c r="N512" s="55"/>
      <c r="O512" s="55"/>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x14ac:dyDescent="0.25">
      <c r="C513" s="1"/>
      <c r="D513" s="1"/>
      <c r="E513" s="55"/>
      <c r="F513" s="55"/>
      <c r="G513" s="55"/>
      <c r="H513" s="55"/>
      <c r="I513" s="55"/>
      <c r="J513" s="55"/>
      <c r="K513" s="55"/>
      <c r="L513" s="55"/>
      <c r="M513" s="55"/>
      <c r="N513" s="55"/>
      <c r="O513" s="55"/>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x14ac:dyDescent="0.25">
      <c r="C514" s="1"/>
      <c r="D514" s="1"/>
      <c r="E514" s="55"/>
      <c r="F514" s="55"/>
      <c r="G514" s="55"/>
      <c r="H514" s="55"/>
      <c r="I514" s="55"/>
      <c r="J514" s="55"/>
      <c r="K514" s="55"/>
      <c r="L514" s="55"/>
      <c r="M514" s="55"/>
      <c r="N514" s="55"/>
      <c r="O514" s="55"/>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x14ac:dyDescent="0.25">
      <c r="C515" s="1"/>
      <c r="D515" s="1"/>
      <c r="E515" s="55"/>
      <c r="F515" s="55"/>
      <c r="G515" s="55"/>
      <c r="H515" s="55"/>
      <c r="I515" s="55"/>
      <c r="J515" s="55"/>
      <c r="K515" s="55"/>
      <c r="L515" s="55"/>
      <c r="M515" s="55"/>
      <c r="N515" s="55"/>
      <c r="O515" s="55"/>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x14ac:dyDescent="0.25">
      <c r="C516" s="1"/>
      <c r="D516" s="1"/>
      <c r="E516" s="55"/>
      <c r="F516" s="55"/>
      <c r="G516" s="55"/>
      <c r="H516" s="55"/>
      <c r="I516" s="55"/>
      <c r="J516" s="55"/>
      <c r="K516" s="55"/>
      <c r="L516" s="55"/>
      <c r="M516" s="55"/>
      <c r="N516" s="55"/>
      <c r="O516" s="55"/>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x14ac:dyDescent="0.25">
      <c r="C517" s="1"/>
      <c r="D517" s="1"/>
      <c r="E517" s="55"/>
      <c r="F517" s="55"/>
      <c r="G517" s="55"/>
      <c r="H517" s="55"/>
      <c r="I517" s="55"/>
      <c r="J517" s="55"/>
      <c r="K517" s="55"/>
      <c r="L517" s="55"/>
      <c r="M517" s="55"/>
      <c r="N517" s="55"/>
      <c r="O517" s="55"/>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x14ac:dyDescent="0.25">
      <c r="C518" s="1"/>
      <c r="D518" s="1"/>
      <c r="E518" s="55"/>
      <c r="F518" s="55"/>
      <c r="G518" s="55"/>
      <c r="H518" s="55"/>
      <c r="I518" s="55"/>
      <c r="J518" s="55"/>
      <c r="K518" s="55"/>
      <c r="L518" s="55"/>
      <c r="M518" s="55"/>
      <c r="N518" s="55"/>
      <c r="O518" s="55"/>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x14ac:dyDescent="0.25">
      <c r="C519" s="1"/>
      <c r="D519" s="1"/>
      <c r="E519" s="55"/>
      <c r="F519" s="55"/>
      <c r="G519" s="55"/>
      <c r="H519" s="55"/>
      <c r="I519" s="55"/>
      <c r="J519" s="55"/>
      <c r="K519" s="55"/>
      <c r="L519" s="55"/>
      <c r="M519" s="55"/>
      <c r="N519" s="55"/>
      <c r="O519" s="55"/>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x14ac:dyDescent="0.25">
      <c r="C520" s="1"/>
      <c r="D520" s="1"/>
      <c r="E520" s="55"/>
      <c r="F520" s="55"/>
      <c r="G520" s="55"/>
      <c r="H520" s="55"/>
      <c r="I520" s="55"/>
      <c r="J520" s="55"/>
      <c r="K520" s="55"/>
      <c r="L520" s="55"/>
      <c r="M520" s="55"/>
      <c r="N520" s="55"/>
      <c r="O520" s="55"/>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x14ac:dyDescent="0.25">
      <c r="C521" s="1"/>
      <c r="D521" s="1"/>
      <c r="E521" s="55"/>
      <c r="F521" s="55"/>
      <c r="G521" s="55"/>
      <c r="H521" s="55"/>
      <c r="I521" s="55"/>
      <c r="J521" s="55"/>
      <c r="K521" s="55"/>
      <c r="L521" s="55"/>
      <c r="M521" s="55"/>
      <c r="N521" s="55"/>
      <c r="O521" s="55"/>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x14ac:dyDescent="0.25">
      <c r="C522" s="1"/>
      <c r="D522" s="1"/>
      <c r="E522" s="55"/>
      <c r="F522" s="55"/>
      <c r="G522" s="55"/>
      <c r="H522" s="55"/>
      <c r="I522" s="55"/>
      <c r="J522" s="55"/>
      <c r="K522" s="55"/>
      <c r="L522" s="55"/>
      <c r="M522" s="55"/>
      <c r="N522" s="55"/>
      <c r="O522" s="55"/>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x14ac:dyDescent="0.25">
      <c r="C523" s="1"/>
      <c r="D523" s="1"/>
      <c r="E523" s="55"/>
      <c r="F523" s="55"/>
      <c r="G523" s="55"/>
      <c r="H523" s="55"/>
      <c r="I523" s="55"/>
      <c r="J523" s="55"/>
      <c r="K523" s="55"/>
      <c r="L523" s="55"/>
      <c r="M523" s="55"/>
      <c r="N523" s="55"/>
      <c r="O523" s="55"/>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x14ac:dyDescent="0.25">
      <c r="C524" s="1"/>
      <c r="D524" s="1"/>
      <c r="E524" s="55"/>
      <c r="F524" s="55"/>
      <c r="G524" s="55"/>
      <c r="H524" s="55"/>
      <c r="I524" s="55"/>
      <c r="J524" s="55"/>
      <c r="K524" s="55"/>
      <c r="L524" s="55"/>
      <c r="M524" s="55"/>
      <c r="N524" s="55"/>
      <c r="O524" s="55"/>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x14ac:dyDescent="0.25">
      <c r="C525" s="1"/>
      <c r="D525" s="1"/>
      <c r="E525" s="55"/>
      <c r="F525" s="55"/>
      <c r="G525" s="55"/>
      <c r="H525" s="55"/>
      <c r="I525" s="55"/>
      <c r="J525" s="55"/>
      <c r="K525" s="55"/>
      <c r="L525" s="55"/>
      <c r="M525" s="55"/>
      <c r="N525" s="55"/>
      <c r="O525" s="55"/>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x14ac:dyDescent="0.25">
      <c r="C526" s="1"/>
      <c r="D526" s="1"/>
      <c r="E526" s="55"/>
      <c r="F526" s="55"/>
      <c r="G526" s="55"/>
      <c r="H526" s="55"/>
      <c r="I526" s="55"/>
      <c r="J526" s="55"/>
      <c r="K526" s="55"/>
      <c r="L526" s="55"/>
      <c r="M526" s="55"/>
      <c r="N526" s="55"/>
      <c r="O526" s="55"/>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x14ac:dyDescent="0.25">
      <c r="C527" s="1"/>
      <c r="D527" s="1"/>
      <c r="E527" s="55"/>
      <c r="F527" s="55"/>
      <c r="G527" s="55"/>
      <c r="H527" s="55"/>
      <c r="I527" s="55"/>
      <c r="J527" s="55"/>
      <c r="K527" s="55"/>
      <c r="L527" s="55"/>
      <c r="M527" s="55"/>
      <c r="N527" s="55"/>
      <c r="O527" s="55"/>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x14ac:dyDescent="0.25">
      <c r="C528" s="1"/>
      <c r="D528" s="1"/>
      <c r="E528" s="55"/>
      <c r="F528" s="55"/>
      <c r="G528" s="55"/>
      <c r="H528" s="55"/>
      <c r="I528" s="55"/>
      <c r="J528" s="55"/>
      <c r="K528" s="55"/>
      <c r="L528" s="55"/>
      <c r="M528" s="55"/>
      <c r="N528" s="55"/>
      <c r="O528" s="55"/>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x14ac:dyDescent="0.25">
      <c r="C529" s="1"/>
      <c r="D529" s="1"/>
      <c r="E529" s="55"/>
      <c r="F529" s="55"/>
      <c r="G529" s="55"/>
      <c r="H529" s="55"/>
      <c r="I529" s="55"/>
      <c r="J529" s="55"/>
      <c r="K529" s="55"/>
      <c r="L529" s="55"/>
      <c r="M529" s="55"/>
      <c r="N529" s="55"/>
      <c r="O529" s="55"/>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x14ac:dyDescent="0.25">
      <c r="C530" s="1"/>
      <c r="D530" s="1"/>
      <c r="E530" s="55"/>
      <c r="F530" s="55"/>
      <c r="G530" s="55"/>
      <c r="H530" s="55"/>
      <c r="I530" s="55"/>
      <c r="J530" s="55"/>
      <c r="K530" s="55"/>
      <c r="L530" s="55"/>
      <c r="M530" s="55"/>
      <c r="N530" s="55"/>
      <c r="O530" s="55"/>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x14ac:dyDescent="0.25">
      <c r="C531" s="1"/>
      <c r="D531" s="1"/>
      <c r="E531" s="55"/>
      <c r="F531" s="55"/>
      <c r="G531" s="55"/>
      <c r="H531" s="55"/>
      <c r="I531" s="55"/>
      <c r="J531" s="55"/>
      <c r="K531" s="55"/>
      <c r="L531" s="55"/>
      <c r="M531" s="55"/>
      <c r="N531" s="55"/>
      <c r="O531" s="55"/>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x14ac:dyDescent="0.25">
      <c r="C532" s="1"/>
      <c r="D532" s="1"/>
      <c r="E532" s="55"/>
      <c r="F532" s="55"/>
      <c r="G532" s="55"/>
      <c r="H532" s="55"/>
      <c r="I532" s="55"/>
      <c r="J532" s="55"/>
      <c r="K532" s="55"/>
      <c r="L532" s="55"/>
      <c r="M532" s="55"/>
      <c r="N532" s="55"/>
      <c r="O532" s="55"/>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x14ac:dyDescent="0.25">
      <c r="C533" s="1"/>
      <c r="D533" s="1"/>
      <c r="E533" s="55"/>
      <c r="F533" s="55"/>
      <c r="G533" s="55"/>
      <c r="H533" s="55"/>
      <c r="I533" s="55"/>
      <c r="J533" s="55"/>
      <c r="K533" s="55"/>
      <c r="L533" s="55"/>
      <c r="M533" s="55"/>
      <c r="N533" s="55"/>
      <c r="O533" s="55"/>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x14ac:dyDescent="0.25">
      <c r="C534" s="1"/>
      <c r="D534" s="1"/>
      <c r="E534" s="55"/>
      <c r="F534" s="55"/>
      <c r="G534" s="55"/>
      <c r="H534" s="55"/>
      <c r="I534" s="55"/>
      <c r="J534" s="55"/>
      <c r="K534" s="55"/>
      <c r="L534" s="55"/>
      <c r="M534" s="55"/>
      <c r="N534" s="55"/>
      <c r="O534" s="55"/>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x14ac:dyDescent="0.25">
      <c r="C535" s="1"/>
      <c r="D535" s="1"/>
      <c r="E535" s="55"/>
      <c r="F535" s="55"/>
      <c r="G535" s="55"/>
      <c r="H535" s="55"/>
      <c r="I535" s="55"/>
      <c r="J535" s="55"/>
      <c r="K535" s="55"/>
      <c r="L535" s="55"/>
      <c r="M535" s="55"/>
      <c r="N535" s="55"/>
      <c r="O535" s="55"/>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x14ac:dyDescent="0.25">
      <c r="C536" s="1"/>
      <c r="D536" s="1"/>
      <c r="E536" s="55"/>
      <c r="F536" s="55"/>
      <c r="G536" s="55"/>
      <c r="H536" s="55"/>
      <c r="I536" s="55"/>
      <c r="J536" s="55"/>
      <c r="K536" s="55"/>
      <c r="L536" s="55"/>
      <c r="M536" s="55"/>
      <c r="N536" s="55"/>
      <c r="O536" s="55"/>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x14ac:dyDescent="0.25">
      <c r="C537" s="1"/>
      <c r="D537" s="1"/>
      <c r="E537" s="55"/>
      <c r="F537" s="55"/>
      <c r="G537" s="55"/>
      <c r="H537" s="55"/>
      <c r="I537" s="55"/>
      <c r="J537" s="55"/>
      <c r="K537" s="55"/>
      <c r="L537" s="55"/>
      <c r="M537" s="55"/>
      <c r="N537" s="55"/>
      <c r="O537" s="55"/>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x14ac:dyDescent="0.25">
      <c r="C538" s="1"/>
      <c r="D538" s="1"/>
      <c r="E538" s="55"/>
      <c r="F538" s="55"/>
      <c r="G538" s="55"/>
      <c r="H538" s="55"/>
      <c r="I538" s="55"/>
      <c r="J538" s="55"/>
      <c r="K538" s="55"/>
      <c r="L538" s="55"/>
      <c r="M538" s="55"/>
      <c r="N538" s="55"/>
      <c r="O538" s="55"/>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x14ac:dyDescent="0.25">
      <c r="C539" s="1"/>
      <c r="D539" s="1"/>
      <c r="E539" s="55"/>
      <c r="F539" s="55"/>
      <c r="G539" s="55"/>
      <c r="H539" s="55"/>
      <c r="I539" s="55"/>
      <c r="J539" s="55"/>
      <c r="K539" s="55"/>
      <c r="L539" s="55"/>
      <c r="M539" s="55"/>
      <c r="N539" s="55"/>
      <c r="O539" s="55"/>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x14ac:dyDescent="0.25">
      <c r="C540" s="1"/>
      <c r="D540" s="1"/>
      <c r="E540" s="55"/>
      <c r="F540" s="55"/>
      <c r="G540" s="55"/>
      <c r="H540" s="55"/>
      <c r="I540" s="55"/>
      <c r="J540" s="55"/>
      <c r="K540" s="55"/>
      <c r="L540" s="55"/>
      <c r="M540" s="55"/>
      <c r="N540" s="55"/>
      <c r="O540" s="55"/>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x14ac:dyDescent="0.25">
      <c r="C541" s="1"/>
      <c r="D541" s="1"/>
      <c r="E541" s="55"/>
      <c r="F541" s="55"/>
      <c r="G541" s="55"/>
      <c r="H541" s="55"/>
      <c r="I541" s="55"/>
      <c r="J541" s="55"/>
      <c r="K541" s="55"/>
      <c r="L541" s="55"/>
      <c r="M541" s="55"/>
      <c r="N541" s="55"/>
      <c r="O541" s="55"/>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x14ac:dyDescent="0.25">
      <c r="C542" s="1"/>
      <c r="D542" s="1"/>
      <c r="E542" s="55"/>
      <c r="F542" s="55"/>
      <c r="G542" s="55"/>
      <c r="H542" s="55"/>
      <c r="I542" s="55"/>
      <c r="J542" s="55"/>
      <c r="K542" s="55"/>
      <c r="L542" s="55"/>
      <c r="M542" s="55"/>
      <c r="N542" s="55"/>
      <c r="O542" s="55"/>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x14ac:dyDescent="0.25">
      <c r="C543" s="1"/>
      <c r="D543" s="1"/>
      <c r="E543" s="55"/>
      <c r="F543" s="55"/>
      <c r="G543" s="55"/>
      <c r="H543" s="55"/>
      <c r="I543" s="55"/>
      <c r="J543" s="55"/>
      <c r="K543" s="55"/>
      <c r="L543" s="55"/>
      <c r="M543" s="55"/>
      <c r="N543" s="55"/>
      <c r="O543" s="55"/>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x14ac:dyDescent="0.25">
      <c r="C544" s="1"/>
      <c r="D544" s="1"/>
      <c r="E544" s="55"/>
      <c r="F544" s="55"/>
      <c r="G544" s="55"/>
      <c r="H544" s="55"/>
      <c r="I544" s="55"/>
      <c r="J544" s="55"/>
      <c r="K544" s="55"/>
      <c r="L544" s="55"/>
      <c r="M544" s="55"/>
      <c r="N544" s="55"/>
      <c r="O544" s="55"/>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x14ac:dyDescent="0.25">
      <c r="C545" s="1"/>
      <c r="D545" s="1"/>
      <c r="E545" s="55"/>
      <c r="F545" s="55"/>
      <c r="G545" s="55"/>
      <c r="H545" s="55"/>
      <c r="I545" s="55"/>
      <c r="J545" s="55"/>
      <c r="K545" s="55"/>
      <c r="L545" s="55"/>
      <c r="M545" s="55"/>
      <c r="N545" s="55"/>
      <c r="O545" s="55"/>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x14ac:dyDescent="0.25">
      <c r="C546" s="1"/>
      <c r="D546" s="1"/>
      <c r="E546" s="55"/>
      <c r="F546" s="55"/>
      <c r="G546" s="55"/>
      <c r="H546" s="55"/>
      <c r="I546" s="55"/>
      <c r="J546" s="55"/>
      <c r="K546" s="55"/>
      <c r="L546" s="55"/>
      <c r="M546" s="55"/>
      <c r="N546" s="55"/>
      <c r="O546" s="55"/>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x14ac:dyDescent="0.25">
      <c r="C547" s="1"/>
      <c r="D547" s="1"/>
      <c r="E547" s="55"/>
      <c r="F547" s="55"/>
      <c r="G547" s="55"/>
      <c r="H547" s="55"/>
      <c r="I547" s="55"/>
      <c r="J547" s="55"/>
      <c r="K547" s="55"/>
      <c r="L547" s="55"/>
      <c r="M547" s="55"/>
      <c r="N547" s="55"/>
      <c r="O547" s="55"/>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x14ac:dyDescent="0.25">
      <c r="C548" s="1"/>
      <c r="D548" s="1"/>
      <c r="E548" s="55"/>
      <c r="F548" s="55"/>
      <c r="G548" s="55"/>
      <c r="H548" s="55"/>
      <c r="I548" s="55"/>
      <c r="J548" s="55"/>
      <c r="K548" s="55"/>
      <c r="L548" s="55"/>
      <c r="M548" s="55"/>
      <c r="N548" s="55"/>
      <c r="O548" s="55"/>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x14ac:dyDescent="0.25">
      <c r="C549" s="1"/>
      <c r="D549" s="1"/>
      <c r="E549" s="55"/>
      <c r="F549" s="55"/>
      <c r="G549" s="55"/>
      <c r="H549" s="55"/>
      <c r="I549" s="55"/>
      <c r="J549" s="55"/>
      <c r="K549" s="55"/>
      <c r="L549" s="55"/>
      <c r="M549" s="55"/>
      <c r="N549" s="55"/>
      <c r="O549" s="55"/>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x14ac:dyDescent="0.25">
      <c r="C550" s="1"/>
      <c r="D550" s="1"/>
      <c r="E550" s="55"/>
      <c r="F550" s="55"/>
      <c r="G550" s="55"/>
      <c r="H550" s="55"/>
      <c r="I550" s="55"/>
      <c r="J550" s="55"/>
      <c r="K550" s="55"/>
      <c r="L550" s="55"/>
      <c r="M550" s="55"/>
      <c r="N550" s="55"/>
      <c r="O550" s="55"/>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x14ac:dyDescent="0.25">
      <c r="C551" s="1"/>
      <c r="D551" s="1"/>
      <c r="E551" s="55"/>
      <c r="F551" s="55"/>
      <c r="G551" s="55"/>
      <c r="H551" s="55"/>
      <c r="I551" s="55"/>
      <c r="J551" s="55"/>
      <c r="K551" s="55"/>
      <c r="L551" s="55"/>
      <c r="M551" s="55"/>
      <c r="N551" s="55"/>
      <c r="O551" s="55"/>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x14ac:dyDescent="0.25">
      <c r="C552" s="1"/>
      <c r="D552" s="1"/>
      <c r="E552" s="55"/>
      <c r="F552" s="55"/>
      <c r="G552" s="55"/>
      <c r="H552" s="55"/>
      <c r="I552" s="55"/>
      <c r="J552" s="55"/>
      <c r="K552" s="55"/>
      <c r="L552" s="55"/>
      <c r="M552" s="55"/>
      <c r="N552" s="55"/>
      <c r="O552" s="55"/>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x14ac:dyDescent="0.25">
      <c r="C553" s="1"/>
      <c r="D553" s="1"/>
      <c r="E553" s="55"/>
      <c r="F553" s="55"/>
      <c r="G553" s="55"/>
      <c r="H553" s="55"/>
      <c r="I553" s="55"/>
      <c r="J553" s="55"/>
      <c r="K553" s="55"/>
      <c r="L553" s="55"/>
      <c r="M553" s="55"/>
      <c r="N553" s="55"/>
      <c r="O553" s="55"/>
      <c r="P553" s="1"/>
    </row>
    <row r="554" spans="3:42" x14ac:dyDescent="0.25">
      <c r="C554" s="1"/>
      <c r="D554" s="1"/>
      <c r="E554" s="55"/>
      <c r="F554" s="55"/>
      <c r="G554" s="55"/>
      <c r="H554" s="55"/>
      <c r="I554" s="55"/>
      <c r="J554" s="55"/>
      <c r="K554" s="55"/>
      <c r="L554" s="55"/>
      <c r="M554" s="55"/>
      <c r="N554" s="55"/>
      <c r="O554" s="55"/>
    </row>
    <row r="555" spans="3:42" x14ac:dyDescent="0.25">
      <c r="C555" s="1"/>
      <c r="D555" s="1"/>
      <c r="E555" s="55"/>
      <c r="F555" s="55"/>
      <c r="G555" s="55"/>
      <c r="H555" s="55"/>
      <c r="I555" s="55"/>
      <c r="J555" s="55"/>
      <c r="K555" s="55"/>
      <c r="L555" s="55"/>
      <c r="M555" s="55"/>
      <c r="N555" s="55"/>
      <c r="O555" s="55"/>
    </row>
    <row r="556" spans="3:42" x14ac:dyDescent="0.25">
      <c r="C556" s="1"/>
      <c r="D556" s="1"/>
      <c r="E556" s="55"/>
      <c r="F556" s="55"/>
      <c r="G556" s="55"/>
      <c r="H556" s="55"/>
      <c r="I556" s="55"/>
      <c r="J556" s="55"/>
      <c r="K556" s="55"/>
      <c r="L556" s="55"/>
      <c r="M556" s="55"/>
      <c r="N556" s="55"/>
      <c r="O556" s="55"/>
    </row>
    <row r="557" spans="3:42" x14ac:dyDescent="0.25">
      <c r="C557" s="1"/>
      <c r="D557" s="1"/>
      <c r="E557" s="55"/>
      <c r="F557" s="55"/>
      <c r="G557" s="55"/>
      <c r="H557" s="55"/>
      <c r="I557" s="55"/>
      <c r="J557" s="55"/>
      <c r="K557" s="55"/>
      <c r="L557" s="55"/>
      <c r="M557" s="55"/>
      <c r="N557" s="55"/>
      <c r="O557" s="55"/>
    </row>
    <row r="558" spans="3:42" x14ac:dyDescent="0.25">
      <c r="C558" s="1"/>
      <c r="D558" s="1"/>
      <c r="E558" s="55"/>
      <c r="F558" s="55"/>
      <c r="G558" s="55"/>
      <c r="H558" s="55"/>
      <c r="I558" s="55"/>
      <c r="J558" s="55"/>
      <c r="K558" s="55"/>
      <c r="L558" s="55"/>
      <c r="M558" s="55"/>
      <c r="N558" s="55"/>
      <c r="O558" s="55"/>
    </row>
    <row r="559" spans="3:42" x14ac:dyDescent="0.25">
      <c r="C559" s="1"/>
      <c r="D559" s="1"/>
      <c r="E559" s="55"/>
      <c r="F559" s="55"/>
      <c r="G559" s="55"/>
      <c r="H559" s="55"/>
      <c r="I559" s="55"/>
      <c r="J559" s="55"/>
      <c r="K559" s="55"/>
      <c r="L559" s="55"/>
      <c r="M559" s="55"/>
      <c r="N559" s="55"/>
      <c r="O559" s="55"/>
    </row>
    <row r="560" spans="3:42" x14ac:dyDescent="0.25">
      <c r="C560" s="1"/>
      <c r="D560" s="1"/>
      <c r="E560" s="55"/>
      <c r="F560" s="55"/>
      <c r="G560" s="55"/>
      <c r="H560" s="55"/>
      <c r="I560" s="55"/>
      <c r="J560" s="55"/>
      <c r="K560" s="55"/>
      <c r="L560" s="55"/>
      <c r="M560" s="55"/>
      <c r="N560" s="55"/>
      <c r="O560" s="55"/>
    </row>
    <row r="561" spans="3:15" x14ac:dyDescent="0.25">
      <c r="C561" s="1"/>
      <c r="D561" s="1"/>
      <c r="E561" s="55"/>
      <c r="F561" s="55"/>
      <c r="G561" s="55"/>
      <c r="H561" s="55"/>
      <c r="I561" s="55"/>
      <c r="J561" s="55"/>
      <c r="K561" s="55"/>
      <c r="L561" s="55"/>
      <c r="M561" s="55"/>
      <c r="N561" s="55"/>
      <c r="O561" s="55"/>
    </row>
    <row r="562" spans="3:15" x14ac:dyDescent="0.25">
      <c r="C562" s="1"/>
      <c r="D562" s="1"/>
      <c r="E562" s="55"/>
      <c r="F562" s="55"/>
      <c r="G562" s="55"/>
      <c r="H562" s="55"/>
      <c r="I562" s="55"/>
      <c r="J562" s="55"/>
      <c r="K562" s="55"/>
      <c r="L562" s="55"/>
      <c r="M562" s="55"/>
      <c r="N562" s="55"/>
      <c r="O562" s="55"/>
    </row>
    <row r="563" spans="3:15" x14ac:dyDescent="0.25">
      <c r="C563" s="1"/>
      <c r="D563" s="1"/>
      <c r="E563" s="55"/>
      <c r="F563" s="55"/>
      <c r="G563" s="55"/>
      <c r="H563" s="55"/>
      <c r="I563" s="55"/>
      <c r="J563" s="55"/>
      <c r="K563" s="55"/>
      <c r="L563" s="55"/>
      <c r="M563" s="55"/>
      <c r="N563" s="55"/>
      <c r="O563" s="55"/>
    </row>
    <row r="564" spans="3:15" x14ac:dyDescent="0.25">
      <c r="C564" s="1"/>
      <c r="D564" s="1"/>
      <c r="E564" s="55"/>
      <c r="F564" s="55"/>
      <c r="G564" s="55"/>
      <c r="H564" s="55"/>
      <c r="I564" s="55"/>
      <c r="J564" s="55"/>
      <c r="K564" s="55"/>
      <c r="L564" s="55"/>
      <c r="M564" s="55"/>
      <c r="N564" s="55"/>
      <c r="O564" s="55"/>
    </row>
    <row r="565" spans="3:15" x14ac:dyDescent="0.25">
      <c r="C565" s="1"/>
      <c r="D565" s="1"/>
      <c r="E565" s="55"/>
      <c r="F565" s="55"/>
      <c r="G565" s="55"/>
      <c r="H565" s="55"/>
      <c r="I565" s="55"/>
      <c r="J565" s="55"/>
      <c r="K565" s="55"/>
      <c r="L565" s="55"/>
      <c r="M565" s="55"/>
      <c r="N565" s="55"/>
      <c r="O565" s="55"/>
    </row>
    <row r="566" spans="3:15" x14ac:dyDescent="0.25">
      <c r="C566" s="1"/>
      <c r="D566" s="1"/>
      <c r="E566" s="55"/>
      <c r="F566" s="55"/>
      <c r="G566" s="55"/>
      <c r="H566" s="55"/>
      <c r="I566" s="55"/>
      <c r="J566" s="55"/>
      <c r="K566" s="55"/>
      <c r="L566" s="55"/>
      <c r="M566" s="55"/>
      <c r="N566" s="49"/>
      <c r="O566" s="50"/>
    </row>
    <row r="567" spans="3:15" x14ac:dyDescent="0.25">
      <c r="C567" s="1"/>
      <c r="D567" s="1"/>
      <c r="E567" s="55"/>
      <c r="F567" s="55"/>
      <c r="G567" s="55"/>
      <c r="H567" s="55"/>
      <c r="I567" s="55"/>
      <c r="J567" s="55"/>
      <c r="K567" s="55"/>
      <c r="L567" s="55"/>
      <c r="M567" s="55"/>
      <c r="N567" s="49"/>
      <c r="O567" s="50"/>
    </row>
    <row r="568" spans="3:15" x14ac:dyDescent="0.25">
      <c r="C568" s="1"/>
      <c r="D568" s="1"/>
      <c r="E568" s="55"/>
      <c r="F568" s="55"/>
      <c r="G568" s="55"/>
      <c r="H568" s="55"/>
      <c r="I568" s="55"/>
      <c r="J568" s="55"/>
      <c r="K568" s="55"/>
      <c r="L568" s="55"/>
      <c r="M568" s="55"/>
    </row>
    <row r="569" spans="3:15" x14ac:dyDescent="0.25">
      <c r="C569" s="1"/>
      <c r="D569" s="1"/>
      <c r="E569" s="55"/>
      <c r="F569" s="55"/>
      <c r="G569" s="55"/>
      <c r="H569" s="55"/>
      <c r="I569" s="55"/>
      <c r="J569" s="55"/>
      <c r="K569" s="55"/>
      <c r="L569" s="55"/>
      <c r="M569" s="49"/>
    </row>
    <row r="570" spans="3:15" x14ac:dyDescent="0.25">
      <c r="C570" s="1"/>
      <c r="D570" s="1"/>
      <c r="E570" s="55"/>
      <c r="F570" s="55"/>
      <c r="G570" s="55"/>
      <c r="H570" s="55"/>
      <c r="I570" s="55"/>
      <c r="J570" s="55"/>
      <c r="K570" s="55"/>
      <c r="L570" s="55"/>
      <c r="M570" s="49"/>
    </row>
    <row r="571" spans="3:15" x14ac:dyDescent="0.25">
      <c r="C571" s="1"/>
      <c r="D571" s="1"/>
      <c r="E571" s="55"/>
      <c r="F571" s="55"/>
      <c r="G571" s="55"/>
      <c r="H571" s="55"/>
      <c r="I571" s="55"/>
      <c r="J571" s="55"/>
      <c r="K571" s="55"/>
      <c r="L571" s="55"/>
    </row>
    <row r="572" spans="3:15" x14ac:dyDescent="0.25">
      <c r="C572" s="1"/>
      <c r="D572" s="1"/>
      <c r="E572" s="55"/>
      <c r="F572" s="55"/>
      <c r="G572" s="55"/>
      <c r="H572" s="55"/>
      <c r="I572" s="55"/>
      <c r="J572" s="55"/>
      <c r="K572" s="55"/>
      <c r="L572" s="55"/>
    </row>
    <row r="573" spans="3:15" x14ac:dyDescent="0.25">
      <c r="C573" s="1"/>
      <c r="D573" s="1"/>
      <c r="E573" s="55"/>
      <c r="F573" s="55"/>
      <c r="G573" s="55"/>
      <c r="H573" s="55"/>
      <c r="I573" s="55"/>
      <c r="J573" s="55"/>
      <c r="K573" s="49"/>
      <c r="L573" s="49"/>
    </row>
    <row r="574" spans="3:15" x14ac:dyDescent="0.25">
      <c r="C574" s="1"/>
      <c r="D574" s="1"/>
      <c r="E574" s="55"/>
      <c r="F574" s="55"/>
      <c r="G574" s="55"/>
      <c r="H574" s="55"/>
      <c r="I574" s="55"/>
      <c r="J574" s="55"/>
      <c r="K574" s="49"/>
      <c r="L574" s="49"/>
    </row>
    <row r="575" spans="3:15" x14ac:dyDescent="0.25">
      <c r="C575" s="1"/>
      <c r="D575" s="1"/>
      <c r="E575" s="55"/>
      <c r="F575" s="55"/>
      <c r="G575" s="55"/>
      <c r="H575" s="55"/>
      <c r="I575" s="55"/>
      <c r="J575" s="55"/>
    </row>
    <row r="576" spans="3:15" x14ac:dyDescent="0.25">
      <c r="C576" s="1"/>
      <c r="D576" s="1"/>
      <c r="E576" s="48"/>
      <c r="F576" s="49"/>
      <c r="G576" s="49"/>
      <c r="H576" s="49"/>
      <c r="I576" s="49"/>
      <c r="J576" s="49"/>
    </row>
    <row r="577" spans="3:10" x14ac:dyDescent="0.25">
      <c r="C577" s="1"/>
      <c r="D577" s="1"/>
      <c r="E577" s="48"/>
      <c r="F577" s="49"/>
      <c r="G577" s="49"/>
      <c r="H577" s="49"/>
      <c r="I577" s="49"/>
      <c r="J577" s="49"/>
    </row>
    <row r="578" spans="3:10" x14ac:dyDescent="0.25">
      <c r="C578" s="1"/>
    </row>
    <row r="579" spans="3:10" x14ac:dyDescent="0.25">
      <c r="C579" s="1"/>
    </row>
    <row r="580" spans="3:10" x14ac:dyDescent="0.25">
      <c r="C580" s="1"/>
    </row>
    <row r="581" spans="3:10" x14ac:dyDescent="0.25">
      <c r="C581"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77E9-5EBC-43DF-AC77-55E4CE163A6D}">
  <dimension ref="A1:AI57"/>
  <sheetViews>
    <sheetView workbookViewId="0">
      <selection activeCell="L5" sqref="L5"/>
    </sheetView>
  </sheetViews>
  <sheetFormatPr defaultRowHeight="15" x14ac:dyDescent="0.25"/>
  <cols>
    <col min="1" max="1" width="21.7109375" customWidth="1"/>
    <col min="5" max="5" width="10.42578125" customWidth="1"/>
    <col min="6" max="6" width="10" customWidth="1"/>
    <col min="12" max="12" width="12.140625" customWidth="1"/>
    <col min="13" max="13" width="10.85546875" customWidth="1"/>
  </cols>
  <sheetData>
    <row r="1" spans="1:35" ht="15.75" thickBot="1" x14ac:dyDescent="0.3">
      <c r="A1" s="483" t="s">
        <v>488</v>
      </c>
      <c r="B1" s="484"/>
      <c r="C1" s="485"/>
      <c r="D1" s="1"/>
      <c r="E1" s="1"/>
      <c r="F1" s="1"/>
      <c r="G1" s="1"/>
      <c r="H1" s="1"/>
      <c r="I1" s="1"/>
      <c r="J1" s="1"/>
      <c r="K1" s="1"/>
      <c r="L1" s="1"/>
      <c r="M1" s="1"/>
      <c r="N1" s="1"/>
      <c r="O1" s="1"/>
      <c r="P1" s="1"/>
      <c r="Q1" s="1"/>
      <c r="R1" s="1"/>
      <c r="S1" s="1"/>
      <c r="T1" s="1"/>
      <c r="U1" s="1"/>
      <c r="V1" s="1"/>
      <c r="W1" s="1"/>
      <c r="X1" s="1"/>
      <c r="Y1" s="1"/>
      <c r="Z1" s="1"/>
      <c r="AA1" s="55"/>
      <c r="AB1" s="55"/>
      <c r="AC1" s="55"/>
      <c r="AD1" s="55"/>
      <c r="AE1" s="55"/>
      <c r="AF1" s="55"/>
      <c r="AG1" s="55"/>
      <c r="AH1" s="55"/>
      <c r="AI1" s="55"/>
    </row>
    <row r="2" spans="1:35" x14ac:dyDescent="0.25">
      <c r="A2" s="55"/>
      <c r="B2" s="55"/>
      <c r="C2" s="55"/>
      <c r="D2" s="461" t="s">
        <v>478</v>
      </c>
      <c r="E2" s="461"/>
      <c r="F2" s="105"/>
      <c r="G2" s="105"/>
      <c r="H2" s="105"/>
      <c r="I2" s="105"/>
      <c r="J2" s="105"/>
      <c r="K2" s="105"/>
      <c r="L2" s="103"/>
      <c r="M2" s="105" t="s">
        <v>477</v>
      </c>
      <c r="N2" s="105"/>
      <c r="O2" s="105"/>
      <c r="P2" s="105"/>
      <c r="Q2" s="105"/>
      <c r="R2" s="105"/>
      <c r="S2" s="105"/>
      <c r="T2" s="105"/>
      <c r="U2" s="105"/>
      <c r="V2" s="103"/>
      <c r="W2" s="105"/>
      <c r="X2" s="105" t="s">
        <v>518</v>
      </c>
      <c r="Y2" s="105"/>
      <c r="Z2" s="105"/>
      <c r="AA2" s="105"/>
      <c r="AB2" s="103"/>
      <c r="AC2" s="479" t="s">
        <v>519</v>
      </c>
      <c r="AD2" s="105"/>
      <c r="AE2" s="105"/>
      <c r="AF2" s="55"/>
      <c r="AG2" s="55"/>
      <c r="AH2" s="55"/>
      <c r="AI2" s="55"/>
    </row>
    <row r="3" spans="1:35" x14ac:dyDescent="0.25">
      <c r="A3" s="458" t="s">
        <v>489</v>
      </c>
      <c r="B3" s="458"/>
      <c r="C3" s="458"/>
      <c r="D3" s="471">
        <v>2015</v>
      </c>
      <c r="E3" s="470" t="s">
        <v>493</v>
      </c>
      <c r="F3" s="471">
        <v>2016</v>
      </c>
      <c r="G3" s="470" t="s">
        <v>493</v>
      </c>
      <c r="H3" s="471">
        <v>2017</v>
      </c>
      <c r="I3" s="470" t="s">
        <v>493</v>
      </c>
      <c r="J3" s="471">
        <v>2018</v>
      </c>
      <c r="K3" s="470" t="s">
        <v>493</v>
      </c>
      <c r="L3" s="474">
        <v>2019</v>
      </c>
      <c r="M3" s="459" t="s">
        <v>360</v>
      </c>
      <c r="N3" s="477">
        <v>2020</v>
      </c>
      <c r="O3" s="460" t="s">
        <v>360</v>
      </c>
      <c r="P3" s="477">
        <v>2021</v>
      </c>
      <c r="Q3" s="460" t="s">
        <v>360</v>
      </c>
      <c r="R3" s="477">
        <v>2022</v>
      </c>
      <c r="S3" s="460" t="s">
        <v>360</v>
      </c>
      <c r="T3" s="477">
        <v>2023</v>
      </c>
      <c r="U3" s="460" t="s">
        <v>360</v>
      </c>
      <c r="V3" s="489">
        <v>2024</v>
      </c>
      <c r="W3" s="458" t="s">
        <v>360</v>
      </c>
      <c r="X3" s="477">
        <v>2025</v>
      </c>
      <c r="Y3" s="460" t="s">
        <v>360</v>
      </c>
      <c r="Z3" s="490">
        <v>2026</v>
      </c>
      <c r="AA3" s="460" t="s">
        <v>360</v>
      </c>
      <c r="AB3" s="489">
        <v>2027</v>
      </c>
      <c r="AC3" s="55"/>
      <c r="AD3" s="55"/>
      <c r="AE3" s="55"/>
      <c r="AF3" s="55"/>
      <c r="AG3" s="55"/>
      <c r="AH3" s="55"/>
      <c r="AI3" s="55"/>
    </row>
    <row r="4" spans="1:35" x14ac:dyDescent="0.25">
      <c r="A4" s="55"/>
      <c r="B4" s="55"/>
      <c r="C4" s="55"/>
      <c r="D4" s="311"/>
      <c r="E4" s="55"/>
      <c r="F4" s="311"/>
      <c r="G4" s="55"/>
      <c r="H4" s="311"/>
      <c r="I4" s="55"/>
      <c r="J4" s="311"/>
      <c r="K4" s="55"/>
      <c r="L4" s="475"/>
      <c r="M4" s="55"/>
      <c r="N4" s="311"/>
      <c r="O4" s="55"/>
      <c r="P4" s="478"/>
      <c r="Q4" s="1"/>
      <c r="R4" s="478"/>
      <c r="S4" s="1"/>
      <c r="T4" s="478"/>
      <c r="U4" s="1"/>
      <c r="V4" s="475"/>
      <c r="W4" s="55"/>
      <c r="X4" s="478"/>
      <c r="Y4" s="1"/>
      <c r="Z4" s="311"/>
      <c r="AA4" s="1"/>
      <c r="AB4" s="475"/>
      <c r="AC4" s="55"/>
      <c r="AD4" s="55"/>
      <c r="AE4" s="55"/>
      <c r="AF4" s="55"/>
      <c r="AG4" s="55"/>
      <c r="AH4" s="55"/>
      <c r="AI4" s="55"/>
    </row>
    <row r="5" spans="1:35" x14ac:dyDescent="0.25">
      <c r="A5" s="55" t="s">
        <v>495</v>
      </c>
      <c r="B5" s="55"/>
      <c r="C5" s="55"/>
      <c r="D5" s="311">
        <v>3106</v>
      </c>
      <c r="E5" s="480"/>
      <c r="F5" s="481">
        <v>3109.1838560000001</v>
      </c>
      <c r="G5" s="480"/>
      <c r="H5" s="481">
        <v>3109.1838560000001</v>
      </c>
      <c r="I5" s="55"/>
      <c r="J5" s="311">
        <v>3109.1838560000001</v>
      </c>
      <c r="K5" s="55"/>
      <c r="L5" s="475">
        <v>3109.1838560000001</v>
      </c>
      <c r="M5" s="55"/>
      <c r="N5" s="311"/>
      <c r="O5" s="55"/>
      <c r="P5" s="478"/>
      <c r="Q5" s="1"/>
      <c r="R5" s="478"/>
      <c r="S5" s="1"/>
      <c r="T5" s="478"/>
      <c r="U5" s="1"/>
      <c r="V5" s="475"/>
      <c r="W5" s="55"/>
      <c r="X5" s="478"/>
      <c r="Y5" s="1"/>
      <c r="Z5" s="311"/>
      <c r="AA5" s="1"/>
      <c r="AB5" s="475"/>
      <c r="AC5" s="55"/>
      <c r="AD5" s="55"/>
      <c r="AE5" s="55"/>
      <c r="AF5" s="55"/>
      <c r="AG5" s="55"/>
      <c r="AH5" s="55"/>
      <c r="AI5" s="55"/>
    </row>
    <row r="6" spans="1:35" x14ac:dyDescent="0.25">
      <c r="A6" s="55" t="s">
        <v>494</v>
      </c>
      <c r="B6" s="55"/>
      <c r="C6" s="55"/>
      <c r="D6" s="311" t="e">
        <f>#REF!/'Forecasts Simo '!D5</f>
        <v>#REF!</v>
      </c>
      <c r="E6" s="55"/>
      <c r="F6" s="311">
        <f>'Reorganised Statements'!E114/'Forecasts Simo '!F5</f>
        <v>7.4617652330946624E-2</v>
      </c>
      <c r="G6" s="55"/>
      <c r="H6" s="311">
        <f>'Reorganised Statements'!F114/'Forecasts Simo '!H5</f>
        <v>9.4236948848997235E-2</v>
      </c>
      <c r="I6" s="55"/>
      <c r="J6" s="311">
        <f>'Reorganised Statements'!G114/'Forecasts Simo '!J5</f>
        <v>0.11063996724933464</v>
      </c>
      <c r="K6" s="55"/>
      <c r="L6" s="475">
        <f>'Reorganised Statements'!H114/'Forecasts Simo '!L5</f>
        <v>0.12511321877904411</v>
      </c>
      <c r="M6" s="55"/>
      <c r="N6" s="311"/>
      <c r="O6" s="55"/>
      <c r="P6" s="478"/>
      <c r="Q6" s="1"/>
      <c r="R6" s="478"/>
      <c r="S6" s="1"/>
      <c r="T6" s="478"/>
      <c r="U6" s="1"/>
      <c r="V6" s="475"/>
      <c r="W6" s="55"/>
      <c r="X6" s="478"/>
      <c r="Y6" s="1"/>
      <c r="Z6" s="311"/>
      <c r="AA6" s="1"/>
      <c r="AB6" s="475"/>
      <c r="AC6" s="55"/>
      <c r="AD6" s="55"/>
      <c r="AE6" s="55"/>
      <c r="AF6" s="55"/>
      <c r="AG6" s="55"/>
      <c r="AH6" s="55"/>
      <c r="AI6" s="55"/>
    </row>
    <row r="7" spans="1:35" x14ac:dyDescent="0.25">
      <c r="A7" s="55" t="s">
        <v>490</v>
      </c>
      <c r="B7" s="55"/>
      <c r="C7" s="55"/>
      <c r="D7" s="311">
        <v>126</v>
      </c>
      <c r="E7" s="55"/>
      <c r="F7" s="311">
        <v>153</v>
      </c>
      <c r="G7" s="55"/>
      <c r="H7" s="311">
        <v>180</v>
      </c>
      <c r="I7" s="55"/>
      <c r="J7" s="311">
        <v>218</v>
      </c>
      <c r="K7" s="55"/>
      <c r="L7" s="475">
        <v>241</v>
      </c>
      <c r="M7" s="55"/>
      <c r="N7" s="311"/>
      <c r="O7" s="55"/>
      <c r="P7" s="478"/>
      <c r="Q7" s="1"/>
      <c r="R7" s="478"/>
      <c r="S7" s="1"/>
      <c r="T7" s="478"/>
      <c r="U7" s="1"/>
      <c r="V7" s="475"/>
      <c r="W7" s="55"/>
      <c r="X7" s="478"/>
      <c r="Y7" s="1"/>
      <c r="Z7" s="311"/>
      <c r="AA7" s="1"/>
      <c r="AB7" s="475"/>
      <c r="AC7" s="55"/>
      <c r="AD7" s="55"/>
      <c r="AE7" s="55"/>
      <c r="AF7" s="55"/>
      <c r="AG7" s="55"/>
      <c r="AH7" s="55"/>
      <c r="AI7" s="55"/>
    </row>
    <row r="8" spans="1:35" x14ac:dyDescent="0.25">
      <c r="A8" s="55" t="s">
        <v>491</v>
      </c>
      <c r="B8" s="55"/>
      <c r="C8" s="55"/>
      <c r="D8" s="311">
        <v>4.1000000000000002E-2</v>
      </c>
      <c r="E8" s="464">
        <f>(F8-D8)/D8</f>
        <v>0.19999999999999996</v>
      </c>
      <c r="F8" s="311">
        <v>4.9200000000000001E-2</v>
      </c>
      <c r="G8" s="464">
        <f>(H8-F8)/F8</f>
        <v>0.1747967479674796</v>
      </c>
      <c r="H8" s="311">
        <v>5.7799999999999997E-2</v>
      </c>
      <c r="I8" s="464">
        <f>(J8-H8)/H8</f>
        <v>0.21107266435986177</v>
      </c>
      <c r="J8" s="311">
        <v>7.0000000000000007E-2</v>
      </c>
      <c r="K8" s="464">
        <f>(L8-J8)/J8</f>
        <v>0.10714285714285703</v>
      </c>
      <c r="L8" s="475">
        <v>7.7499999999999999E-2</v>
      </c>
      <c r="M8" s="464">
        <f>(N8-L8)/L8</f>
        <v>3.2258064516129059E-2</v>
      </c>
      <c r="N8" s="311">
        <v>0.08</v>
      </c>
      <c r="O8" s="464">
        <f>(P8-N8)/N8</f>
        <v>5.0000000000000044E-2</v>
      </c>
      <c r="P8" s="478">
        <f>N8*(1.05)</f>
        <v>8.4000000000000005E-2</v>
      </c>
      <c r="Q8" s="465">
        <f>(R8-P8)/P8</f>
        <v>5.0000000000000107E-2</v>
      </c>
      <c r="R8" s="478">
        <f>P8*(1.05)</f>
        <v>8.8200000000000014E-2</v>
      </c>
      <c r="S8" s="465">
        <f>(T8-R8)/R8</f>
        <v>5.0000000000000121E-2</v>
      </c>
      <c r="T8" s="478">
        <f>R8*(1.05)</f>
        <v>9.2610000000000026E-2</v>
      </c>
      <c r="U8" s="465">
        <f>(V8-T8)/T8</f>
        <v>5.0000000000000093E-2</v>
      </c>
      <c r="V8" s="475">
        <f>T8*(1.05)</f>
        <v>9.7240500000000035E-2</v>
      </c>
      <c r="W8" s="464" t="e">
        <f>(X8-V8)/V8</f>
        <v>#REF!</v>
      </c>
      <c r="X8" s="478" t="e">
        <f>(V8*(1+K23+K25))</f>
        <v>#REF!</v>
      </c>
      <c r="Y8" s="465" t="e">
        <f>(Z8-X8)/X8</f>
        <v>#REF!</v>
      </c>
      <c r="Z8" s="311" t="e">
        <f>X8*(1+W8+K25)</f>
        <v>#REF!</v>
      </c>
      <c r="AA8" s="465" t="e">
        <f>(AB8-Z8)/Z8</f>
        <v>#REF!</v>
      </c>
      <c r="AB8" s="475" t="e">
        <f>Z8*(1+K24)</f>
        <v>#REF!</v>
      </c>
      <c r="AC8" s="55"/>
      <c r="AD8" s="55"/>
      <c r="AE8" s="55"/>
      <c r="AF8" s="55"/>
      <c r="AG8" s="55"/>
      <c r="AH8" s="55"/>
      <c r="AI8" s="55"/>
    </row>
    <row r="9" spans="1:35" x14ac:dyDescent="0.25">
      <c r="A9" s="55"/>
      <c r="B9" s="55"/>
      <c r="C9" s="55"/>
      <c r="D9" s="472"/>
      <c r="E9" s="463"/>
      <c r="F9" s="473"/>
      <c r="G9" s="464"/>
      <c r="H9" s="473"/>
      <c r="I9" s="464"/>
      <c r="J9" s="473"/>
      <c r="K9" s="464"/>
      <c r="L9" s="476"/>
      <c r="M9" s="464"/>
      <c r="N9" s="311"/>
      <c r="O9" s="55"/>
      <c r="P9" s="478"/>
      <c r="Q9" s="1"/>
      <c r="R9" s="478"/>
      <c r="S9" s="1"/>
      <c r="T9" s="478"/>
      <c r="U9" s="1"/>
      <c r="V9" s="475"/>
      <c r="W9" s="55"/>
      <c r="X9" s="478"/>
      <c r="Y9" s="1"/>
      <c r="Z9" s="311"/>
      <c r="AA9" s="1"/>
      <c r="AB9" s="475"/>
      <c r="AC9" s="55"/>
      <c r="AD9" s="55"/>
      <c r="AE9" s="55"/>
      <c r="AF9" s="55"/>
      <c r="AG9" s="55"/>
      <c r="AH9" s="55"/>
      <c r="AI9" s="55"/>
    </row>
    <row r="10" spans="1:35" x14ac:dyDescent="0.25">
      <c r="A10" s="55"/>
      <c r="B10" s="55"/>
      <c r="C10" s="55"/>
      <c r="D10" s="311"/>
      <c r="E10" s="55"/>
      <c r="F10" s="311"/>
      <c r="G10" s="55"/>
      <c r="H10" s="311"/>
      <c r="I10" s="55"/>
      <c r="J10" s="311"/>
      <c r="K10" s="55"/>
      <c r="L10" s="475"/>
      <c r="M10" s="55" t="s">
        <v>520</v>
      </c>
      <c r="N10" s="472">
        <f>H23</f>
        <v>6.0546861768634365E-2</v>
      </c>
      <c r="O10" s="55"/>
      <c r="P10" s="491">
        <f>H23</f>
        <v>6.0546861768634365E-2</v>
      </c>
      <c r="Q10" s="1"/>
      <c r="R10" s="491">
        <f>H23</f>
        <v>6.0546861768634365E-2</v>
      </c>
      <c r="S10" s="1"/>
      <c r="T10" s="491">
        <f>H23</f>
        <v>6.0546861768634365E-2</v>
      </c>
      <c r="U10" s="1"/>
      <c r="V10" s="492">
        <f>H23</f>
        <v>6.0546861768634365E-2</v>
      </c>
      <c r="W10" s="55" t="s">
        <v>520</v>
      </c>
      <c r="X10" s="491">
        <f>V10+H25</f>
        <v>6.3514719825735491E-2</v>
      </c>
      <c r="Y10" s="1"/>
      <c r="Z10" s="472">
        <f>X10+H25</f>
        <v>6.6482577882836624E-2</v>
      </c>
      <c r="AA10" s="1"/>
      <c r="AB10" s="492">
        <f>Z10+H25</f>
        <v>6.9450435939937757E-2</v>
      </c>
      <c r="AC10" s="55"/>
      <c r="AD10" s="55"/>
      <c r="AE10" s="55"/>
      <c r="AF10" s="55"/>
      <c r="AG10" s="55"/>
      <c r="AH10" s="55"/>
      <c r="AI10" s="55"/>
    </row>
    <row r="11" spans="1:35" x14ac:dyDescent="0.25">
      <c r="A11" s="55" t="s">
        <v>492</v>
      </c>
      <c r="B11" s="55"/>
      <c r="C11" s="55"/>
      <c r="D11" s="473" t="e">
        <f>D7/#REF!</f>
        <v>#REF!</v>
      </c>
      <c r="E11" s="464"/>
      <c r="F11" s="473">
        <f>F7/'Income Statement'!F77</f>
        <v>0.65948275862068961</v>
      </c>
      <c r="G11" s="464"/>
      <c r="H11" s="473">
        <f>H7/'Reorganised Statements'!F114</f>
        <v>0.61433447098976113</v>
      </c>
      <c r="I11" s="464"/>
      <c r="J11" s="473">
        <f>J7/'Reorganised Statements'!G114</f>
        <v>0.63372093023255816</v>
      </c>
      <c r="K11" s="464"/>
      <c r="L11" s="476">
        <f>L7/'Reorganised Statements'!H114</f>
        <v>0.61953727506426737</v>
      </c>
      <c r="M11" s="55" t="s">
        <v>521</v>
      </c>
      <c r="N11" s="311">
        <f>(N8/(1+N10))</f>
        <v>7.5432781788243641E-2</v>
      </c>
      <c r="O11" s="55"/>
      <c r="P11" s="478">
        <f>P8/(POWER(1+P10,2))</f>
        <v>7.4682622459105272E-2</v>
      </c>
      <c r="Q11" s="1"/>
      <c r="R11" s="478">
        <f>R8/(POWER(1+R10,3))</f>
        <v>7.3939923268725574E-2</v>
      </c>
      <c r="S11" s="1"/>
      <c r="T11" s="478">
        <f>T8/(POWER(1+T10,4))</f>
        <v>7.3204610027971476E-2</v>
      </c>
      <c r="U11" s="1"/>
      <c r="V11" s="475">
        <f>V8/(POWER(1+V10,5))</f>
        <v>7.2476609285501467E-2</v>
      </c>
      <c r="W11" s="55" t="s">
        <v>521</v>
      </c>
      <c r="X11" s="478" t="e">
        <f>(X8/(1+X10))/(POWER(1+H23,5))</f>
        <v>#REF!</v>
      </c>
      <c r="Y11" s="1"/>
      <c r="Z11" s="311" t="e">
        <f>(((Z8/(1+Z10))/(1+X10))/POWER(1+H23,5))</f>
        <v>#REF!</v>
      </c>
      <c r="AA11" s="1"/>
      <c r="AB11" s="475" t="e">
        <f>((AB8/(1+AB10))/(1+Z10)/(1+X10)/(POWER(1+T10,5)))</f>
        <v>#REF!</v>
      </c>
      <c r="AC11" s="55"/>
      <c r="AD11" s="55"/>
      <c r="AE11" s="55"/>
      <c r="AF11" s="55"/>
      <c r="AG11" s="55"/>
      <c r="AH11" s="55"/>
      <c r="AI11" s="55"/>
    </row>
    <row r="12" spans="1:35" x14ac:dyDescent="0.25">
      <c r="A12" s="55"/>
      <c r="B12" s="55"/>
      <c r="C12" s="55"/>
      <c r="D12" s="55"/>
      <c r="E12" s="55"/>
      <c r="F12" s="55"/>
      <c r="G12" s="55"/>
      <c r="H12" s="55"/>
      <c r="I12" s="55"/>
      <c r="J12" s="55"/>
      <c r="K12" s="55"/>
      <c r="L12" s="55"/>
      <c r="M12" s="55"/>
      <c r="N12" s="55"/>
      <c r="O12" s="55"/>
      <c r="P12" s="1"/>
      <c r="Q12" s="1"/>
      <c r="R12" s="1"/>
      <c r="S12" s="1"/>
      <c r="T12" s="1"/>
      <c r="U12" s="1"/>
      <c r="V12" s="1"/>
      <c r="W12" s="1"/>
      <c r="X12" s="1"/>
      <c r="Y12" s="1"/>
      <c r="Z12" s="1"/>
      <c r="AA12" s="55"/>
      <c r="AB12" s="55"/>
      <c r="AC12" s="55"/>
      <c r="AD12" s="55"/>
      <c r="AE12" s="55"/>
      <c r="AF12" s="55"/>
      <c r="AG12" s="55"/>
      <c r="AH12" s="55"/>
      <c r="AI12" s="55"/>
    </row>
    <row r="13" spans="1:35" x14ac:dyDescent="0.25">
      <c r="A13" s="55"/>
      <c r="B13" s="55"/>
      <c r="C13" s="55"/>
      <c r="D13" s="55"/>
      <c r="E13" s="55"/>
      <c r="F13" s="55"/>
      <c r="G13" s="55"/>
      <c r="H13" s="55"/>
      <c r="I13" s="55"/>
      <c r="J13" s="55"/>
      <c r="K13" s="55"/>
      <c r="L13" s="55"/>
      <c r="M13" s="55"/>
      <c r="N13" s="55"/>
      <c r="O13" s="55"/>
      <c r="P13" s="1"/>
      <c r="Q13" s="1"/>
      <c r="R13" s="1"/>
      <c r="S13" s="1"/>
      <c r="T13" s="1"/>
      <c r="U13" s="1"/>
      <c r="V13" s="1"/>
      <c r="W13" s="1"/>
      <c r="X13" s="1"/>
      <c r="Y13" s="1"/>
      <c r="Z13" s="1"/>
      <c r="AA13" s="55"/>
      <c r="AB13" s="55"/>
      <c r="AC13" s="55"/>
      <c r="AD13" s="55"/>
      <c r="AE13" s="55"/>
      <c r="AF13" s="55"/>
      <c r="AG13" s="55"/>
      <c r="AH13" s="55"/>
      <c r="AI13" s="55"/>
    </row>
    <row r="14" spans="1:35" x14ac:dyDescent="0.25">
      <c r="A14" s="55"/>
      <c r="B14" s="55"/>
      <c r="C14" s="55"/>
      <c r="D14" s="55"/>
      <c r="E14" s="55"/>
      <c r="F14" s="55"/>
      <c r="G14" s="55"/>
      <c r="H14" s="55"/>
      <c r="I14" s="55"/>
      <c r="J14" s="431"/>
      <c r="K14" s="431"/>
      <c r="L14" s="431"/>
      <c r="M14" s="431"/>
      <c r="N14" s="55"/>
      <c r="O14" s="55"/>
      <c r="P14" s="1"/>
      <c r="Q14" s="1"/>
      <c r="R14" s="1"/>
      <c r="S14" s="1"/>
      <c r="T14" s="1"/>
      <c r="U14" s="1"/>
      <c r="V14" s="1"/>
      <c r="W14" s="1"/>
      <c r="X14" s="1"/>
      <c r="Y14" s="1"/>
      <c r="Z14" s="1"/>
      <c r="AA14" s="55"/>
      <c r="AB14" s="55"/>
      <c r="AC14" s="55"/>
      <c r="AD14" s="55"/>
      <c r="AE14" s="55"/>
      <c r="AF14" s="55"/>
      <c r="AG14" s="431"/>
      <c r="AH14" s="55"/>
      <c r="AI14" s="55"/>
    </row>
    <row r="15" spans="1:35" ht="15.75" thickBot="1" x14ac:dyDescent="0.3">
      <c r="A15" s="55"/>
      <c r="B15" s="55"/>
      <c r="C15" s="55"/>
      <c r="D15" s="55"/>
      <c r="E15" s="55"/>
      <c r="F15" s="55"/>
      <c r="G15" s="55"/>
      <c r="H15" s="55"/>
      <c r="I15" s="55"/>
      <c r="J15" s="55"/>
      <c r="K15" s="55"/>
      <c r="L15" s="55"/>
      <c r="M15" s="55"/>
      <c r="N15" s="55"/>
      <c r="O15" s="55"/>
      <c r="P15" s="1"/>
      <c r="Q15" s="1"/>
      <c r="R15" s="1"/>
      <c r="S15" s="1"/>
      <c r="T15" s="1"/>
      <c r="U15" s="1"/>
      <c r="V15" s="1"/>
      <c r="W15" s="1"/>
      <c r="X15" s="1"/>
      <c r="Y15" s="1"/>
      <c r="Z15" s="1"/>
      <c r="AA15" s="55"/>
      <c r="AB15" s="55"/>
      <c r="AC15" s="55"/>
      <c r="AD15" s="55"/>
      <c r="AE15" s="55"/>
      <c r="AF15" s="55"/>
      <c r="AG15" s="55"/>
      <c r="AH15" s="55"/>
      <c r="AI15" s="55"/>
    </row>
    <row r="16" spans="1:35" x14ac:dyDescent="0.25">
      <c r="A16" s="55"/>
      <c r="B16" s="55"/>
      <c r="C16" s="55"/>
      <c r="D16" s="55"/>
      <c r="E16" s="55"/>
      <c r="F16" s="55"/>
      <c r="G16" s="55"/>
      <c r="H16" s="55"/>
      <c r="I16" s="55"/>
      <c r="J16" s="495" t="s">
        <v>522</v>
      </c>
      <c r="K16" s="308"/>
      <c r="L16" s="308"/>
      <c r="M16" s="305"/>
      <c r="N16" s="55"/>
      <c r="O16" s="55"/>
      <c r="P16" s="1"/>
      <c r="Q16" s="1"/>
      <c r="R16" s="1"/>
      <c r="S16" s="1"/>
      <c r="T16" s="1"/>
      <c r="U16" s="1"/>
      <c r="V16" s="1"/>
      <c r="W16" s="1"/>
      <c r="X16" s="1"/>
      <c r="Y16" s="1"/>
      <c r="Z16" s="1"/>
      <c r="AA16" s="55"/>
      <c r="AB16" s="55"/>
      <c r="AC16" s="55"/>
      <c r="AD16" s="55"/>
      <c r="AE16" s="55"/>
      <c r="AF16" s="55"/>
      <c r="AG16" s="55"/>
      <c r="AH16" s="55"/>
      <c r="AI16" s="55"/>
    </row>
    <row r="17" spans="1:35" x14ac:dyDescent="0.25">
      <c r="A17" s="55"/>
      <c r="B17" s="55"/>
      <c r="C17" s="55"/>
      <c r="D17" s="55"/>
      <c r="E17" s="55"/>
      <c r="F17" s="105" t="s">
        <v>502</v>
      </c>
      <c r="G17" s="105"/>
      <c r="H17" s="105"/>
      <c r="I17" s="55"/>
      <c r="J17" s="262" t="s">
        <v>499</v>
      </c>
      <c r="K17" s="55"/>
      <c r="L17" s="462"/>
      <c r="M17" s="295">
        <f>N11+P11+R11+T11+V11</f>
        <v>0.36973654682954743</v>
      </c>
      <c r="N17" s="55"/>
      <c r="O17" s="55"/>
      <c r="P17" s="1"/>
      <c r="Q17" s="1"/>
      <c r="R17" s="1"/>
      <c r="S17" s="1"/>
      <c r="T17" s="1"/>
      <c r="U17" s="1"/>
      <c r="V17" s="1"/>
      <c r="W17" s="1"/>
      <c r="X17" s="1"/>
      <c r="Y17" s="1"/>
      <c r="Z17" s="1"/>
      <c r="AA17" s="55"/>
      <c r="AB17" s="55"/>
      <c r="AC17" s="55"/>
      <c r="AD17" s="55"/>
      <c r="AE17" s="55"/>
      <c r="AF17" s="55"/>
      <c r="AG17" s="55"/>
      <c r="AH17" s="55"/>
      <c r="AI17" s="55"/>
    </row>
    <row r="18" spans="1:35" x14ac:dyDescent="0.25">
      <c r="A18" s="55"/>
      <c r="B18" s="55"/>
      <c r="C18" s="55"/>
      <c r="D18" s="55"/>
      <c r="E18" s="55"/>
      <c r="F18" s="55" t="s">
        <v>496</v>
      </c>
      <c r="G18" s="55"/>
      <c r="H18" s="463" t="e">
        <f>AVERAGE(D11,F11,H11,J11,L11)</f>
        <v>#REF!</v>
      </c>
      <c r="I18" s="55"/>
      <c r="J18" s="262" t="s">
        <v>510</v>
      </c>
      <c r="K18" s="55"/>
      <c r="L18" s="462"/>
      <c r="M18" s="295" t="e">
        <f>X11+Z11+AB11</f>
        <v>#REF!</v>
      </c>
      <c r="N18" s="55"/>
      <c r="O18" s="55"/>
      <c r="P18" s="1"/>
      <c r="Q18" s="1"/>
      <c r="R18" s="1"/>
      <c r="S18" s="1"/>
      <c r="T18" s="1"/>
      <c r="U18" s="1"/>
      <c r="V18" s="1"/>
      <c r="W18" s="1"/>
      <c r="X18" s="1"/>
      <c r="Y18" s="1"/>
      <c r="Z18" s="1"/>
      <c r="AA18" s="55"/>
      <c r="AB18" s="55"/>
      <c r="AC18" s="55"/>
      <c r="AD18" s="55"/>
      <c r="AE18" s="55"/>
      <c r="AF18" s="55"/>
      <c r="AG18" s="55"/>
      <c r="AH18" s="55"/>
      <c r="AI18" s="55"/>
    </row>
    <row r="19" spans="1:35" x14ac:dyDescent="0.25">
      <c r="A19" s="55"/>
      <c r="B19" s="55"/>
      <c r="C19" s="55"/>
      <c r="D19" s="55"/>
      <c r="E19" s="55"/>
      <c r="F19" s="55" t="s">
        <v>498</v>
      </c>
      <c r="G19" s="55"/>
      <c r="H19" s="463" t="e">
        <f>H20* (1-H18)</f>
        <v>#REF!</v>
      </c>
      <c r="I19" s="55"/>
      <c r="J19" s="290" t="s">
        <v>500</v>
      </c>
      <c r="K19" s="105"/>
      <c r="L19" s="103"/>
      <c r="M19" s="295" t="e">
        <f>(V8*(1+H19)/(H20-H19))/((1+AB10)*(1+Z10)*(1+X10)*POWER(1+'WACC '!E63,5))</f>
        <v>#REF!</v>
      </c>
      <c r="N19" s="55"/>
      <c r="O19" s="55"/>
      <c r="P19" s="1"/>
      <c r="Q19" s="1"/>
      <c r="R19" s="1"/>
      <c r="S19" s="1"/>
      <c r="T19" s="1"/>
      <c r="U19" s="1"/>
      <c r="V19" s="1"/>
      <c r="W19" s="1"/>
      <c r="X19" s="1"/>
      <c r="Y19" s="1"/>
      <c r="Z19" s="1"/>
      <c r="AA19" s="55"/>
      <c r="AB19" s="55"/>
      <c r="AC19" s="55"/>
      <c r="AD19" s="55"/>
      <c r="AE19" s="55"/>
      <c r="AF19" s="55"/>
      <c r="AG19" s="55"/>
      <c r="AH19" s="55"/>
      <c r="AI19" s="55"/>
    </row>
    <row r="20" spans="1:35" ht="15.75" thickBot="1" x14ac:dyDescent="0.3">
      <c r="A20" s="55"/>
      <c r="B20" s="55"/>
      <c r="C20" s="55"/>
      <c r="D20" s="55"/>
      <c r="E20" s="55"/>
      <c r="F20" s="55" t="s">
        <v>503</v>
      </c>
      <c r="G20" s="55"/>
      <c r="H20" s="464">
        <f>'WACC '!E63</f>
        <v>6.9450435939937757E-2</v>
      </c>
      <c r="I20" s="55"/>
      <c r="J20" s="274" t="s">
        <v>501</v>
      </c>
      <c r="K20" s="496"/>
      <c r="L20" s="497"/>
      <c r="M20" s="307" t="e">
        <f>M17+M19</f>
        <v>#REF!</v>
      </c>
      <c r="N20" s="55"/>
      <c r="O20" s="55"/>
      <c r="P20" s="1"/>
      <c r="Q20" s="1"/>
      <c r="R20" s="1"/>
      <c r="S20" s="1"/>
      <c r="T20" s="1"/>
      <c r="U20" s="1"/>
      <c r="V20" s="1"/>
      <c r="W20" s="1"/>
      <c r="X20" s="1"/>
      <c r="Y20" s="1"/>
      <c r="Z20" s="1"/>
      <c r="AA20" s="55"/>
      <c r="AB20" s="55"/>
      <c r="AC20" s="55"/>
      <c r="AD20" s="55"/>
      <c r="AE20" s="55"/>
      <c r="AF20" s="55"/>
      <c r="AG20" s="55"/>
      <c r="AH20" s="55"/>
      <c r="AI20" s="55"/>
    </row>
    <row r="21" spans="1:35" x14ac:dyDescent="0.25">
      <c r="A21" s="55"/>
      <c r="B21" s="55"/>
      <c r="C21" s="55"/>
      <c r="D21" s="55"/>
      <c r="E21" s="55"/>
      <c r="F21" s="55"/>
      <c r="G21" s="55"/>
      <c r="H21" s="55"/>
      <c r="I21" s="55"/>
      <c r="J21" s="55"/>
      <c r="K21" s="55"/>
      <c r="L21" s="55"/>
      <c r="M21" s="55"/>
      <c r="N21" s="55"/>
      <c r="O21" s="55"/>
      <c r="P21" s="1"/>
      <c r="Q21" s="1"/>
      <c r="R21" s="1"/>
      <c r="S21" s="1"/>
      <c r="T21" s="1"/>
      <c r="U21" s="1"/>
      <c r="V21" s="1"/>
      <c r="W21" s="1"/>
      <c r="X21" s="1"/>
      <c r="Y21" s="1"/>
      <c r="Z21" s="1"/>
      <c r="AA21" s="55"/>
      <c r="AB21" s="55"/>
      <c r="AC21" s="55"/>
      <c r="AD21" s="55"/>
      <c r="AE21" s="55"/>
      <c r="AF21" s="55"/>
      <c r="AG21" s="55"/>
      <c r="AH21" s="55"/>
      <c r="AI21" s="55"/>
    </row>
    <row r="22" spans="1:35" x14ac:dyDescent="0.25">
      <c r="A22" s="55"/>
      <c r="B22" s="55"/>
      <c r="C22" s="55"/>
      <c r="D22" s="55"/>
      <c r="E22" s="55"/>
      <c r="F22" s="105" t="s">
        <v>511</v>
      </c>
      <c r="G22" s="105"/>
      <c r="H22" s="105"/>
      <c r="I22" s="105"/>
      <c r="J22" s="105"/>
      <c r="K22" s="105"/>
      <c r="L22" s="55"/>
      <c r="M22" s="55"/>
      <c r="N22" s="55"/>
      <c r="O22" s="55"/>
      <c r="P22" s="1"/>
      <c r="Q22" s="1"/>
      <c r="R22" s="1"/>
      <c r="S22" s="1"/>
      <c r="T22" s="1"/>
      <c r="U22" s="1"/>
      <c r="V22" s="1"/>
      <c r="W22" s="1"/>
      <c r="X22" s="1"/>
      <c r="Y22" s="1"/>
      <c r="Z22" s="1"/>
      <c r="AA22" s="55"/>
      <c r="AB22" s="55"/>
      <c r="AC22" s="55"/>
      <c r="AD22" s="55"/>
      <c r="AE22" s="55"/>
      <c r="AF22" s="55"/>
      <c r="AG22" s="55"/>
      <c r="AH22" s="55"/>
      <c r="AI22" s="55"/>
    </row>
    <row r="23" spans="1:35" x14ac:dyDescent="0.25">
      <c r="A23" s="55"/>
      <c r="B23" s="55"/>
      <c r="C23" s="55"/>
      <c r="D23" s="55"/>
      <c r="E23" s="55"/>
      <c r="F23" s="55" t="s">
        <v>512</v>
      </c>
      <c r="G23" s="488"/>
      <c r="H23" s="493">
        <v>6.0546861768634365E-2</v>
      </c>
      <c r="I23" s="55" t="s">
        <v>513</v>
      </c>
      <c r="J23" s="488"/>
      <c r="K23" s="463">
        <v>5.0000000000000093E-2</v>
      </c>
      <c r="L23" s="55"/>
      <c r="M23" s="55"/>
      <c r="N23" s="55"/>
      <c r="O23" s="55"/>
      <c r="P23" s="1"/>
      <c r="Q23" s="1"/>
      <c r="R23" s="1"/>
      <c r="S23" s="1"/>
      <c r="T23" s="1"/>
      <c r="U23" s="1"/>
      <c r="V23" s="1"/>
      <c r="W23" s="1"/>
      <c r="X23" s="1"/>
      <c r="Y23" s="1"/>
      <c r="Z23" s="1"/>
      <c r="AA23" s="55"/>
      <c r="AB23" s="55"/>
      <c r="AC23" s="55"/>
      <c r="AD23" s="55"/>
      <c r="AE23" s="55"/>
      <c r="AF23" s="55"/>
      <c r="AG23" s="55"/>
      <c r="AH23" s="55"/>
      <c r="AI23" s="55"/>
    </row>
    <row r="24" spans="1:35" x14ac:dyDescent="0.25">
      <c r="A24" s="55"/>
      <c r="B24" s="55"/>
      <c r="C24" s="55"/>
      <c r="D24" s="55"/>
      <c r="E24" s="55"/>
      <c r="F24" s="55" t="s">
        <v>514</v>
      </c>
      <c r="G24" s="462"/>
      <c r="H24" s="494">
        <v>6.9450435939937757E-2</v>
      </c>
      <c r="I24" s="55" t="s">
        <v>516</v>
      </c>
      <c r="J24" s="462"/>
      <c r="K24" s="463" t="e">
        <f>H19</f>
        <v>#REF!</v>
      </c>
      <c r="L24" s="55"/>
      <c r="M24" s="55"/>
      <c r="N24" s="55"/>
      <c r="O24" s="55"/>
      <c r="P24" s="1"/>
      <c r="Q24" s="1"/>
      <c r="R24" s="1"/>
      <c r="S24" s="1"/>
      <c r="T24" s="1"/>
      <c r="U24" s="1"/>
      <c r="V24" s="1"/>
      <c r="W24" s="1"/>
      <c r="X24" s="1"/>
      <c r="Y24" s="1"/>
      <c r="Z24" s="1"/>
      <c r="AA24" s="55"/>
      <c r="AB24" s="55"/>
      <c r="AC24" s="55"/>
      <c r="AD24" s="55"/>
      <c r="AE24" s="55"/>
      <c r="AF24" s="55"/>
      <c r="AG24" s="55"/>
      <c r="AH24" s="55"/>
      <c r="AI24" s="55"/>
    </row>
    <row r="25" spans="1:35" x14ac:dyDescent="0.25">
      <c r="A25" s="55"/>
      <c r="B25" s="55"/>
      <c r="C25" s="55"/>
      <c r="D25" s="55"/>
      <c r="E25" s="55"/>
      <c r="F25" s="55" t="s">
        <v>515</v>
      </c>
      <c r="G25" s="462"/>
      <c r="H25" s="494">
        <f>(H24-H23)/3</f>
        <v>2.967858057101131E-3</v>
      </c>
      <c r="I25" s="55" t="s">
        <v>517</v>
      </c>
      <c r="J25" s="462"/>
      <c r="K25" s="55" t="e">
        <f>(K24-K23)/3</f>
        <v>#REF!</v>
      </c>
      <c r="L25" s="55"/>
      <c r="M25" s="55"/>
      <c r="N25" s="55"/>
      <c r="O25" s="55"/>
      <c r="P25" s="1"/>
      <c r="Q25" s="1"/>
      <c r="R25" s="1"/>
      <c r="S25" s="1"/>
      <c r="T25" s="1"/>
      <c r="U25" s="1"/>
      <c r="V25" s="1"/>
      <c r="W25" s="1"/>
      <c r="X25" s="1"/>
      <c r="Y25" s="1"/>
      <c r="Z25" s="1"/>
      <c r="AA25" s="55"/>
      <c r="AB25" s="55"/>
      <c r="AC25" s="55"/>
      <c r="AD25" s="55"/>
      <c r="AE25" s="55"/>
      <c r="AF25" s="55"/>
      <c r="AG25" s="55"/>
      <c r="AH25" s="55"/>
      <c r="AI25" s="55"/>
    </row>
    <row r="26" spans="1:35" x14ac:dyDescent="0.25">
      <c r="A26" s="55"/>
      <c r="B26" s="55"/>
      <c r="C26" s="55"/>
      <c r="D26" s="55"/>
      <c r="E26" s="55"/>
      <c r="F26" s="55"/>
      <c r="G26" s="55"/>
      <c r="H26" s="55"/>
      <c r="I26" s="55"/>
      <c r="J26" s="55"/>
      <c r="K26" s="55"/>
      <c r="L26" s="55"/>
      <c r="M26" s="55"/>
      <c r="N26" s="55"/>
      <c r="O26" s="55"/>
      <c r="P26" s="1"/>
      <c r="Q26" s="1"/>
      <c r="R26" s="1"/>
      <c r="S26" s="1"/>
      <c r="T26" s="1"/>
      <c r="U26" s="1"/>
      <c r="V26" s="1"/>
      <c r="W26" s="1"/>
      <c r="X26" s="1"/>
      <c r="Y26" s="1"/>
      <c r="Z26" s="1"/>
      <c r="AA26" s="55"/>
      <c r="AB26" s="55"/>
      <c r="AC26" s="55"/>
      <c r="AD26" s="55"/>
      <c r="AE26" s="55"/>
      <c r="AF26" s="55"/>
      <c r="AG26" s="55"/>
      <c r="AH26" s="55"/>
      <c r="AI26" s="55"/>
    </row>
    <row r="27" spans="1:35" x14ac:dyDescent="0.25">
      <c r="A27" s="55"/>
      <c r="B27" s="55"/>
      <c r="C27" s="55"/>
      <c r="D27" s="104"/>
      <c r="E27" s="104"/>
      <c r="F27" s="55"/>
      <c r="G27" s="55"/>
      <c r="H27" s="55"/>
      <c r="I27" s="55"/>
      <c r="J27" s="55"/>
      <c r="K27" s="55"/>
      <c r="L27" s="55"/>
      <c r="M27" s="55"/>
      <c r="N27" s="55"/>
      <c r="O27" s="55"/>
      <c r="P27" s="1"/>
      <c r="Q27" s="1"/>
      <c r="R27" s="1"/>
      <c r="S27" s="1"/>
      <c r="T27" s="1"/>
      <c r="U27" s="1"/>
      <c r="V27" s="1"/>
      <c r="W27" s="1"/>
      <c r="X27" s="1"/>
      <c r="Y27" s="1"/>
      <c r="Z27" s="1"/>
      <c r="AA27" s="55"/>
      <c r="AB27" s="55"/>
      <c r="AC27" s="55"/>
      <c r="AD27" s="104"/>
      <c r="AE27" s="55"/>
      <c r="AF27" s="55"/>
      <c r="AG27" s="55"/>
      <c r="AH27" s="55"/>
      <c r="AI27" s="55"/>
    </row>
    <row r="28" spans="1:35" x14ac:dyDescent="0.25">
      <c r="A28" s="55"/>
      <c r="B28" s="55"/>
      <c r="C28" s="55"/>
      <c r="D28" s="55"/>
      <c r="E28" s="55"/>
      <c r="F28" s="55"/>
      <c r="G28" s="55"/>
      <c r="H28" s="55"/>
      <c r="I28" s="55"/>
      <c r="J28" s="55"/>
      <c r="K28" s="55"/>
      <c r="L28" s="55"/>
      <c r="M28" s="55"/>
      <c r="N28" s="55"/>
      <c r="O28" s="55"/>
      <c r="P28" s="1"/>
      <c r="Q28" s="1"/>
      <c r="R28" s="1"/>
      <c r="S28" s="1"/>
      <c r="T28" s="1"/>
      <c r="U28" s="1"/>
      <c r="V28" s="1"/>
      <c r="W28" s="1"/>
      <c r="X28" s="1"/>
      <c r="Y28" s="1"/>
      <c r="Z28" s="1"/>
      <c r="AA28" s="55"/>
      <c r="AB28" s="55"/>
      <c r="AC28" s="55"/>
      <c r="AD28" s="55"/>
      <c r="AE28" s="55"/>
      <c r="AF28" s="55"/>
      <c r="AG28" s="55"/>
      <c r="AH28" s="55"/>
      <c r="AI28" s="55"/>
    </row>
    <row r="29" spans="1:35" x14ac:dyDescent="0.25">
      <c r="A29" s="55"/>
      <c r="B29" s="55"/>
      <c r="C29" s="55"/>
      <c r="D29" s="55"/>
      <c r="E29" s="55"/>
      <c r="F29" s="55"/>
      <c r="G29" s="55"/>
      <c r="H29" s="55"/>
      <c r="I29" s="55"/>
      <c r="J29" s="55"/>
      <c r="K29" s="55"/>
      <c r="L29" s="55"/>
      <c r="M29" s="55"/>
      <c r="N29" s="55"/>
      <c r="O29" s="55"/>
      <c r="P29" s="1"/>
      <c r="Q29" s="1"/>
      <c r="R29" s="1"/>
      <c r="S29" s="1"/>
      <c r="T29" s="1"/>
      <c r="U29" s="1"/>
      <c r="V29" s="1"/>
      <c r="W29" s="1"/>
      <c r="X29" s="1"/>
      <c r="Y29" s="1"/>
      <c r="Z29" s="1"/>
      <c r="AA29" s="55"/>
      <c r="AB29" s="55"/>
      <c r="AC29" s="55"/>
      <c r="AD29" s="55"/>
      <c r="AE29" s="55"/>
      <c r="AF29" s="55"/>
      <c r="AG29" s="55"/>
      <c r="AH29" s="55"/>
      <c r="AI29" s="55"/>
    </row>
    <row r="30" spans="1:35" x14ac:dyDescent="0.25">
      <c r="A30" s="55"/>
      <c r="B30" s="55"/>
      <c r="C30" s="55"/>
      <c r="D30" s="55"/>
      <c r="E30" s="55"/>
      <c r="F30" s="55"/>
      <c r="G30" s="55"/>
      <c r="H30" s="55"/>
      <c r="I30" s="55"/>
      <c r="J30" s="55"/>
      <c r="K30" s="55"/>
      <c r="L30" s="55"/>
      <c r="M30" s="55"/>
      <c r="N30" s="55"/>
      <c r="O30" s="55"/>
      <c r="P30" s="1"/>
      <c r="Q30" s="1"/>
      <c r="R30" s="1"/>
      <c r="S30" s="1"/>
      <c r="T30" s="1"/>
      <c r="U30" s="1"/>
      <c r="V30" s="1"/>
      <c r="W30" s="1"/>
      <c r="X30" s="1"/>
      <c r="Y30" s="1"/>
      <c r="Z30" s="1"/>
      <c r="AA30" s="55"/>
      <c r="AB30" s="55"/>
      <c r="AC30" s="55"/>
      <c r="AD30" s="55"/>
      <c r="AE30" s="55"/>
      <c r="AF30" s="55"/>
      <c r="AG30" s="55"/>
      <c r="AH30" s="55"/>
      <c r="AI30" s="55"/>
    </row>
    <row r="31" spans="1:35" x14ac:dyDescent="0.25">
      <c r="A31" s="55"/>
      <c r="B31" s="55"/>
      <c r="C31" s="55"/>
      <c r="D31" s="55"/>
      <c r="E31" s="55"/>
      <c r="F31" s="55"/>
      <c r="G31" s="55"/>
      <c r="H31" s="55"/>
      <c r="I31" s="55"/>
      <c r="J31" s="55"/>
      <c r="K31" s="55"/>
      <c r="L31" s="55"/>
      <c r="M31" s="55"/>
      <c r="N31" s="55"/>
      <c r="O31" s="55"/>
      <c r="P31" s="1"/>
      <c r="Q31" s="1"/>
      <c r="R31" s="1"/>
      <c r="S31" s="1"/>
      <c r="T31" s="1"/>
      <c r="U31" s="1"/>
      <c r="V31" s="1"/>
      <c r="W31" s="1"/>
      <c r="X31" s="1"/>
      <c r="Y31" s="1"/>
      <c r="Z31" s="1"/>
      <c r="AA31" s="55"/>
      <c r="AB31" s="55"/>
      <c r="AC31" s="55"/>
      <c r="AD31" s="55"/>
      <c r="AE31" s="55"/>
      <c r="AF31" s="55"/>
      <c r="AG31" s="55"/>
      <c r="AH31" s="55"/>
      <c r="AI31" s="55"/>
    </row>
    <row r="32" spans="1:35" x14ac:dyDescent="0.25">
      <c r="A32" s="105" t="s">
        <v>506</v>
      </c>
      <c r="B32" s="103"/>
      <c r="C32" s="105" t="s">
        <v>478</v>
      </c>
      <c r="D32" s="105"/>
      <c r="E32" s="105"/>
      <c r="F32" s="105"/>
      <c r="G32" s="105"/>
      <c r="H32" s="105"/>
      <c r="I32" s="105"/>
      <c r="J32" s="105"/>
      <c r="K32" s="105"/>
      <c r="L32" s="55"/>
      <c r="M32" s="55"/>
      <c r="N32" s="55"/>
      <c r="O32" s="55"/>
      <c r="P32" s="1"/>
      <c r="Q32" s="1"/>
      <c r="R32" s="1"/>
      <c r="S32" s="1"/>
      <c r="T32" s="1"/>
      <c r="U32" s="1"/>
      <c r="V32" s="1"/>
      <c r="W32" s="1"/>
      <c r="X32" s="1"/>
      <c r="Y32" s="1"/>
      <c r="Z32" s="1"/>
      <c r="AA32" s="55"/>
      <c r="AB32" s="55"/>
      <c r="AC32" s="55"/>
      <c r="AD32" s="55"/>
      <c r="AE32" s="55"/>
      <c r="AF32" s="55"/>
      <c r="AG32" s="55"/>
      <c r="AH32" s="55"/>
      <c r="AI32" s="55"/>
    </row>
    <row r="33" spans="1:35" x14ac:dyDescent="0.25">
      <c r="A33" s="55"/>
      <c r="B33" s="462"/>
      <c r="C33" s="55">
        <v>2015</v>
      </c>
      <c r="D33" s="55" t="s">
        <v>360</v>
      </c>
      <c r="E33" s="55">
        <v>2016</v>
      </c>
      <c r="F33" s="55" t="s">
        <v>360</v>
      </c>
      <c r="G33" s="55">
        <v>2017</v>
      </c>
      <c r="H33" s="55" t="s">
        <v>360</v>
      </c>
      <c r="I33" s="55">
        <v>2018</v>
      </c>
      <c r="J33" s="55" t="s">
        <v>360</v>
      </c>
      <c r="K33" s="55">
        <v>2019</v>
      </c>
      <c r="L33" s="55"/>
      <c r="M33" s="55"/>
      <c r="N33" s="55"/>
      <c r="O33" s="55"/>
      <c r="P33" s="1"/>
      <c r="Q33" s="1"/>
      <c r="R33" s="1"/>
      <c r="S33" s="1"/>
      <c r="T33" s="1"/>
      <c r="U33" s="1"/>
      <c r="V33" s="1"/>
      <c r="W33" s="1"/>
      <c r="X33" s="1"/>
      <c r="Y33" s="1"/>
      <c r="Z33" s="1"/>
      <c r="AA33" s="55"/>
      <c r="AB33" s="55"/>
      <c r="AC33" s="55"/>
      <c r="AD33" s="55"/>
      <c r="AE33" s="55"/>
      <c r="AF33" s="55"/>
      <c r="AG33" s="55"/>
      <c r="AH33" s="55"/>
      <c r="AI33" s="55"/>
    </row>
    <row r="34" spans="1:35" x14ac:dyDescent="0.25">
      <c r="A34" s="55"/>
      <c r="B34" s="462"/>
      <c r="C34" s="55"/>
      <c r="D34" s="55"/>
      <c r="E34" s="55"/>
      <c r="F34" s="55"/>
      <c r="G34" s="55"/>
      <c r="H34" s="55"/>
      <c r="I34" s="55"/>
      <c r="J34" s="55"/>
      <c r="K34" s="55"/>
      <c r="L34" s="55"/>
      <c r="M34" s="55"/>
      <c r="N34" s="55"/>
      <c r="O34" s="55"/>
      <c r="P34" s="1"/>
      <c r="Q34" s="1"/>
      <c r="R34" s="1"/>
      <c r="S34" s="1"/>
      <c r="T34" s="1"/>
      <c r="U34" s="1"/>
      <c r="V34" s="1"/>
      <c r="W34" s="1"/>
      <c r="X34" s="1"/>
      <c r="Y34" s="1"/>
      <c r="Z34" s="1"/>
      <c r="AA34" s="55"/>
      <c r="AB34" s="55"/>
      <c r="AC34" s="55"/>
      <c r="AD34" s="55"/>
      <c r="AE34" s="55"/>
      <c r="AF34" s="55"/>
      <c r="AG34" s="55"/>
      <c r="AH34" s="55"/>
      <c r="AI34" s="55"/>
    </row>
    <row r="35" spans="1:35" x14ac:dyDescent="0.25">
      <c r="A35" s="55" t="s">
        <v>507</v>
      </c>
      <c r="B35" s="462"/>
      <c r="C35" s="55">
        <v>3947</v>
      </c>
      <c r="D35" s="55"/>
      <c r="E35" s="55">
        <v>3734</v>
      </c>
      <c r="F35" s="55"/>
      <c r="G35" s="55">
        <v>4633</v>
      </c>
      <c r="H35" s="55"/>
      <c r="I35" s="55">
        <v>5268</v>
      </c>
      <c r="J35" s="55"/>
      <c r="K35" s="55">
        <v>6046</v>
      </c>
      <c r="L35" s="55"/>
      <c r="M35" s="55"/>
      <c r="N35" s="55"/>
      <c r="O35" s="55"/>
      <c r="P35" s="1"/>
      <c r="Q35" s="1"/>
      <c r="R35" s="1"/>
      <c r="S35" s="1"/>
      <c r="T35" s="1"/>
      <c r="U35" s="1"/>
      <c r="V35" s="1"/>
      <c r="W35" s="1"/>
      <c r="X35" s="1"/>
      <c r="Y35" s="1"/>
      <c r="Z35" s="1"/>
      <c r="AA35" s="55"/>
      <c r="AB35" s="55"/>
      <c r="AC35" s="55"/>
      <c r="AD35" s="55"/>
      <c r="AE35" s="55"/>
      <c r="AF35" s="55"/>
      <c r="AG35" s="55"/>
      <c r="AH35" s="55"/>
      <c r="AI35" s="55"/>
    </row>
    <row r="36" spans="1:35" x14ac:dyDescent="0.25">
      <c r="A36" s="105" t="s">
        <v>169</v>
      </c>
      <c r="B36" s="103"/>
      <c r="C36" s="105">
        <v>785</v>
      </c>
      <c r="D36" s="486"/>
      <c r="E36" s="487">
        <v>847</v>
      </c>
      <c r="F36" s="105"/>
      <c r="G36" s="105">
        <v>957</v>
      </c>
      <c r="H36" s="105"/>
      <c r="I36" s="105">
        <v>1003</v>
      </c>
      <c r="J36" s="105"/>
      <c r="K36" s="105">
        <v>1076</v>
      </c>
      <c r="L36" s="55"/>
      <c r="M36" s="55"/>
      <c r="N36" s="55"/>
      <c r="O36" s="55"/>
      <c r="P36" s="1"/>
      <c r="Q36" s="1"/>
      <c r="R36" s="1"/>
      <c r="S36" s="1"/>
      <c r="T36" s="1"/>
      <c r="U36" s="1"/>
      <c r="V36" s="1"/>
      <c r="W36" s="1"/>
      <c r="X36" s="1"/>
      <c r="Y36" s="1"/>
      <c r="Z36" s="1"/>
      <c r="AA36" s="55"/>
      <c r="AB36" s="55"/>
      <c r="AC36" s="55"/>
      <c r="AD36" s="104"/>
      <c r="AE36" s="55"/>
      <c r="AF36" s="55"/>
      <c r="AG36" s="55"/>
      <c r="AH36" s="55"/>
      <c r="AI36" s="55"/>
    </row>
    <row r="37" spans="1:35" x14ac:dyDescent="0.25">
      <c r="A37" s="55" t="s">
        <v>173</v>
      </c>
      <c r="B37" s="462"/>
      <c r="C37" s="55">
        <v>189</v>
      </c>
      <c r="D37" s="55"/>
      <c r="E37" s="55">
        <v>279</v>
      </c>
      <c r="F37" s="55"/>
      <c r="G37" s="55">
        <v>206</v>
      </c>
      <c r="H37" s="55"/>
      <c r="I37" s="459">
        <v>223</v>
      </c>
      <c r="J37" s="55"/>
      <c r="K37" s="55">
        <v>202</v>
      </c>
      <c r="L37" s="55"/>
      <c r="M37" s="55"/>
      <c r="N37" s="55"/>
      <c r="O37" s="55"/>
      <c r="P37" s="1"/>
      <c r="Q37" s="1"/>
      <c r="R37" s="1"/>
      <c r="S37" s="1"/>
      <c r="T37" s="1"/>
      <c r="U37" s="1"/>
      <c r="V37" s="1"/>
      <c r="W37" s="1"/>
      <c r="X37" s="1"/>
      <c r="Y37" s="1"/>
      <c r="Z37" s="1"/>
      <c r="AA37" s="55"/>
      <c r="AB37" s="55"/>
      <c r="AC37" s="55"/>
      <c r="AD37" s="55"/>
      <c r="AE37" s="55"/>
      <c r="AF37" s="55"/>
      <c r="AG37" s="55"/>
      <c r="AH37" s="55"/>
      <c r="AI37" s="55"/>
    </row>
    <row r="38" spans="1:35" x14ac:dyDescent="0.25">
      <c r="A38" s="104" t="s">
        <v>463</v>
      </c>
      <c r="B38" s="462"/>
      <c r="C38" s="55"/>
      <c r="D38" s="104"/>
      <c r="E38" s="104"/>
      <c r="F38" s="55"/>
      <c r="G38" s="55"/>
      <c r="H38" s="55"/>
      <c r="I38" s="55"/>
      <c r="J38" s="55"/>
      <c r="K38" s="55"/>
      <c r="L38" s="55"/>
      <c r="M38" s="55"/>
      <c r="N38" s="55"/>
      <c r="O38" s="55"/>
      <c r="P38" s="1"/>
      <c r="Q38" s="1"/>
      <c r="R38" s="1"/>
      <c r="S38" s="1"/>
      <c r="T38" s="1"/>
      <c r="U38" s="1"/>
      <c r="V38" s="1"/>
      <c r="W38" s="1"/>
      <c r="X38" s="1"/>
      <c r="Y38" s="1"/>
      <c r="Z38" s="1"/>
      <c r="AA38" s="55"/>
      <c r="AB38" s="55"/>
      <c r="AC38" s="55"/>
      <c r="AD38" s="104"/>
      <c r="AE38" s="55"/>
      <c r="AF38" s="55"/>
      <c r="AG38" s="55"/>
      <c r="AH38" s="55"/>
      <c r="AI38" s="55"/>
    </row>
    <row r="39" spans="1:35" x14ac:dyDescent="0.25">
      <c r="A39" s="1"/>
      <c r="B39" s="462"/>
      <c r="C39" s="1"/>
      <c r="D39" s="1"/>
      <c r="E39" s="1"/>
      <c r="F39" s="1"/>
      <c r="G39" s="1"/>
      <c r="H39" s="1"/>
      <c r="I39" s="1"/>
      <c r="J39" s="1"/>
      <c r="K39" s="1"/>
      <c r="L39" s="1"/>
      <c r="M39" s="1"/>
      <c r="N39" s="1"/>
      <c r="O39" s="1"/>
      <c r="P39" s="1"/>
      <c r="Q39" s="1"/>
      <c r="R39" s="1"/>
      <c r="S39" s="1"/>
      <c r="T39" s="1"/>
      <c r="U39" s="1"/>
      <c r="V39" s="1"/>
      <c r="W39" s="1"/>
      <c r="X39" s="1"/>
      <c r="Y39" s="1"/>
      <c r="Z39" s="1"/>
      <c r="AA39" s="55"/>
      <c r="AB39" s="55"/>
      <c r="AC39" s="55"/>
      <c r="AD39" s="55"/>
      <c r="AE39" s="55"/>
      <c r="AF39" s="55"/>
      <c r="AG39" s="55"/>
      <c r="AH39" s="55"/>
      <c r="AI39" s="55"/>
    </row>
    <row r="40" spans="1:35" x14ac:dyDescent="0.25">
      <c r="A40" s="105" t="s">
        <v>508</v>
      </c>
      <c r="B40" s="103"/>
      <c r="C40" s="1"/>
      <c r="D40" s="1"/>
      <c r="E40" s="1"/>
      <c r="F40" s="1"/>
      <c r="G40" s="1"/>
      <c r="H40" s="1"/>
      <c r="I40" s="1"/>
      <c r="J40" s="1"/>
      <c r="K40" s="1"/>
      <c r="L40" s="1"/>
      <c r="M40" s="1"/>
      <c r="N40" s="1"/>
      <c r="O40" s="1"/>
      <c r="P40" s="1"/>
      <c r="Q40" s="1"/>
      <c r="R40" s="1"/>
      <c r="S40" s="1"/>
      <c r="T40" s="1"/>
      <c r="U40" s="1"/>
      <c r="V40" s="1"/>
      <c r="W40" s="1"/>
      <c r="X40" s="1"/>
      <c r="Y40" s="1"/>
      <c r="Z40" s="1"/>
      <c r="AA40" s="55"/>
      <c r="AB40" s="55"/>
      <c r="AC40" s="55"/>
      <c r="AD40" s="55"/>
      <c r="AE40" s="55"/>
      <c r="AF40" s="55"/>
      <c r="AG40" s="55"/>
      <c r="AH40" s="55"/>
      <c r="AI40" s="55"/>
    </row>
    <row r="41" spans="1:35" x14ac:dyDescent="0.25">
      <c r="A41" s="1" t="s">
        <v>177</v>
      </c>
      <c r="B41" s="462"/>
      <c r="C41" s="1"/>
      <c r="D41" s="1"/>
      <c r="E41" s="1"/>
      <c r="F41" s="1"/>
      <c r="G41" s="1"/>
      <c r="H41" s="1"/>
      <c r="I41" s="1"/>
      <c r="J41" s="1"/>
      <c r="K41" s="1"/>
      <c r="L41" s="1"/>
      <c r="M41" s="1"/>
      <c r="N41" s="1"/>
      <c r="O41" s="1"/>
      <c r="P41" s="1"/>
      <c r="Q41" s="1"/>
      <c r="R41" s="1"/>
      <c r="S41" s="1"/>
      <c r="T41" s="1"/>
      <c r="U41" s="1"/>
      <c r="V41" s="1"/>
      <c r="W41" s="1"/>
      <c r="X41" s="1"/>
      <c r="Y41" s="1"/>
      <c r="Z41" s="1"/>
      <c r="AA41" s="55"/>
      <c r="AB41" s="55"/>
      <c r="AC41" s="55"/>
      <c r="AD41" s="55"/>
      <c r="AE41" s="55"/>
      <c r="AF41" s="55"/>
      <c r="AG41" s="55"/>
      <c r="AH41" s="55"/>
      <c r="AI41" s="55"/>
    </row>
    <row r="42" spans="1:35" x14ac:dyDescent="0.25">
      <c r="A42" s="1" t="s">
        <v>179</v>
      </c>
      <c r="B42" s="462"/>
      <c r="C42" s="1"/>
      <c r="D42" s="1"/>
      <c r="E42" s="1"/>
      <c r="F42" s="1"/>
      <c r="G42" s="1"/>
      <c r="H42" s="1"/>
      <c r="I42" s="1"/>
      <c r="J42" s="1"/>
      <c r="K42" s="1"/>
      <c r="L42" s="1"/>
      <c r="M42" s="1"/>
      <c r="N42" s="1"/>
      <c r="O42" s="1"/>
      <c r="P42" s="1"/>
      <c r="Q42" s="1"/>
      <c r="R42" s="1"/>
      <c r="S42" s="1"/>
      <c r="T42" s="1"/>
      <c r="U42" s="1"/>
      <c r="V42" s="1"/>
      <c r="W42" s="1"/>
      <c r="X42" s="1"/>
      <c r="Y42" s="1"/>
      <c r="Z42" s="1"/>
      <c r="AA42" s="55"/>
      <c r="AB42" s="55"/>
      <c r="AC42" s="55"/>
      <c r="AD42" s="55"/>
      <c r="AE42" s="55"/>
      <c r="AF42" s="55"/>
      <c r="AG42" s="55"/>
      <c r="AH42" s="55"/>
      <c r="AI42" s="55"/>
    </row>
    <row r="43" spans="1:35" x14ac:dyDescent="0.25">
      <c r="A43" s="1" t="s">
        <v>183</v>
      </c>
      <c r="B43" s="462"/>
      <c r="C43" s="1"/>
      <c r="D43" s="1"/>
      <c r="E43" s="1"/>
      <c r="F43" s="1"/>
      <c r="G43" s="1"/>
      <c r="H43" s="1"/>
      <c r="I43" s="1"/>
      <c r="J43" s="1"/>
      <c r="K43" s="1"/>
      <c r="L43" s="1"/>
      <c r="M43" s="1"/>
      <c r="N43" s="1"/>
      <c r="O43" s="1"/>
      <c r="P43" s="1"/>
      <c r="Q43" s="1"/>
      <c r="R43" s="1"/>
      <c r="S43" s="1"/>
      <c r="T43" s="1"/>
      <c r="U43" s="1"/>
      <c r="V43" s="1"/>
      <c r="W43" s="1"/>
      <c r="X43" s="1"/>
      <c r="Y43" s="1"/>
      <c r="Z43" s="1"/>
      <c r="AA43" s="55"/>
      <c r="AB43" s="55"/>
      <c r="AC43" s="55"/>
      <c r="AD43" s="55"/>
      <c r="AE43" s="55"/>
      <c r="AF43" s="55"/>
      <c r="AG43" s="55"/>
      <c r="AH43" s="55"/>
      <c r="AI43" s="55"/>
    </row>
    <row r="44" spans="1:35" x14ac:dyDescent="0.25">
      <c r="A44" s="105" t="s">
        <v>335</v>
      </c>
      <c r="B44" s="103"/>
      <c r="C44" s="1"/>
      <c r="D44" s="1"/>
      <c r="E44" s="1"/>
      <c r="F44" s="1"/>
      <c r="G44" s="1"/>
      <c r="H44" s="1"/>
      <c r="I44" s="1"/>
      <c r="J44" s="1"/>
      <c r="K44" s="1"/>
      <c r="L44" s="1"/>
      <c r="M44" s="1"/>
      <c r="N44" s="1"/>
      <c r="O44" s="1"/>
      <c r="P44" s="1"/>
      <c r="Q44" s="1"/>
      <c r="R44" s="1"/>
      <c r="S44" s="1"/>
      <c r="T44" s="1"/>
      <c r="U44" s="1"/>
      <c r="V44" s="1"/>
      <c r="W44" s="1"/>
      <c r="X44" s="1"/>
      <c r="Y44" s="1"/>
      <c r="Z44" s="1"/>
    </row>
    <row r="45" spans="1:35" x14ac:dyDescent="0.25">
      <c r="A45" s="104" t="s">
        <v>509</v>
      </c>
      <c r="B45" s="462"/>
      <c r="C45" s="1"/>
      <c r="D45" s="1"/>
      <c r="E45" s="1"/>
      <c r="F45" s="1"/>
      <c r="G45" s="1"/>
      <c r="H45" s="1"/>
      <c r="I45" s="1"/>
      <c r="J45" s="1"/>
      <c r="K45" s="1"/>
      <c r="L45" s="1"/>
      <c r="M45" s="1"/>
      <c r="N45" s="1"/>
      <c r="O45" s="1"/>
      <c r="P45" s="1"/>
      <c r="Q45" s="1"/>
      <c r="R45" s="1"/>
      <c r="S45" s="1"/>
      <c r="T45" s="1"/>
      <c r="U45" s="1"/>
      <c r="V45" s="1"/>
      <c r="W45" s="1"/>
      <c r="X45" s="1"/>
      <c r="Y45" s="1"/>
      <c r="Z45" s="1"/>
    </row>
    <row r="46" spans="1:35" x14ac:dyDescent="0.25">
      <c r="A46" s="55"/>
      <c r="B46" s="1"/>
      <c r="C46" s="1"/>
      <c r="D46" s="1"/>
      <c r="E46" s="1"/>
      <c r="F46" s="1"/>
      <c r="G46" s="1"/>
      <c r="H46" s="1"/>
      <c r="I46" s="1"/>
      <c r="J46" s="1"/>
      <c r="K46" s="1"/>
      <c r="L46" s="1"/>
      <c r="M46" s="1"/>
      <c r="N46" s="1"/>
      <c r="O46" s="1"/>
      <c r="P46" s="1"/>
      <c r="Q46" s="1"/>
      <c r="R46" s="1"/>
      <c r="S46" s="1"/>
      <c r="T46" s="1"/>
      <c r="U46" s="1"/>
      <c r="V46" s="1"/>
      <c r="W46" s="1"/>
      <c r="X46" s="1"/>
      <c r="Y46" s="1"/>
      <c r="Z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5" x14ac:dyDescent="0.25"/>
  <cols>
    <col min="1" max="1" width="2.28515625" style="1" customWidth="1"/>
    <col min="2" max="2" width="64.140625" customWidth="1"/>
    <col min="3" max="3" width="61.140625" hidden="1" customWidth="1"/>
    <col min="4" max="4" width="5" customWidth="1"/>
    <col min="5" max="6" width="14.5703125" bestFit="1" customWidth="1"/>
    <col min="7" max="7" width="16.28515625" customWidth="1"/>
    <col min="8" max="9" width="14.5703125" bestFit="1" customWidth="1"/>
    <col min="10" max="11" width="11.5703125" bestFit="1" customWidth="1"/>
    <col min="13" max="13" width="11.5703125" bestFit="1" customWidth="1"/>
    <col min="15" max="15" width="11.5703125" bestFit="1" customWidth="1"/>
    <col min="17" max="17" width="11.5703125" bestFit="1" customWidth="1"/>
  </cols>
  <sheetData>
    <row r="1" spans="1:20" ht="27" customHeight="1" x14ac:dyDescent="0.4">
      <c r="A1" s="62"/>
      <c r="B1" s="245" t="s">
        <v>310</v>
      </c>
      <c r="C1" s="122"/>
      <c r="D1" s="122"/>
      <c r="E1" s="122"/>
      <c r="F1" s="122"/>
      <c r="G1" s="122"/>
      <c r="H1" s="122"/>
      <c r="I1" s="64"/>
      <c r="J1" s="55"/>
      <c r="K1" s="55"/>
      <c r="L1" s="55"/>
      <c r="M1" s="55"/>
      <c r="N1" s="55"/>
      <c r="O1" s="55"/>
      <c r="P1" s="55"/>
      <c r="Q1" s="55"/>
      <c r="R1" s="55"/>
    </row>
    <row r="2" spans="1:20" ht="15" customHeight="1" x14ac:dyDescent="0.25">
      <c r="A2" s="62"/>
      <c r="B2" s="246"/>
      <c r="C2" s="246"/>
      <c r="D2" s="246"/>
      <c r="E2" s="246"/>
      <c r="F2" s="246"/>
      <c r="G2" s="247" t="s">
        <v>163</v>
      </c>
      <c r="H2" s="246"/>
      <c r="I2" s="248"/>
      <c r="J2" s="55"/>
      <c r="K2" s="55"/>
      <c r="L2" s="55"/>
      <c r="M2" s="55"/>
      <c r="N2" s="55"/>
      <c r="O2" s="55"/>
      <c r="P2" s="55"/>
      <c r="Q2" s="55"/>
      <c r="R2" s="55"/>
    </row>
    <row r="3" spans="1:20" ht="18" customHeight="1" thickBot="1" x14ac:dyDescent="0.3">
      <c r="A3" s="66"/>
      <c r="B3" s="65"/>
      <c r="C3" s="65"/>
      <c r="D3" s="126" t="s">
        <v>1</v>
      </c>
      <c r="E3" s="128">
        <v>42369</v>
      </c>
      <c r="F3" s="128">
        <v>42735</v>
      </c>
      <c r="G3" s="128">
        <v>43100</v>
      </c>
      <c r="H3" s="128">
        <v>43465</v>
      </c>
      <c r="I3" s="128">
        <v>43830</v>
      </c>
      <c r="J3" s="55"/>
      <c r="K3" s="55"/>
      <c r="L3" s="55"/>
      <c r="M3" s="55"/>
      <c r="N3" s="55"/>
      <c r="O3" s="55"/>
      <c r="P3" s="55"/>
      <c r="Q3" s="55"/>
      <c r="R3" s="55"/>
    </row>
    <row r="4" spans="1:20" ht="10.5" customHeight="1" thickBot="1" x14ac:dyDescent="0.3">
      <c r="B4" s="1"/>
      <c r="C4" s="1"/>
      <c r="D4" s="1"/>
      <c r="E4" s="1"/>
      <c r="F4" s="49"/>
      <c r="G4" s="49"/>
      <c r="H4" s="49"/>
      <c r="I4" s="49"/>
      <c r="J4" s="55"/>
      <c r="K4" s="55"/>
      <c r="L4" s="55"/>
      <c r="M4" s="55"/>
      <c r="N4" s="55"/>
      <c r="O4" s="55"/>
      <c r="P4" s="55"/>
      <c r="Q4" s="55"/>
      <c r="R4" s="55"/>
      <c r="T4" s="68" t="s">
        <v>164</v>
      </c>
    </row>
    <row r="5" spans="1:20" x14ac:dyDescent="0.25">
      <c r="B5" s="8" t="s">
        <v>165</v>
      </c>
      <c r="C5" s="5" t="s">
        <v>166</v>
      </c>
      <c r="D5" s="5"/>
      <c r="E5" s="221"/>
      <c r="F5" s="186"/>
      <c r="G5" s="186"/>
      <c r="H5" s="186"/>
      <c r="I5" s="186"/>
      <c r="J5" s="55"/>
      <c r="K5" s="55"/>
      <c r="L5" s="55"/>
      <c r="M5" s="55"/>
      <c r="N5" s="55"/>
      <c r="O5" s="55"/>
      <c r="P5" s="55"/>
      <c r="Q5" s="55"/>
      <c r="R5" s="55"/>
      <c r="T5" s="69"/>
    </row>
    <row r="6" spans="1:20" x14ac:dyDescent="0.25">
      <c r="B6" s="5" t="s">
        <v>167</v>
      </c>
      <c r="C6" s="5" t="s">
        <v>168</v>
      </c>
      <c r="D6" s="5"/>
      <c r="E6" s="221">
        <v>3947</v>
      </c>
      <c r="F6" s="186">
        <v>3734</v>
      </c>
      <c r="G6" s="186">
        <v>4633</v>
      </c>
      <c r="H6" s="186">
        <v>5268</v>
      </c>
      <c r="I6" s="186">
        <v>6046</v>
      </c>
      <c r="J6" s="55"/>
      <c r="K6" s="55"/>
      <c r="L6" s="55"/>
      <c r="M6" s="55"/>
      <c r="N6" s="55"/>
      <c r="O6" s="55"/>
      <c r="P6" s="55"/>
      <c r="Q6" s="55"/>
      <c r="R6" s="55"/>
      <c r="T6" s="71">
        <f>(SUM(I6,-H6))/H6</f>
        <v>0.14768413059984814</v>
      </c>
    </row>
    <row r="7" spans="1:20" x14ac:dyDescent="0.25">
      <c r="B7" s="5" t="s">
        <v>169</v>
      </c>
      <c r="C7" s="5" t="s">
        <v>170</v>
      </c>
      <c r="D7" s="5"/>
      <c r="E7" s="221">
        <v>785</v>
      </c>
      <c r="F7" s="186">
        <v>847</v>
      </c>
      <c r="G7" s="186">
        <v>957</v>
      </c>
      <c r="H7" s="186">
        <v>1003</v>
      </c>
      <c r="I7" s="186">
        <v>1076</v>
      </c>
      <c r="J7" s="55"/>
      <c r="K7" s="55"/>
      <c r="L7" s="55"/>
      <c r="M7" s="55"/>
      <c r="N7" s="55"/>
      <c r="O7" s="55"/>
      <c r="P7" s="55"/>
      <c r="Q7" s="55"/>
      <c r="R7" s="55"/>
      <c r="T7" s="71">
        <f>(SUM(I7,-H7))/H7</f>
        <v>7.278165503489531E-2</v>
      </c>
    </row>
    <row r="8" spans="1:20" x14ac:dyDescent="0.25">
      <c r="B8" s="117" t="s">
        <v>347</v>
      </c>
      <c r="C8" s="131" t="s">
        <v>172</v>
      </c>
      <c r="D8" s="131"/>
      <c r="E8" s="222">
        <f>SUM(E6:E7)</f>
        <v>4732</v>
      </c>
      <c r="F8" s="223">
        <f>SUM(F6:F7)</f>
        <v>4581</v>
      </c>
      <c r="G8" s="223">
        <f>SUM(G6:G7)</f>
        <v>5590</v>
      </c>
      <c r="H8" s="223">
        <f>SUM(H6:H7)</f>
        <v>6271</v>
      </c>
      <c r="I8" s="223">
        <f>SUM(I6:I7)</f>
        <v>7122</v>
      </c>
      <c r="J8" s="55"/>
      <c r="K8" s="55"/>
      <c r="L8" s="55"/>
      <c r="M8" s="55"/>
      <c r="N8" s="55"/>
      <c r="O8" s="55"/>
      <c r="P8" s="55"/>
      <c r="Q8" s="55"/>
      <c r="R8" s="55"/>
      <c r="T8" s="71">
        <f>(SUM(I8,-H8))/H8</f>
        <v>0.13570403444426726</v>
      </c>
    </row>
    <row r="9" spans="1:20" x14ac:dyDescent="0.25">
      <c r="B9" s="5" t="s">
        <v>173</v>
      </c>
      <c r="C9" s="5" t="s">
        <v>174</v>
      </c>
      <c r="D9" s="5"/>
      <c r="E9" s="221">
        <v>189</v>
      </c>
      <c r="F9" s="186">
        <v>279</v>
      </c>
      <c r="G9" s="186">
        <v>206</v>
      </c>
      <c r="H9" s="186">
        <v>223</v>
      </c>
      <c r="I9" s="186">
        <v>202</v>
      </c>
      <c r="J9" s="55"/>
      <c r="K9" s="55"/>
      <c r="L9" s="55"/>
      <c r="M9" s="55"/>
      <c r="N9" s="55"/>
      <c r="O9" s="55"/>
      <c r="P9" s="55"/>
      <c r="Q9" s="55"/>
      <c r="R9" s="55"/>
      <c r="T9" s="71">
        <f>(SUM(I9,-H9))/H9</f>
        <v>-9.417040358744394E-2</v>
      </c>
    </row>
    <row r="10" spans="1:20" ht="17.25" x14ac:dyDescent="0.4">
      <c r="B10" s="116" t="s">
        <v>110</v>
      </c>
      <c r="C10" s="64" t="s">
        <v>175</v>
      </c>
      <c r="D10" s="64"/>
      <c r="E10" s="241">
        <f>SUM(E8:E9)</f>
        <v>4921</v>
      </c>
      <c r="F10" s="242">
        <f>SUM(F8:F9)</f>
        <v>4860</v>
      </c>
      <c r="G10" s="242">
        <f>SUM(G8:G9)</f>
        <v>5796</v>
      </c>
      <c r="H10" s="242">
        <f>SUM(H8:H9)</f>
        <v>6494</v>
      </c>
      <c r="I10" s="242">
        <f>SUM(I8:I9)</f>
        <v>7324</v>
      </c>
      <c r="J10" s="55"/>
      <c r="K10" s="55"/>
      <c r="L10" s="55"/>
      <c r="M10" s="55"/>
      <c r="N10" s="55"/>
      <c r="O10" s="55"/>
      <c r="P10" s="55"/>
      <c r="Q10" s="55"/>
      <c r="R10" s="55"/>
      <c r="T10" s="71">
        <f>(SUM(I10,-H10))/H10</f>
        <v>0.12781028641823222</v>
      </c>
    </row>
    <row r="11" spans="1:20" x14ac:dyDescent="0.25">
      <c r="B11" s="8"/>
      <c r="C11" s="5"/>
      <c r="D11" s="5"/>
      <c r="E11" s="221"/>
      <c r="F11" s="186"/>
      <c r="G11" s="186"/>
      <c r="H11" s="184"/>
      <c r="I11" s="184"/>
      <c r="J11" s="55"/>
      <c r="K11" s="55"/>
      <c r="L11" s="55"/>
      <c r="M11" s="55"/>
      <c r="N11" s="55"/>
      <c r="O11" s="55"/>
      <c r="P11" s="55"/>
      <c r="Q11" s="55"/>
      <c r="R11" s="55"/>
      <c r="T11" s="71"/>
    </row>
    <row r="12" spans="1:20" x14ac:dyDescent="0.25">
      <c r="B12" s="8" t="s">
        <v>311</v>
      </c>
      <c r="C12" s="5" t="s">
        <v>176</v>
      </c>
      <c r="D12" s="5"/>
      <c r="E12" s="221"/>
      <c r="F12" s="186"/>
      <c r="G12" s="186"/>
      <c r="H12" s="186"/>
      <c r="I12" s="186"/>
      <c r="J12" s="55"/>
      <c r="K12" s="55"/>
      <c r="L12" s="55"/>
      <c r="M12" s="55"/>
      <c r="N12" s="55"/>
      <c r="O12" s="55"/>
      <c r="P12" s="55"/>
      <c r="Q12" s="55"/>
      <c r="R12" s="55"/>
      <c r="T12" s="71"/>
    </row>
    <row r="13" spans="1:20" x14ac:dyDescent="0.25">
      <c r="B13" s="5" t="s">
        <v>177</v>
      </c>
      <c r="C13" s="5" t="s">
        <v>178</v>
      </c>
      <c r="D13" s="5"/>
      <c r="E13" s="221">
        <v>2286</v>
      </c>
      <c r="F13" s="186">
        <v>2101</v>
      </c>
      <c r="G13" s="186">
        <v>2831</v>
      </c>
      <c r="H13" s="186">
        <v>3346</v>
      </c>
      <c r="I13" s="186">
        <v>4004</v>
      </c>
      <c r="J13" s="55"/>
      <c r="K13" s="55"/>
      <c r="L13" s="55"/>
      <c r="M13" s="55"/>
      <c r="N13" s="55"/>
      <c r="O13" s="55"/>
      <c r="P13" s="55"/>
      <c r="Q13" s="55"/>
      <c r="R13" s="55"/>
      <c r="T13" s="71">
        <f>(SUM(I13,-H13))/H13</f>
        <v>0.19665271966527198</v>
      </c>
    </row>
    <row r="14" spans="1:20" x14ac:dyDescent="0.25">
      <c r="B14" s="5" t="s">
        <v>179</v>
      </c>
      <c r="C14" s="5" t="s">
        <v>180</v>
      </c>
      <c r="D14" s="5"/>
      <c r="E14" s="221">
        <v>706</v>
      </c>
      <c r="F14" s="186">
        <v>758</v>
      </c>
      <c r="G14" s="186">
        <v>850</v>
      </c>
      <c r="H14" s="186">
        <v>986</v>
      </c>
      <c r="I14" s="186">
        <v>1152</v>
      </c>
      <c r="J14" s="55"/>
      <c r="K14" s="55"/>
      <c r="L14" s="55"/>
      <c r="M14" s="55"/>
      <c r="N14" s="55"/>
      <c r="O14" s="55"/>
      <c r="P14" s="55"/>
      <c r="Q14" s="55"/>
      <c r="R14" s="55"/>
      <c r="T14" s="71">
        <f>(SUM(I14,-H14))/H14</f>
        <v>0.16835699797160245</v>
      </c>
    </row>
    <row r="15" spans="1:20" x14ac:dyDescent="0.25">
      <c r="B15" s="14" t="s">
        <v>181</v>
      </c>
      <c r="C15" s="5" t="s">
        <v>182</v>
      </c>
      <c r="D15" s="5"/>
      <c r="E15" s="226">
        <f>SUM(E13:E14)</f>
        <v>2992</v>
      </c>
      <c r="F15" s="196">
        <f>SUM(F13:F14)</f>
        <v>2859</v>
      </c>
      <c r="G15" s="196">
        <f>SUM(G13:G14)</f>
        <v>3681</v>
      </c>
      <c r="H15" s="196">
        <f>SUM(H13:H14)</f>
        <v>4332</v>
      </c>
      <c r="I15" s="196">
        <f>SUM(I13:I14)</f>
        <v>5156</v>
      </c>
      <c r="J15" s="55"/>
      <c r="K15" s="55"/>
      <c r="L15" s="55"/>
      <c r="M15" s="55"/>
      <c r="N15" s="55"/>
      <c r="O15" s="55"/>
      <c r="P15" s="55"/>
      <c r="Q15" s="55"/>
      <c r="R15" s="55"/>
      <c r="T15" s="71">
        <f>(SUM(I15,-H15))/H15</f>
        <v>0.19021237303785779</v>
      </c>
    </row>
    <row r="16" spans="1:20" x14ac:dyDescent="0.25">
      <c r="B16" s="5" t="s">
        <v>183</v>
      </c>
      <c r="C16" s="5" t="s">
        <v>184</v>
      </c>
      <c r="D16" s="5"/>
      <c r="E16" s="221">
        <v>252</v>
      </c>
      <c r="F16" s="186">
        <v>243</v>
      </c>
      <c r="G16" s="186">
        <v>281</v>
      </c>
      <c r="H16" s="186">
        <v>266</v>
      </c>
      <c r="I16" s="186">
        <v>234</v>
      </c>
      <c r="J16" s="55"/>
      <c r="K16" s="55"/>
      <c r="L16" s="55"/>
      <c r="M16" s="55"/>
      <c r="N16" s="55"/>
      <c r="O16" s="55"/>
      <c r="P16" s="55"/>
      <c r="Q16" s="55"/>
      <c r="R16" s="55"/>
      <c r="T16" s="71">
        <f>(SUM(I16,-H16))/H16</f>
        <v>-0.12030075187969924</v>
      </c>
    </row>
    <row r="17" spans="2:20" x14ac:dyDescent="0.25">
      <c r="B17" s="116" t="s">
        <v>110</v>
      </c>
      <c r="C17" s="64" t="s">
        <v>185</v>
      </c>
      <c r="D17" s="64"/>
      <c r="E17" s="224">
        <f>SUM(E15:E16)</f>
        <v>3244</v>
      </c>
      <c r="F17" s="225">
        <f>SUM(F15:F16)</f>
        <v>3102</v>
      </c>
      <c r="G17" s="225">
        <f>SUM(G15:G16)</f>
        <v>3962</v>
      </c>
      <c r="H17" s="225">
        <f>SUM(H15:H16)</f>
        <v>4598</v>
      </c>
      <c r="I17" s="225">
        <f>SUM(I15:I16)</f>
        <v>5390</v>
      </c>
      <c r="J17" s="55"/>
      <c r="K17" s="55"/>
      <c r="L17" s="55"/>
      <c r="M17" s="55"/>
      <c r="N17" s="55"/>
      <c r="O17" s="55"/>
      <c r="P17" s="55"/>
      <c r="Q17" s="55"/>
      <c r="R17" s="55"/>
      <c r="T17" s="71">
        <f>(SUM(I17,-H17))/H17</f>
        <v>0.17224880382775121</v>
      </c>
    </row>
    <row r="18" spans="2:20" x14ac:dyDescent="0.25">
      <c r="B18" s="8"/>
      <c r="C18" s="5"/>
      <c r="D18" s="5"/>
      <c r="E18" s="227"/>
      <c r="F18" s="228"/>
      <c r="G18" s="228"/>
      <c r="H18" s="228"/>
      <c r="I18" s="228"/>
      <c r="J18" s="55"/>
      <c r="K18" s="55"/>
      <c r="L18" s="55"/>
      <c r="M18" s="55"/>
      <c r="N18" s="55"/>
      <c r="O18" s="55"/>
      <c r="P18" s="55"/>
      <c r="Q18" s="55"/>
      <c r="R18" s="55"/>
      <c r="T18" s="71"/>
    </row>
    <row r="19" spans="2:20" x14ac:dyDescent="0.25">
      <c r="B19" s="8" t="s">
        <v>312</v>
      </c>
      <c r="C19" s="5" t="s">
        <v>186</v>
      </c>
      <c r="D19" s="5"/>
      <c r="E19" s="221"/>
      <c r="F19" s="186"/>
      <c r="G19" s="186"/>
      <c r="H19" s="186"/>
      <c r="I19" s="186"/>
      <c r="J19" s="55"/>
      <c r="K19" s="55"/>
      <c r="L19" s="55"/>
      <c r="M19" s="55"/>
      <c r="N19" s="55"/>
      <c r="O19" s="55"/>
      <c r="P19" s="55"/>
      <c r="Q19" s="55"/>
      <c r="R19" s="55"/>
      <c r="T19" s="71">
        <f t="shared" ref="T19:T25" si="0">(SUM(I20,-H20))/H20</f>
        <v>6.6801619433198386E-2</v>
      </c>
    </row>
    <row r="20" spans="2:20" x14ac:dyDescent="0.25">
      <c r="B20" s="5" t="s">
        <v>187</v>
      </c>
      <c r="C20" s="5" t="s">
        <v>188</v>
      </c>
      <c r="D20" s="5"/>
      <c r="E20" s="221">
        <v>441</v>
      </c>
      <c r="F20" s="186">
        <v>433</v>
      </c>
      <c r="G20" s="186">
        <v>471</v>
      </c>
      <c r="H20" s="186">
        <v>494</v>
      </c>
      <c r="I20" s="186">
        <v>527</v>
      </c>
      <c r="J20" s="55"/>
      <c r="K20" s="55"/>
      <c r="L20" s="55"/>
      <c r="M20" s="55"/>
      <c r="N20" s="55"/>
      <c r="O20" s="55"/>
      <c r="P20" s="55"/>
      <c r="Q20" s="55"/>
      <c r="R20" s="55"/>
      <c r="T20" s="71">
        <f t="shared" si="0"/>
        <v>3.4682080924855488E-2</v>
      </c>
    </row>
    <row r="21" spans="2:20" x14ac:dyDescent="0.25">
      <c r="B21" s="5" t="s">
        <v>189</v>
      </c>
      <c r="C21" s="5" t="s">
        <v>190</v>
      </c>
      <c r="D21" s="5"/>
      <c r="E21" s="221">
        <v>163</v>
      </c>
      <c r="F21" s="186">
        <v>146</v>
      </c>
      <c r="G21" s="186">
        <v>160</v>
      </c>
      <c r="H21" s="186">
        <v>173</v>
      </c>
      <c r="I21" s="186">
        <v>179</v>
      </c>
      <c r="J21" s="55"/>
      <c r="K21" s="55"/>
      <c r="L21" s="55"/>
      <c r="M21" s="55"/>
      <c r="N21" s="55"/>
      <c r="O21" s="55"/>
      <c r="P21" s="55"/>
      <c r="Q21" s="55"/>
      <c r="R21" s="55"/>
      <c r="T21" s="71">
        <f t="shared" si="0"/>
        <v>0</v>
      </c>
    </row>
    <row r="22" spans="2:20" x14ac:dyDescent="0.25">
      <c r="B22" s="5" t="s">
        <v>191</v>
      </c>
      <c r="C22" s="5" t="s">
        <v>191</v>
      </c>
      <c r="D22" s="5"/>
      <c r="E22" s="221">
        <v>25</v>
      </c>
      <c r="F22" s="186">
        <v>26</v>
      </c>
      <c r="G22" s="186">
        <v>29</v>
      </c>
      <c r="H22" s="186">
        <v>31</v>
      </c>
      <c r="I22" s="186">
        <v>31</v>
      </c>
      <c r="J22" s="55"/>
      <c r="K22" s="55"/>
      <c r="L22" s="55"/>
      <c r="M22" s="55"/>
      <c r="N22" s="55"/>
      <c r="O22" s="55"/>
      <c r="P22" s="55"/>
      <c r="Q22" s="55"/>
      <c r="R22" s="55"/>
      <c r="T22" s="71">
        <f t="shared" si="0"/>
        <v>0.27272727272727271</v>
      </c>
    </row>
    <row r="23" spans="2:20" x14ac:dyDescent="0.25">
      <c r="B23" s="5" t="s">
        <v>192</v>
      </c>
      <c r="C23" s="5" t="s">
        <v>193</v>
      </c>
      <c r="D23" s="5"/>
      <c r="E23" s="221">
        <v>27</v>
      </c>
      <c r="F23" s="186">
        <v>36</v>
      </c>
      <c r="G23" s="186">
        <v>27</v>
      </c>
      <c r="H23" s="186">
        <v>33</v>
      </c>
      <c r="I23" s="186">
        <v>42</v>
      </c>
      <c r="J23" s="55"/>
      <c r="K23" s="55"/>
      <c r="L23" s="55"/>
      <c r="M23" s="55"/>
      <c r="N23" s="55"/>
      <c r="O23" s="55"/>
      <c r="P23" s="55"/>
      <c r="Q23" s="55"/>
      <c r="R23" s="55"/>
      <c r="T23" s="71">
        <f t="shared" si="0"/>
        <v>6.5663474692202461E-2</v>
      </c>
    </row>
    <row r="24" spans="2:20" x14ac:dyDescent="0.25">
      <c r="B24" s="14" t="s">
        <v>194</v>
      </c>
      <c r="C24" s="5" t="s">
        <v>195</v>
      </c>
      <c r="D24" s="5"/>
      <c r="E24" s="226">
        <f>SUM(E20:E23)</f>
        <v>656</v>
      </c>
      <c r="F24" s="196">
        <f>SUM(F20:F23)</f>
        <v>641</v>
      </c>
      <c r="G24" s="196">
        <f>SUM(G20:G23)</f>
        <v>687</v>
      </c>
      <c r="H24" s="196">
        <f>SUM(H20:H23)</f>
        <v>731</v>
      </c>
      <c r="I24" s="196">
        <f>SUM(I20:I23)</f>
        <v>779</v>
      </c>
      <c r="J24" s="55"/>
      <c r="K24" s="55"/>
      <c r="L24" s="55"/>
      <c r="M24" s="55"/>
      <c r="N24" s="55"/>
      <c r="O24" s="55"/>
      <c r="P24" s="55"/>
      <c r="Q24" s="55"/>
      <c r="R24" s="55"/>
      <c r="T24" s="71">
        <f t="shared" si="0"/>
        <v>0.19696969696969696</v>
      </c>
    </row>
    <row r="25" spans="2:20" x14ac:dyDescent="0.25">
      <c r="B25" s="5" t="s">
        <v>196</v>
      </c>
      <c r="C25" s="5" t="s">
        <v>197</v>
      </c>
      <c r="D25" s="5"/>
      <c r="E25" s="221">
        <v>-27</v>
      </c>
      <c r="F25" s="186">
        <v>-45</v>
      </c>
      <c r="G25" s="186">
        <v>-52</v>
      </c>
      <c r="H25" s="186">
        <v>-66</v>
      </c>
      <c r="I25" s="186">
        <v>-79</v>
      </c>
      <c r="J25" s="55"/>
      <c r="K25" s="55"/>
      <c r="L25" s="55"/>
      <c r="M25" s="55"/>
      <c r="N25" s="55"/>
      <c r="O25" s="55"/>
      <c r="P25" s="55"/>
      <c r="Q25" s="55"/>
      <c r="R25" s="55"/>
      <c r="T25" s="71">
        <f t="shared" si="0"/>
        <v>5.2631578947368418E-2</v>
      </c>
    </row>
    <row r="26" spans="2:20" ht="17.25" x14ac:dyDescent="0.4">
      <c r="B26" s="116" t="s">
        <v>110</v>
      </c>
      <c r="C26" s="64" t="s">
        <v>195</v>
      </c>
      <c r="D26" s="64"/>
      <c r="E26" s="241">
        <f>SUM(E24:E25)</f>
        <v>629</v>
      </c>
      <c r="F26" s="242">
        <f>SUM(F24:F25)</f>
        <v>596</v>
      </c>
      <c r="G26" s="242">
        <f>SUM(G24:G25)</f>
        <v>635</v>
      </c>
      <c r="H26" s="242">
        <f>SUM(H24:H25)</f>
        <v>665</v>
      </c>
      <c r="I26" s="242">
        <f>SUM(I24:I25)</f>
        <v>700</v>
      </c>
      <c r="J26" s="55"/>
      <c r="K26" s="55"/>
      <c r="L26" s="55"/>
      <c r="M26" s="55"/>
      <c r="N26" s="55"/>
      <c r="O26" s="55"/>
      <c r="P26" s="55"/>
      <c r="Q26" s="55"/>
      <c r="R26" s="55"/>
      <c r="T26" s="71"/>
    </row>
    <row r="27" spans="2:20" x14ac:dyDescent="0.25">
      <c r="B27" s="8"/>
      <c r="C27" s="5"/>
      <c r="D27" s="5"/>
      <c r="E27" s="221"/>
      <c r="F27" s="186"/>
      <c r="G27" s="186"/>
      <c r="H27" s="186"/>
      <c r="I27" s="186"/>
      <c r="J27" s="55"/>
      <c r="K27" s="55"/>
      <c r="L27" s="55"/>
      <c r="M27" s="55"/>
      <c r="N27" s="55"/>
      <c r="O27" s="55"/>
      <c r="P27" s="55"/>
      <c r="Q27" s="55"/>
      <c r="R27" s="55"/>
      <c r="T27" s="71">
        <f>(SUM(I28,-H28))/H28</f>
        <v>2.437043054427295E-3</v>
      </c>
    </row>
    <row r="28" spans="2:20" x14ac:dyDescent="0.25">
      <c r="B28" s="15" t="s">
        <v>198</v>
      </c>
      <c r="C28" s="16" t="s">
        <v>199</v>
      </c>
      <c r="D28" s="16"/>
      <c r="E28" s="229">
        <f>SUM(E10,-E17,-E26)</f>
        <v>1048</v>
      </c>
      <c r="F28" s="197">
        <f>SUM(F10,-F17,-F26)</f>
        <v>1162</v>
      </c>
      <c r="G28" s="197">
        <f>SUM(G10,-G17,-G26)</f>
        <v>1199</v>
      </c>
      <c r="H28" s="197">
        <f>SUM(H10,-H17,-H26)</f>
        <v>1231</v>
      </c>
      <c r="I28" s="197">
        <f>SUM(I10,-I17,-I26)</f>
        <v>1234</v>
      </c>
      <c r="J28" s="55"/>
      <c r="K28" s="55"/>
      <c r="L28" s="55"/>
      <c r="M28" s="55"/>
      <c r="N28" s="55"/>
      <c r="O28" s="55"/>
      <c r="P28" s="55"/>
      <c r="Q28" s="55"/>
      <c r="R28" s="55"/>
      <c r="T28" s="71"/>
    </row>
    <row r="29" spans="2:20" x14ac:dyDescent="0.25">
      <c r="B29" s="8"/>
      <c r="C29" s="5"/>
      <c r="D29" s="5"/>
      <c r="E29" s="221"/>
      <c r="F29" s="186"/>
      <c r="G29" s="186"/>
      <c r="H29" s="184"/>
      <c r="I29" s="184"/>
      <c r="J29" s="55"/>
      <c r="K29" s="55"/>
      <c r="L29" s="55"/>
      <c r="M29" s="55"/>
      <c r="N29" s="55"/>
      <c r="O29" s="55"/>
      <c r="P29" s="55"/>
      <c r="Q29" s="55"/>
      <c r="R29" s="55"/>
      <c r="T29" s="71"/>
    </row>
    <row r="30" spans="2:20" ht="30" x14ac:dyDescent="0.25">
      <c r="B30" s="26" t="s">
        <v>200</v>
      </c>
      <c r="C30" s="5" t="s">
        <v>201</v>
      </c>
      <c r="D30" s="5"/>
      <c r="E30" s="221"/>
      <c r="F30" s="186"/>
      <c r="G30" s="186"/>
      <c r="H30" s="184"/>
      <c r="I30" s="184"/>
      <c r="J30" s="55"/>
      <c r="K30" s="55"/>
      <c r="L30" s="55"/>
      <c r="M30" s="55"/>
      <c r="N30" s="55"/>
      <c r="O30" s="55"/>
      <c r="P30" s="55"/>
      <c r="Q30" s="55"/>
      <c r="R30" s="55"/>
      <c r="T30" s="71">
        <f t="shared" ref="T30:T36" si="1">(SUM(I31,-H31))/H31</f>
        <v>0.35164835164835168</v>
      </c>
    </row>
    <row r="31" spans="2:20" x14ac:dyDescent="0.25">
      <c r="B31" s="5" t="s">
        <v>202</v>
      </c>
      <c r="C31" s="5" t="s">
        <v>203</v>
      </c>
      <c r="D31" s="5"/>
      <c r="E31" s="221">
        <v>54</v>
      </c>
      <c r="F31" s="186">
        <v>55</v>
      </c>
      <c r="G31" s="186">
        <v>72</v>
      </c>
      <c r="H31" s="186">
        <v>91</v>
      </c>
      <c r="I31" s="186">
        <v>123</v>
      </c>
      <c r="J31" s="55"/>
      <c r="K31" s="55"/>
      <c r="L31" s="55"/>
      <c r="M31" s="55"/>
      <c r="N31" s="55"/>
      <c r="O31" s="55"/>
      <c r="P31" s="55"/>
      <c r="Q31" s="55"/>
      <c r="R31" s="55"/>
      <c r="T31" s="71">
        <f t="shared" si="1"/>
        <v>1.8817204301075269E-2</v>
      </c>
    </row>
    <row r="32" spans="2:20" x14ac:dyDescent="0.25">
      <c r="B32" s="5" t="s">
        <v>204</v>
      </c>
      <c r="C32" s="5" t="s">
        <v>205</v>
      </c>
      <c r="D32" s="5"/>
      <c r="E32" s="221">
        <v>341</v>
      </c>
      <c r="F32" s="186">
        <v>348</v>
      </c>
      <c r="G32" s="186">
        <v>338</v>
      </c>
      <c r="H32" s="186">
        <v>372</v>
      </c>
      <c r="I32" s="186">
        <v>379</v>
      </c>
      <c r="J32" s="55"/>
      <c r="K32" s="55"/>
      <c r="L32" s="55"/>
      <c r="M32" s="55"/>
      <c r="N32" s="55"/>
      <c r="O32" s="55"/>
      <c r="P32" s="55"/>
      <c r="Q32" s="55"/>
      <c r="R32" s="55"/>
      <c r="T32" s="71">
        <f t="shared" si="1"/>
        <v>-0.94374999999999998</v>
      </c>
    </row>
    <row r="33" spans="2:20" x14ac:dyDescent="0.25">
      <c r="B33" s="5" t="s">
        <v>206</v>
      </c>
      <c r="C33" s="5" t="s">
        <v>207</v>
      </c>
      <c r="D33" s="5"/>
      <c r="E33" s="221">
        <v>359</v>
      </c>
      <c r="F33" s="186">
        <v>245</v>
      </c>
      <c r="G33" s="186">
        <v>34</v>
      </c>
      <c r="H33" s="186">
        <v>160</v>
      </c>
      <c r="I33" s="186">
        <v>9</v>
      </c>
      <c r="J33" s="55"/>
      <c r="K33" s="55"/>
      <c r="L33" s="55"/>
      <c r="M33" s="55"/>
      <c r="N33" s="55"/>
      <c r="O33" s="55"/>
      <c r="P33" s="55"/>
      <c r="Q33" s="55"/>
      <c r="R33" s="55"/>
      <c r="T33" s="71">
        <f t="shared" si="1"/>
        <v>-0.1797752808988764</v>
      </c>
    </row>
    <row r="34" spans="2:20" x14ac:dyDescent="0.25">
      <c r="B34" s="117" t="s">
        <v>208</v>
      </c>
      <c r="C34" s="118" t="s">
        <v>209</v>
      </c>
      <c r="D34" s="118"/>
      <c r="E34" s="230">
        <f>SUM(E31:E33)</f>
        <v>754</v>
      </c>
      <c r="F34" s="231">
        <f>SUM(F31:F33)</f>
        <v>648</v>
      </c>
      <c r="G34" s="231">
        <f>SUM(G31:G33)</f>
        <v>444</v>
      </c>
      <c r="H34" s="231">
        <f>SUM(H31:H33)</f>
        <v>623</v>
      </c>
      <c r="I34" s="231">
        <f>SUM(I31:I33)</f>
        <v>511</v>
      </c>
      <c r="J34" s="55"/>
      <c r="K34" s="55"/>
      <c r="L34" s="55"/>
      <c r="M34" s="55"/>
      <c r="N34" s="55"/>
      <c r="O34" s="55"/>
      <c r="P34" s="55"/>
      <c r="Q34" s="55"/>
      <c r="R34" s="55"/>
      <c r="T34" s="71">
        <f t="shared" si="1"/>
        <v>-5.2</v>
      </c>
    </row>
    <row r="35" spans="2:20" x14ac:dyDescent="0.25">
      <c r="B35" s="5" t="s">
        <v>210</v>
      </c>
      <c r="C35" s="5" t="s">
        <v>211</v>
      </c>
      <c r="D35" s="5"/>
      <c r="E35" s="221">
        <v>57</v>
      </c>
      <c r="F35" s="186">
        <v>50</v>
      </c>
      <c r="G35" s="186">
        <v>10</v>
      </c>
      <c r="H35" s="186">
        <v>-5</v>
      </c>
      <c r="I35" s="186">
        <v>21</v>
      </c>
      <c r="J35" s="55"/>
      <c r="K35" s="55"/>
      <c r="L35" s="55"/>
      <c r="M35" s="55"/>
      <c r="N35" s="55"/>
      <c r="O35" s="55"/>
      <c r="P35" s="55"/>
      <c r="Q35" s="55"/>
      <c r="R35" s="55"/>
      <c r="T35" s="71">
        <f t="shared" si="1"/>
        <v>-0.4</v>
      </c>
    </row>
    <row r="36" spans="2:20" x14ac:dyDescent="0.25">
      <c r="B36" s="5" t="s">
        <v>212</v>
      </c>
      <c r="C36" s="5" t="s">
        <v>213</v>
      </c>
      <c r="D36" s="5"/>
      <c r="E36" s="221">
        <v>22</v>
      </c>
      <c r="F36" s="186">
        <v>21</v>
      </c>
      <c r="G36" s="186">
        <v>35</v>
      </c>
      <c r="H36" s="186">
        <v>25</v>
      </c>
      <c r="I36" s="186">
        <v>15</v>
      </c>
      <c r="J36" s="55"/>
      <c r="K36" s="55"/>
      <c r="L36" s="55"/>
      <c r="M36" s="55"/>
      <c r="N36" s="55"/>
      <c r="O36" s="55"/>
      <c r="P36" s="55"/>
      <c r="Q36" s="55"/>
      <c r="R36" s="55"/>
      <c r="T36" s="71">
        <f t="shared" si="1"/>
        <v>-0.14930015552099535</v>
      </c>
    </row>
    <row r="37" spans="2:20" x14ac:dyDescent="0.25">
      <c r="B37" s="116" t="s">
        <v>110</v>
      </c>
      <c r="C37" s="64" t="s">
        <v>214</v>
      </c>
      <c r="D37" s="64"/>
      <c r="E37" s="224">
        <f>SUM(E34:E36)</f>
        <v>833</v>
      </c>
      <c r="F37" s="225">
        <f>SUM(F34:F36)</f>
        <v>719</v>
      </c>
      <c r="G37" s="225">
        <f>SUM(G34:G36)</f>
        <v>489</v>
      </c>
      <c r="H37" s="225">
        <f>SUM(H34:H36)</f>
        <v>643</v>
      </c>
      <c r="I37" s="225">
        <f>SUM(I34:I36)</f>
        <v>547</v>
      </c>
      <c r="J37" s="55"/>
      <c r="K37" s="55"/>
      <c r="L37" s="55"/>
      <c r="M37" s="55"/>
      <c r="N37" s="55"/>
      <c r="O37" s="55"/>
      <c r="P37" s="55"/>
      <c r="Q37" s="55"/>
      <c r="R37" s="55"/>
      <c r="T37" s="71"/>
    </row>
    <row r="38" spans="2:20" x14ac:dyDescent="0.25">
      <c r="B38" s="8"/>
      <c r="C38" s="5"/>
      <c r="D38" s="5"/>
      <c r="E38" s="221"/>
      <c r="F38" s="186"/>
      <c r="G38" s="186"/>
      <c r="H38" s="184"/>
      <c r="I38" s="184"/>
      <c r="J38" s="55"/>
      <c r="K38" s="55"/>
      <c r="L38" s="55"/>
      <c r="M38" s="55"/>
      <c r="N38" s="55"/>
      <c r="O38" s="55"/>
      <c r="P38" s="55"/>
      <c r="Q38" s="55"/>
      <c r="R38" s="55"/>
      <c r="T38" s="71">
        <f>(SUM(I39,-H39))/H39</f>
        <v>0.1683673469387755</v>
      </c>
    </row>
    <row r="39" spans="2:20" x14ac:dyDescent="0.25">
      <c r="B39" s="24" t="s">
        <v>215</v>
      </c>
      <c r="C39" s="25" t="s">
        <v>216</v>
      </c>
      <c r="D39" s="25"/>
      <c r="E39" s="232">
        <f>SUM(E28,-E37)</f>
        <v>215</v>
      </c>
      <c r="F39" s="198">
        <f>SUM(F28,-F37)</f>
        <v>443</v>
      </c>
      <c r="G39" s="198">
        <f>SUM(G28,-G37)</f>
        <v>710</v>
      </c>
      <c r="H39" s="198">
        <f>SUM(H28,-H37)</f>
        <v>588</v>
      </c>
      <c r="I39" s="198">
        <f>SUM(I28,-I37)</f>
        <v>687</v>
      </c>
      <c r="J39" s="55"/>
      <c r="K39" s="55"/>
      <c r="L39" s="55"/>
      <c r="M39" s="55"/>
      <c r="N39" s="55"/>
      <c r="O39" s="55"/>
      <c r="P39" s="55"/>
      <c r="Q39" s="55"/>
      <c r="R39" s="55"/>
      <c r="T39" s="71"/>
    </row>
    <row r="40" spans="2:20" x14ac:dyDescent="0.25">
      <c r="B40" s="8"/>
      <c r="C40" s="5"/>
      <c r="D40" s="5"/>
      <c r="E40" s="221"/>
      <c r="F40" s="186"/>
      <c r="G40" s="186"/>
      <c r="H40" s="184"/>
      <c r="I40" s="184"/>
      <c r="J40" s="55"/>
      <c r="K40" s="55"/>
      <c r="L40" s="55"/>
      <c r="M40" s="55"/>
      <c r="N40" s="55"/>
      <c r="O40" s="55"/>
      <c r="P40" s="55"/>
      <c r="Q40" s="55"/>
      <c r="R40" s="55"/>
      <c r="T40" s="71">
        <f>(SUM(I41,-H41))/H41</f>
        <v>-0.7142857142857143</v>
      </c>
    </row>
    <row r="41" spans="2:20" x14ac:dyDescent="0.25">
      <c r="B41" s="8" t="s">
        <v>217</v>
      </c>
      <c r="C41" s="5" t="s">
        <v>218</v>
      </c>
      <c r="D41" s="5"/>
      <c r="E41" s="221">
        <v>1</v>
      </c>
      <c r="F41" s="186">
        <v>52</v>
      </c>
      <c r="G41" s="186">
        <v>0</v>
      </c>
      <c r="H41" s="184">
        <v>14</v>
      </c>
      <c r="I41" s="184">
        <v>4</v>
      </c>
      <c r="J41" s="55"/>
      <c r="K41" s="55"/>
      <c r="L41" s="55"/>
      <c r="M41" s="55"/>
      <c r="N41" s="55"/>
      <c r="O41" s="55"/>
      <c r="P41" s="55"/>
      <c r="Q41" s="55"/>
      <c r="R41" s="55"/>
      <c r="T41" s="71"/>
    </row>
    <row r="42" spans="2:20" x14ac:dyDescent="0.25">
      <c r="B42" s="8"/>
      <c r="C42" s="5"/>
      <c r="D42" s="5"/>
      <c r="E42" s="221"/>
      <c r="F42" s="186"/>
      <c r="G42" s="186"/>
      <c r="H42" s="184"/>
      <c r="I42" s="184"/>
      <c r="J42" s="55"/>
      <c r="K42" s="55"/>
      <c r="L42" s="55"/>
      <c r="M42" s="55"/>
      <c r="N42" s="55"/>
      <c r="O42" s="55"/>
      <c r="P42" s="55"/>
      <c r="Q42" s="55"/>
      <c r="R42" s="55"/>
      <c r="T42" s="71"/>
    </row>
    <row r="43" spans="2:20" x14ac:dyDescent="0.25">
      <c r="B43" s="8" t="s">
        <v>219</v>
      </c>
      <c r="C43" s="5" t="s">
        <v>220</v>
      </c>
      <c r="D43" s="5"/>
      <c r="E43" s="221"/>
      <c r="F43" s="186"/>
      <c r="G43" s="186"/>
      <c r="H43" s="186"/>
      <c r="I43" s="186"/>
      <c r="J43" s="55"/>
      <c r="K43" s="55"/>
      <c r="L43" s="55"/>
      <c r="M43" s="55"/>
      <c r="N43" s="55"/>
      <c r="O43" s="55"/>
      <c r="P43" s="55"/>
      <c r="Q43" s="55"/>
      <c r="R43" s="55"/>
      <c r="T43" s="71"/>
    </row>
    <row r="44" spans="2:20" x14ac:dyDescent="0.25">
      <c r="B44" s="179" t="s">
        <v>221</v>
      </c>
      <c r="C44" s="5" t="s">
        <v>222</v>
      </c>
      <c r="D44" s="5"/>
      <c r="E44" s="221"/>
      <c r="F44" s="186"/>
      <c r="G44" s="186"/>
      <c r="H44" s="186"/>
      <c r="I44" s="186"/>
      <c r="J44" s="55"/>
      <c r="K44" s="55"/>
      <c r="L44" s="55"/>
      <c r="M44" s="55"/>
      <c r="N44" s="55"/>
      <c r="O44" s="55"/>
      <c r="P44" s="55"/>
      <c r="Q44" s="55"/>
      <c r="R44" s="55"/>
      <c r="T44" s="71"/>
    </row>
    <row r="45" spans="2:20" x14ac:dyDescent="0.25">
      <c r="B45" s="5" t="s">
        <v>223</v>
      </c>
      <c r="C45" s="5"/>
      <c r="D45" s="5"/>
      <c r="E45" s="221"/>
      <c r="F45" s="186"/>
      <c r="G45" s="186"/>
      <c r="H45" s="186">
        <v>0</v>
      </c>
      <c r="I45" s="186">
        <v>4</v>
      </c>
      <c r="J45" s="55"/>
      <c r="K45" s="55"/>
      <c r="L45" s="55"/>
      <c r="M45" s="55"/>
      <c r="N45" s="55"/>
      <c r="O45" s="55"/>
      <c r="P45" s="55"/>
      <c r="Q45" s="55"/>
      <c r="R45" s="55"/>
      <c r="T45" s="71">
        <f>(SUM(I46,-H46))/H46</f>
        <v>-0.25</v>
      </c>
    </row>
    <row r="46" spans="2:20" x14ac:dyDescent="0.25">
      <c r="B46" s="5" t="s">
        <v>224</v>
      </c>
      <c r="C46" s="5"/>
      <c r="D46" s="5"/>
      <c r="E46" s="221"/>
      <c r="F46" s="186"/>
      <c r="G46" s="186"/>
      <c r="H46" s="186">
        <v>16</v>
      </c>
      <c r="I46" s="186">
        <v>12</v>
      </c>
      <c r="J46" s="55"/>
      <c r="K46" s="55"/>
      <c r="L46" s="55"/>
      <c r="M46" s="55"/>
      <c r="N46" s="55"/>
      <c r="O46" s="55"/>
      <c r="P46" s="55"/>
      <c r="Q46" s="55"/>
      <c r="R46" s="55"/>
      <c r="T46" s="71">
        <f>(SUM(I47,-H47))/H47</f>
        <v>0</v>
      </c>
    </row>
    <row r="47" spans="2:20" x14ac:dyDescent="0.25">
      <c r="B47" s="116" t="s">
        <v>110</v>
      </c>
      <c r="C47" s="114"/>
      <c r="D47" s="114"/>
      <c r="E47" s="224">
        <v>28</v>
      </c>
      <c r="F47" s="225">
        <v>34</v>
      </c>
      <c r="G47" s="225">
        <v>19</v>
      </c>
      <c r="H47" s="225">
        <f t="shared" ref="H47" si="2">SUM(H45:H46)</f>
        <v>16</v>
      </c>
      <c r="I47" s="225">
        <f>SUM(I45:I46)</f>
        <v>16</v>
      </c>
      <c r="J47" s="55"/>
      <c r="K47" s="55"/>
      <c r="L47" s="55"/>
      <c r="M47" s="55"/>
      <c r="N47" s="55"/>
      <c r="O47" s="55"/>
      <c r="P47" s="55"/>
      <c r="Q47" s="55"/>
      <c r="R47" s="55"/>
      <c r="T47" s="71"/>
    </row>
    <row r="48" spans="2:20" x14ac:dyDescent="0.25">
      <c r="B48" s="179" t="s">
        <v>226</v>
      </c>
      <c r="C48" s="5" t="s">
        <v>227</v>
      </c>
      <c r="D48" s="5"/>
      <c r="E48" s="221"/>
      <c r="F48" s="186"/>
      <c r="G48" s="186"/>
      <c r="H48" s="186"/>
      <c r="I48" s="186"/>
      <c r="J48" s="55"/>
      <c r="K48" s="55"/>
      <c r="L48" s="55"/>
      <c r="M48" s="55"/>
      <c r="N48" s="55"/>
      <c r="O48" s="55"/>
      <c r="P48" s="55"/>
      <c r="Q48" s="55"/>
      <c r="R48" s="55"/>
      <c r="T48" s="71">
        <f t="shared" ref="T48:T53" si="3">(SUM(I49,-H49))/H49</f>
        <v>-7.8431372549019607E-2</v>
      </c>
    </row>
    <row r="49" spans="2:20" x14ac:dyDescent="0.25">
      <c r="B49" s="5" t="s">
        <v>228</v>
      </c>
      <c r="C49" s="5" t="s">
        <v>229</v>
      </c>
      <c r="D49" s="5"/>
      <c r="E49" s="221">
        <v>125</v>
      </c>
      <c r="F49" s="186">
        <v>125</v>
      </c>
      <c r="G49" s="186">
        <v>104</v>
      </c>
      <c r="H49" s="186">
        <v>102</v>
      </c>
      <c r="I49" s="186">
        <v>94</v>
      </c>
      <c r="J49" s="55"/>
      <c r="K49" s="55"/>
      <c r="L49" s="55"/>
      <c r="M49" s="55"/>
      <c r="N49" s="55"/>
      <c r="O49" s="55"/>
      <c r="P49" s="55"/>
      <c r="Q49" s="55"/>
      <c r="R49" s="55"/>
      <c r="T49" s="71">
        <f t="shared" si="3"/>
        <v>-0.33333333333333331</v>
      </c>
    </row>
    <row r="50" spans="2:20" x14ac:dyDescent="0.25">
      <c r="B50" s="5" t="s">
        <v>230</v>
      </c>
      <c r="C50" s="5" t="s">
        <v>231</v>
      </c>
      <c r="D50" s="5"/>
      <c r="E50" s="221">
        <v>15</v>
      </c>
      <c r="F50" s="186">
        <v>9</v>
      </c>
      <c r="G50" s="186">
        <v>9</v>
      </c>
      <c r="H50" s="186">
        <v>6</v>
      </c>
      <c r="I50" s="186">
        <v>4</v>
      </c>
      <c r="J50" s="55"/>
      <c r="K50" s="55"/>
      <c r="L50" s="55"/>
      <c r="M50" s="55"/>
      <c r="N50" s="55"/>
      <c r="O50" s="55"/>
      <c r="P50" s="55"/>
      <c r="Q50" s="55"/>
      <c r="R50" s="55"/>
      <c r="T50" s="71">
        <f t="shared" si="3"/>
        <v>-0.125</v>
      </c>
    </row>
    <row r="51" spans="2:20" x14ac:dyDescent="0.25">
      <c r="B51" s="5" t="s">
        <v>232</v>
      </c>
      <c r="C51" s="5" t="s">
        <v>233</v>
      </c>
      <c r="D51" s="5"/>
      <c r="E51" s="221">
        <v>5</v>
      </c>
      <c r="F51" s="186">
        <v>6</v>
      </c>
      <c r="G51" s="186">
        <v>8</v>
      </c>
      <c r="H51" s="186">
        <v>8</v>
      </c>
      <c r="I51" s="186">
        <v>7</v>
      </c>
      <c r="J51" s="55"/>
      <c r="K51" s="55"/>
      <c r="L51" s="55"/>
      <c r="M51" s="55"/>
      <c r="N51" s="55"/>
      <c r="O51" s="55"/>
      <c r="P51" s="55"/>
      <c r="Q51" s="55"/>
      <c r="R51" s="55"/>
      <c r="T51" s="71">
        <f t="shared" si="3"/>
        <v>-0.5</v>
      </c>
    </row>
    <row r="52" spans="2:20" x14ac:dyDescent="0.25">
      <c r="B52" s="5" t="s">
        <v>234</v>
      </c>
      <c r="C52" s="5" t="s">
        <v>235</v>
      </c>
      <c r="D52" s="5"/>
      <c r="E52" s="221">
        <v>0</v>
      </c>
      <c r="F52" s="186">
        <v>1</v>
      </c>
      <c r="G52" s="186">
        <v>2</v>
      </c>
      <c r="H52" s="186">
        <v>2</v>
      </c>
      <c r="I52" s="186">
        <v>1</v>
      </c>
      <c r="J52" s="55"/>
      <c r="K52" s="55"/>
      <c r="L52" s="55"/>
      <c r="M52" s="55"/>
      <c r="N52" s="55"/>
      <c r="O52" s="55"/>
      <c r="P52" s="55"/>
      <c r="Q52" s="55"/>
      <c r="R52" s="55"/>
      <c r="T52" s="71">
        <f t="shared" si="3"/>
        <v>0.7142857142857143</v>
      </c>
    </row>
    <row r="53" spans="2:20" x14ac:dyDescent="0.25">
      <c r="B53" s="5" t="s">
        <v>236</v>
      </c>
      <c r="C53" s="5" t="s">
        <v>237</v>
      </c>
      <c r="D53" s="5"/>
      <c r="E53" s="221">
        <v>17</v>
      </c>
      <c r="F53" s="186">
        <v>51</v>
      </c>
      <c r="G53" s="186">
        <v>35</v>
      </c>
      <c r="H53" s="186">
        <v>14</v>
      </c>
      <c r="I53" s="186">
        <v>24</v>
      </c>
      <c r="J53" s="55"/>
      <c r="K53" s="55"/>
      <c r="L53" s="55"/>
      <c r="M53" s="55"/>
      <c r="N53" s="55"/>
      <c r="O53" s="55"/>
      <c r="P53" s="55"/>
      <c r="Q53" s="55"/>
      <c r="R53" s="55"/>
      <c r="T53" s="71">
        <f t="shared" si="3"/>
        <v>-1.5151515151515152E-2</v>
      </c>
    </row>
    <row r="54" spans="2:20" x14ac:dyDescent="0.25">
      <c r="B54" s="119" t="s">
        <v>110</v>
      </c>
      <c r="C54" s="118" t="s">
        <v>239</v>
      </c>
      <c r="D54" s="118"/>
      <c r="E54" s="233">
        <v>162</v>
      </c>
      <c r="F54" s="234">
        <f>SUM(F49:F53)</f>
        <v>192</v>
      </c>
      <c r="G54" s="234">
        <f>SUM(G49:G53)</f>
        <v>158</v>
      </c>
      <c r="H54" s="234">
        <f>SUM(H49:H53)</f>
        <v>132</v>
      </c>
      <c r="I54" s="234">
        <f>SUM(I49:I53)</f>
        <v>130</v>
      </c>
      <c r="J54" s="55"/>
      <c r="K54" s="55"/>
      <c r="L54" s="55"/>
      <c r="M54" s="55"/>
      <c r="N54" s="55"/>
      <c r="O54" s="55"/>
      <c r="P54" s="55"/>
      <c r="Q54" s="55"/>
      <c r="R54" s="55"/>
      <c r="T54" s="71"/>
    </row>
    <row r="55" spans="2:20" x14ac:dyDescent="0.25">
      <c r="B55" s="5" t="s">
        <v>240</v>
      </c>
      <c r="C55" s="5" t="s">
        <v>241</v>
      </c>
      <c r="D55" s="5"/>
      <c r="E55" s="221">
        <v>0</v>
      </c>
      <c r="F55" s="186">
        <v>0</v>
      </c>
      <c r="G55" s="186">
        <v>0</v>
      </c>
      <c r="H55" s="186">
        <v>0</v>
      </c>
      <c r="I55" s="186">
        <v>0</v>
      </c>
      <c r="J55" s="55"/>
      <c r="K55" s="55"/>
      <c r="L55" s="55"/>
      <c r="M55" s="55"/>
      <c r="N55" s="55"/>
      <c r="O55" s="55"/>
      <c r="P55" s="55"/>
      <c r="Q55" s="55"/>
      <c r="R55" s="55"/>
      <c r="T55" s="71">
        <f>(SUM(I56,-H56))/H56</f>
        <v>-1.5151515151515152E-2</v>
      </c>
    </row>
    <row r="56" spans="2:20" x14ac:dyDescent="0.25">
      <c r="B56" s="116" t="s">
        <v>110</v>
      </c>
      <c r="C56" s="114" t="s">
        <v>243</v>
      </c>
      <c r="D56" s="114"/>
      <c r="E56" s="224">
        <f>SUM(E54:E55)</f>
        <v>162</v>
      </c>
      <c r="F56" s="225">
        <f>SUM(F54:F55)</f>
        <v>192</v>
      </c>
      <c r="G56" s="225">
        <f>SUM(G54:G55)</f>
        <v>158</v>
      </c>
      <c r="H56" s="225">
        <f>SUM(H54:H55)</f>
        <v>132</v>
      </c>
      <c r="I56" s="225">
        <f>SUM(I54:I55)</f>
        <v>130</v>
      </c>
      <c r="J56" s="55"/>
      <c r="K56" s="55"/>
      <c r="L56" s="55"/>
      <c r="M56" s="55"/>
      <c r="N56" s="55"/>
      <c r="O56" s="55"/>
      <c r="P56" s="55"/>
      <c r="Q56" s="55"/>
      <c r="R56" s="55"/>
      <c r="T56" s="71">
        <f>(SUM(I57,-H57))/H57</f>
        <v>0</v>
      </c>
    </row>
    <row r="57" spans="2:20" ht="24" customHeight="1" x14ac:dyDescent="0.25">
      <c r="B57" s="5" t="s">
        <v>244</v>
      </c>
      <c r="C57" s="110" t="s">
        <v>245</v>
      </c>
      <c r="D57" s="110"/>
      <c r="E57" s="221">
        <v>-4</v>
      </c>
      <c r="F57" s="186">
        <v>-3</v>
      </c>
      <c r="G57" s="186">
        <v>5</v>
      </c>
      <c r="H57" s="186">
        <v>4</v>
      </c>
      <c r="I57" s="186">
        <v>4</v>
      </c>
      <c r="J57" s="55"/>
      <c r="K57" s="55"/>
      <c r="L57" s="55"/>
      <c r="M57" s="55"/>
      <c r="N57" s="55"/>
      <c r="O57" s="55"/>
      <c r="P57" s="55"/>
      <c r="Q57" s="55"/>
      <c r="R57" s="55"/>
      <c r="T57" s="71"/>
    </row>
    <row r="58" spans="2:20" x14ac:dyDescent="0.25">
      <c r="B58" s="5" t="s">
        <v>246</v>
      </c>
      <c r="C58" s="5" t="s">
        <v>247</v>
      </c>
      <c r="D58" s="5"/>
      <c r="E58" s="221">
        <v>0</v>
      </c>
      <c r="F58" s="186">
        <v>0</v>
      </c>
      <c r="G58" s="186">
        <v>0</v>
      </c>
      <c r="H58" s="186">
        <v>0</v>
      </c>
      <c r="I58" s="186">
        <v>0</v>
      </c>
      <c r="J58" s="55"/>
      <c r="K58" s="55"/>
      <c r="L58" s="55"/>
      <c r="M58" s="55"/>
      <c r="N58" s="55"/>
      <c r="O58" s="55"/>
      <c r="P58" s="55"/>
      <c r="Q58" s="55"/>
      <c r="R58" s="55"/>
      <c r="T58" s="71">
        <f>(SUM(I59,-H59))/H59</f>
        <v>-1.7857142857142856E-2</v>
      </c>
    </row>
    <row r="59" spans="2:20" x14ac:dyDescent="0.25">
      <c r="B59" s="15" t="s">
        <v>248</v>
      </c>
      <c r="C59" s="16" t="s">
        <v>249</v>
      </c>
      <c r="D59" s="16"/>
      <c r="E59" s="229">
        <f>SUM(E47,-E56,E57)</f>
        <v>-138</v>
      </c>
      <c r="F59" s="197">
        <f>SUM(F47,-F56,F57)</f>
        <v>-161</v>
      </c>
      <c r="G59" s="197">
        <f>SUM(G47,-G56,G57)</f>
        <v>-134</v>
      </c>
      <c r="H59" s="197">
        <f>SUM(H47,-H56,H57)</f>
        <v>-112</v>
      </c>
      <c r="I59" s="197">
        <f>SUM(I47,-I56,I57)</f>
        <v>-110</v>
      </c>
      <c r="J59" s="55"/>
      <c r="K59" s="55"/>
      <c r="L59" s="55"/>
      <c r="M59" s="55"/>
      <c r="N59" s="55"/>
      <c r="O59" s="55"/>
      <c r="P59" s="55"/>
      <c r="Q59" s="55"/>
      <c r="R59" s="55"/>
      <c r="T59" s="71"/>
    </row>
    <row r="60" spans="2:20" x14ac:dyDescent="0.25">
      <c r="B60" s="8"/>
      <c r="C60" s="5"/>
      <c r="D60" s="5"/>
      <c r="E60" s="221"/>
      <c r="F60" s="186"/>
      <c r="G60" s="186"/>
      <c r="H60" s="184"/>
      <c r="I60" s="184"/>
      <c r="J60" s="55"/>
      <c r="K60" s="55"/>
      <c r="L60" s="55"/>
      <c r="M60" s="55"/>
      <c r="N60" s="55"/>
      <c r="O60" s="55"/>
      <c r="P60" s="55"/>
      <c r="Q60" s="55"/>
      <c r="R60" s="55"/>
      <c r="T60" s="71">
        <f>(SUM(I61,-H61))/H61</f>
        <v>0.18571428571428572</v>
      </c>
    </row>
    <row r="61" spans="2:20" x14ac:dyDescent="0.25">
      <c r="B61" s="24" t="s">
        <v>250</v>
      </c>
      <c r="C61" s="25" t="s">
        <v>251</v>
      </c>
      <c r="D61" s="25"/>
      <c r="E61" s="232">
        <f>SUM(E39,E41,E59)</f>
        <v>78</v>
      </c>
      <c r="F61" s="198">
        <f>SUM(F39,F41,F59)</f>
        <v>334</v>
      </c>
      <c r="G61" s="198">
        <f>SUM(G39,G41,G59)</f>
        <v>576</v>
      </c>
      <c r="H61" s="198">
        <f>SUM(H39,H41,H59)</f>
        <v>490</v>
      </c>
      <c r="I61" s="198">
        <f>SUM(I39,I41,I59)</f>
        <v>581</v>
      </c>
      <c r="J61" s="55"/>
      <c r="K61" s="55"/>
      <c r="L61" s="55"/>
      <c r="M61" s="55"/>
      <c r="N61" s="55"/>
      <c r="O61" s="55"/>
      <c r="P61" s="55"/>
      <c r="Q61" s="55"/>
      <c r="R61" s="55"/>
      <c r="T61" s="71"/>
    </row>
    <row r="62" spans="2:20" x14ac:dyDescent="0.25">
      <c r="B62" s="8"/>
      <c r="C62" s="5"/>
      <c r="D62" s="5"/>
      <c r="E62" s="221"/>
      <c r="F62" s="186"/>
      <c r="G62" s="186"/>
      <c r="H62" s="184"/>
      <c r="I62" s="184"/>
      <c r="J62" s="55"/>
      <c r="K62" s="55"/>
      <c r="L62" s="55"/>
      <c r="M62" s="55"/>
      <c r="N62" s="55"/>
      <c r="O62" s="55"/>
      <c r="P62" s="55"/>
      <c r="Q62" s="55"/>
      <c r="R62" s="55"/>
      <c r="T62" s="71"/>
    </row>
    <row r="63" spans="2:20" x14ac:dyDescent="0.25">
      <c r="B63" s="8" t="s">
        <v>252</v>
      </c>
      <c r="C63" s="5" t="s">
        <v>253</v>
      </c>
      <c r="D63" s="5"/>
      <c r="E63" s="221"/>
      <c r="F63" s="186"/>
      <c r="G63" s="186"/>
      <c r="H63" s="184"/>
      <c r="I63" s="184"/>
      <c r="J63" s="55"/>
      <c r="K63" s="55"/>
      <c r="L63" s="55"/>
      <c r="M63" s="55"/>
      <c r="N63" s="55"/>
      <c r="O63" s="55"/>
      <c r="P63" s="55"/>
      <c r="Q63" s="55"/>
      <c r="R63" s="55"/>
      <c r="T63" s="71">
        <f t="shared" ref="T63:T71" si="4">(SUM(I64,-H64))/H64</f>
        <v>6.8493150684931503E-3</v>
      </c>
    </row>
    <row r="64" spans="2:20" x14ac:dyDescent="0.25">
      <c r="B64" s="5" t="s">
        <v>254</v>
      </c>
      <c r="C64" s="5" t="s">
        <v>255</v>
      </c>
      <c r="D64" s="5"/>
      <c r="E64" s="221">
        <v>105</v>
      </c>
      <c r="F64" s="186">
        <v>138</v>
      </c>
      <c r="G64" s="186">
        <v>107</v>
      </c>
      <c r="H64" s="186">
        <v>146</v>
      </c>
      <c r="I64" s="186">
        <v>147</v>
      </c>
      <c r="J64" s="55"/>
      <c r="K64" s="55"/>
      <c r="L64" s="55"/>
      <c r="M64" s="55"/>
      <c r="N64" s="55"/>
      <c r="O64" s="55"/>
      <c r="P64" s="55"/>
      <c r="Q64" s="55"/>
      <c r="R64" s="55"/>
      <c r="T64" s="71">
        <f t="shared" si="4"/>
        <v>0</v>
      </c>
    </row>
    <row r="65" spans="2:20" x14ac:dyDescent="0.25">
      <c r="B65" s="5" t="s">
        <v>256</v>
      </c>
      <c r="C65" s="5" t="s">
        <v>257</v>
      </c>
      <c r="D65" s="5"/>
      <c r="E65" s="221">
        <v>23</v>
      </c>
      <c r="F65" s="186">
        <v>25</v>
      </c>
      <c r="G65" s="186">
        <v>26</v>
      </c>
      <c r="H65" s="186">
        <v>30</v>
      </c>
      <c r="I65" s="186">
        <v>30</v>
      </c>
      <c r="J65" s="55"/>
      <c r="K65" s="55"/>
      <c r="L65" s="55"/>
      <c r="M65" s="55"/>
      <c r="N65" s="55"/>
      <c r="O65" s="55"/>
      <c r="P65" s="55"/>
      <c r="Q65" s="55"/>
      <c r="R65" s="55"/>
      <c r="T65" s="71">
        <f t="shared" si="4"/>
        <v>1.5</v>
      </c>
    </row>
    <row r="66" spans="2:20" x14ac:dyDescent="0.25">
      <c r="B66" s="5" t="s">
        <v>258</v>
      </c>
      <c r="C66" s="5" t="s">
        <v>259</v>
      </c>
      <c r="D66" s="5"/>
      <c r="E66" s="221">
        <v>-17</v>
      </c>
      <c r="F66" s="186">
        <v>4</v>
      </c>
      <c r="G66" s="186">
        <v>-1</v>
      </c>
      <c r="H66" s="186">
        <v>2</v>
      </c>
      <c r="I66" s="186">
        <v>5</v>
      </c>
      <c r="J66" s="55"/>
      <c r="K66" s="55"/>
      <c r="L66" s="55"/>
      <c r="M66" s="55"/>
      <c r="N66" s="55"/>
      <c r="O66" s="55"/>
      <c r="P66" s="55"/>
      <c r="Q66" s="55"/>
      <c r="R66" s="55"/>
      <c r="T66" s="71">
        <f t="shared" si="4"/>
        <v>2.247191011235955E-2</v>
      </c>
    </row>
    <row r="67" spans="2:20" x14ac:dyDescent="0.25">
      <c r="B67" s="115" t="s">
        <v>260</v>
      </c>
      <c r="C67" s="64" t="s">
        <v>261</v>
      </c>
      <c r="D67" s="64"/>
      <c r="E67" s="235">
        <f>SUM(E64:E66)</f>
        <v>111</v>
      </c>
      <c r="F67" s="236">
        <f>SUM(F64:F66)</f>
        <v>167</v>
      </c>
      <c r="G67" s="236">
        <f>SUM(G64:G66)</f>
        <v>132</v>
      </c>
      <c r="H67" s="236">
        <f>SUM(H64:H66)</f>
        <v>178</v>
      </c>
      <c r="I67" s="236">
        <f>SUM(I64:I66)</f>
        <v>182</v>
      </c>
      <c r="J67" s="55"/>
      <c r="K67" s="55"/>
      <c r="L67" s="55"/>
      <c r="M67" s="55"/>
      <c r="N67" s="55"/>
      <c r="O67" s="55"/>
      <c r="P67" s="55"/>
      <c r="Q67" s="55"/>
      <c r="R67" s="55"/>
      <c r="T67" s="71">
        <f t="shared" si="4"/>
        <v>1.1515151515151516</v>
      </c>
    </row>
    <row r="68" spans="2:20" x14ac:dyDescent="0.25">
      <c r="B68" s="5" t="s">
        <v>33</v>
      </c>
      <c r="C68" s="5" t="s">
        <v>262</v>
      </c>
      <c r="D68" s="5"/>
      <c r="E68" s="221">
        <v>142</v>
      </c>
      <c r="F68" s="186">
        <v>44</v>
      </c>
      <c r="G68" s="186">
        <v>88</v>
      </c>
      <c r="H68" s="186">
        <v>33</v>
      </c>
      <c r="I68" s="186">
        <v>71</v>
      </c>
      <c r="J68" s="55"/>
      <c r="K68" s="55"/>
      <c r="L68" s="55"/>
      <c r="M68" s="55"/>
      <c r="N68" s="55"/>
      <c r="O68" s="55"/>
      <c r="P68" s="55"/>
      <c r="Q68" s="55"/>
      <c r="R68" s="55"/>
      <c r="T68" s="71">
        <f t="shared" si="4"/>
        <v>0.18518518518518517</v>
      </c>
    </row>
    <row r="69" spans="2:20" x14ac:dyDescent="0.25">
      <c r="B69" s="5" t="s">
        <v>263</v>
      </c>
      <c r="C69" s="5" t="s">
        <v>264</v>
      </c>
      <c r="D69" s="5"/>
      <c r="E69" s="221">
        <v>-120</v>
      </c>
      <c r="F69" s="186">
        <v>-89</v>
      </c>
      <c r="G69" s="186">
        <v>-28</v>
      </c>
      <c r="H69" s="186">
        <v>-54</v>
      </c>
      <c r="I69" s="186">
        <v>-64</v>
      </c>
      <c r="J69" s="55"/>
      <c r="K69" s="55"/>
      <c r="L69" s="55"/>
      <c r="M69" s="55"/>
      <c r="N69" s="55"/>
      <c r="O69" s="55"/>
      <c r="P69" s="55"/>
      <c r="Q69" s="55"/>
      <c r="R69" s="55"/>
      <c r="T69" s="71">
        <f t="shared" si="4"/>
        <v>0.20382165605095542</v>
      </c>
    </row>
    <row r="70" spans="2:20" x14ac:dyDescent="0.25">
      <c r="B70" s="120" t="s">
        <v>265</v>
      </c>
      <c r="C70" s="121" t="s">
        <v>266</v>
      </c>
      <c r="D70" s="121"/>
      <c r="E70" s="237">
        <f>SUM(E67:E69)</f>
        <v>133</v>
      </c>
      <c r="F70" s="238">
        <f>SUM(F67:F69)</f>
        <v>122</v>
      </c>
      <c r="G70" s="238">
        <f>SUM(G67:G69)</f>
        <v>192</v>
      </c>
      <c r="H70" s="238">
        <f>SUM(H67:H69)</f>
        <v>157</v>
      </c>
      <c r="I70" s="238">
        <f>SUM(I67:I69)</f>
        <v>189</v>
      </c>
      <c r="J70" s="55"/>
      <c r="K70" s="55"/>
      <c r="L70" s="55"/>
      <c r="M70" s="55"/>
      <c r="N70" s="55"/>
      <c r="O70" s="55"/>
      <c r="P70" s="55"/>
      <c r="Q70" s="55"/>
      <c r="R70" s="55"/>
      <c r="T70" s="71">
        <f t="shared" si="4"/>
        <v>0.17717717717717718</v>
      </c>
    </row>
    <row r="71" spans="2:20" x14ac:dyDescent="0.25">
      <c r="B71" s="8" t="s">
        <v>267</v>
      </c>
      <c r="C71" s="5" t="s">
        <v>268</v>
      </c>
      <c r="D71" s="5"/>
      <c r="E71" s="239">
        <f>SUM(E61,-E70)</f>
        <v>-55</v>
      </c>
      <c r="F71" s="184">
        <f>SUM(F61,-F70)</f>
        <v>212</v>
      </c>
      <c r="G71" s="184">
        <f>SUM(G61,-G70)</f>
        <v>384</v>
      </c>
      <c r="H71" s="184">
        <f>SUM(H61,-H70)</f>
        <v>333</v>
      </c>
      <c r="I71" s="184">
        <f>SUM(I61,-I70)</f>
        <v>392</v>
      </c>
      <c r="J71" s="55"/>
      <c r="K71" s="55"/>
      <c r="L71" s="55"/>
      <c r="M71" s="55"/>
      <c r="N71" s="55"/>
      <c r="O71" s="55"/>
      <c r="P71" s="55"/>
      <c r="Q71" s="55"/>
      <c r="R71" s="55"/>
      <c r="T71" s="71">
        <f t="shared" si="4"/>
        <v>-0.95238095238095233</v>
      </c>
    </row>
    <row r="72" spans="2:20" x14ac:dyDescent="0.25">
      <c r="B72" s="8" t="s">
        <v>269</v>
      </c>
      <c r="C72" s="5" t="s">
        <v>270</v>
      </c>
      <c r="D72" s="5"/>
      <c r="E72" s="221">
        <v>0</v>
      </c>
      <c r="F72" s="186">
        <v>19</v>
      </c>
      <c r="G72" s="186">
        <v>-85</v>
      </c>
      <c r="H72" s="184">
        <v>21</v>
      </c>
      <c r="I72" s="184">
        <v>1</v>
      </c>
      <c r="J72" s="55"/>
      <c r="K72" s="55"/>
      <c r="L72" s="55"/>
      <c r="M72" s="55"/>
      <c r="N72" s="55"/>
      <c r="O72" s="55"/>
      <c r="P72" s="55"/>
      <c r="Q72" s="55"/>
      <c r="R72" s="55"/>
      <c r="T72" s="71"/>
    </row>
    <row r="73" spans="2:20" x14ac:dyDescent="0.25">
      <c r="B73" s="8"/>
      <c r="C73" s="5"/>
      <c r="D73" s="5"/>
      <c r="E73" s="221"/>
      <c r="F73" s="186"/>
      <c r="G73" s="186"/>
      <c r="H73" s="184"/>
      <c r="I73" s="184"/>
      <c r="J73" s="55"/>
      <c r="K73" s="55"/>
      <c r="L73" s="55"/>
      <c r="M73" s="55"/>
      <c r="N73" s="55"/>
      <c r="O73" s="55"/>
      <c r="P73" s="55"/>
      <c r="Q73" s="55"/>
      <c r="R73" s="55"/>
      <c r="T73" s="71">
        <f>(SUM(I74,-H74))/H74</f>
        <v>0.11016949152542373</v>
      </c>
    </row>
    <row r="74" spans="2:20" x14ac:dyDescent="0.25">
      <c r="B74" s="15" t="s">
        <v>271</v>
      </c>
      <c r="C74" s="16" t="s">
        <v>272</v>
      </c>
      <c r="D74" s="16"/>
      <c r="E74" s="229">
        <f>SUM(E71:E72)</f>
        <v>-55</v>
      </c>
      <c r="F74" s="197">
        <f>SUM(F71:F72)</f>
        <v>231</v>
      </c>
      <c r="G74" s="197">
        <f>SUM(G71:G72)</f>
        <v>299</v>
      </c>
      <c r="H74" s="197">
        <f>SUM(H71:H72)</f>
        <v>354</v>
      </c>
      <c r="I74" s="197">
        <f>SUM(I71:I72)</f>
        <v>393</v>
      </c>
      <c r="J74" s="55"/>
      <c r="K74" s="55"/>
      <c r="L74" s="55"/>
      <c r="M74" s="55"/>
      <c r="N74" s="55"/>
      <c r="O74" s="55"/>
      <c r="P74" s="55"/>
      <c r="Q74" s="55"/>
      <c r="R74" s="55"/>
      <c r="T74" s="71"/>
    </row>
    <row r="75" spans="2:20" x14ac:dyDescent="0.25">
      <c r="B75" s="5" t="s">
        <v>273</v>
      </c>
      <c r="C75" s="5" t="s">
        <v>274</v>
      </c>
      <c r="D75" s="5"/>
      <c r="E75" s="221">
        <v>130</v>
      </c>
      <c r="F75" s="186">
        <v>1</v>
      </c>
      <c r="G75" s="186">
        <v>-6</v>
      </c>
      <c r="H75" s="186">
        <v>-10</v>
      </c>
      <c r="I75" s="186">
        <v>-4</v>
      </c>
      <c r="J75" s="55"/>
      <c r="K75" s="55"/>
      <c r="L75" s="55"/>
      <c r="M75" s="55"/>
      <c r="N75" s="55"/>
      <c r="O75" s="55"/>
      <c r="P75" s="55"/>
      <c r="Q75" s="55"/>
      <c r="R75" s="55"/>
      <c r="T75" s="71"/>
    </row>
    <row r="76" spans="2:20" ht="15.75" thickBot="1" x14ac:dyDescent="0.3">
      <c r="B76" s="5"/>
      <c r="C76" s="5"/>
      <c r="D76" s="5"/>
      <c r="E76" s="221"/>
      <c r="F76" s="186"/>
      <c r="G76" s="186"/>
      <c r="H76" s="186"/>
      <c r="I76" s="186"/>
      <c r="J76" s="55"/>
      <c r="K76" s="55"/>
      <c r="L76" s="55"/>
      <c r="M76" s="55"/>
      <c r="N76" s="55"/>
      <c r="O76" s="55"/>
      <c r="P76" s="55"/>
      <c r="Q76" s="55"/>
      <c r="R76" s="55"/>
      <c r="T76" s="74">
        <f>(SUM(I77,-H77))/H77</f>
        <v>0.1308139534883721</v>
      </c>
    </row>
    <row r="77" spans="2:20" x14ac:dyDescent="0.25">
      <c r="B77" s="24" t="s">
        <v>275</v>
      </c>
      <c r="C77" s="25" t="s">
        <v>276</v>
      </c>
      <c r="D77" s="25"/>
      <c r="E77" s="240">
        <v>73</v>
      </c>
      <c r="F77" s="188">
        <v>232</v>
      </c>
      <c r="G77" s="188">
        <v>293</v>
      </c>
      <c r="H77" s="198">
        <f t="shared" ref="H77" si="5">SUM(H74:H75)</f>
        <v>344</v>
      </c>
      <c r="I77" s="198">
        <f>SUM(I74:I75)</f>
        <v>389</v>
      </c>
      <c r="J77" s="55"/>
      <c r="K77" s="55"/>
      <c r="L77" s="55"/>
      <c r="M77" s="104"/>
      <c r="N77" s="55"/>
      <c r="O77" s="55"/>
      <c r="P77" s="55"/>
      <c r="Q77" s="55"/>
      <c r="R77" s="55"/>
    </row>
    <row r="78" spans="2:20" x14ac:dyDescent="0.25">
      <c r="B78" s="104"/>
      <c r="C78" s="55"/>
      <c r="D78" s="55"/>
      <c r="E78" s="55"/>
      <c r="F78" s="55"/>
      <c r="G78" s="55"/>
      <c r="H78" s="55"/>
      <c r="I78" s="55"/>
      <c r="M78" s="100"/>
    </row>
    <row r="79" spans="2:20" ht="15.75" thickBot="1" x14ac:dyDescent="0.3">
      <c r="B79" s="102" t="s">
        <v>277</v>
      </c>
      <c r="C79" s="103" t="s">
        <v>278</v>
      </c>
      <c r="D79" s="55"/>
      <c r="H79" s="75"/>
      <c r="I79" s="75"/>
      <c r="M79" s="70"/>
    </row>
    <row r="80" spans="2:20" x14ac:dyDescent="0.25">
      <c r="B80" s="77" t="s">
        <v>279</v>
      </c>
      <c r="C80" s="78" t="s">
        <v>280</v>
      </c>
      <c r="D80" s="105"/>
      <c r="E80" s="76"/>
      <c r="F80" s="69"/>
      <c r="G80" s="69"/>
      <c r="H80" s="69"/>
      <c r="I80" s="69"/>
      <c r="M80" s="70"/>
    </row>
    <row r="81" spans="2:13" x14ac:dyDescent="0.25">
      <c r="B81" s="77" t="s">
        <v>281</v>
      </c>
      <c r="C81" s="78" t="s">
        <v>282</v>
      </c>
      <c r="D81" s="106"/>
      <c r="E81" s="73"/>
      <c r="F81" s="70">
        <v>7.4499999999999997E-2</v>
      </c>
      <c r="G81" s="70">
        <v>9.4399999999999998E-2</v>
      </c>
      <c r="H81" s="70">
        <v>0.1106</v>
      </c>
      <c r="I81" s="70">
        <v>0.1249</v>
      </c>
      <c r="M81" s="70"/>
    </row>
    <row r="82" spans="2:13" x14ac:dyDescent="0.25">
      <c r="B82" s="77" t="s">
        <v>283</v>
      </c>
      <c r="C82" s="78" t="s">
        <v>284</v>
      </c>
      <c r="D82" s="106"/>
      <c r="E82" s="73"/>
      <c r="F82" s="70">
        <v>6.8400000000000002E-2</v>
      </c>
      <c r="G82" s="70">
        <v>0.1215</v>
      </c>
      <c r="H82" s="70">
        <v>0.104</v>
      </c>
      <c r="I82" s="70">
        <v>0.12470000000000001</v>
      </c>
      <c r="M82" s="70"/>
    </row>
    <row r="83" spans="2:13" x14ac:dyDescent="0.25">
      <c r="B83" s="77" t="s">
        <v>285</v>
      </c>
      <c r="C83" s="78" t="s">
        <v>286</v>
      </c>
      <c r="D83" s="106"/>
      <c r="E83" s="73"/>
      <c r="F83" s="70">
        <v>6.1999999999999998E-3</v>
      </c>
      <c r="G83" s="70">
        <v>-2.7099999999999999E-2</v>
      </c>
      <c r="H83" s="70">
        <v>6.6E-3</v>
      </c>
      <c r="I83" s="70">
        <v>2.0000000000000001E-4</v>
      </c>
      <c r="M83" s="70"/>
    </row>
    <row r="84" spans="2:13" ht="15.75" thickBot="1" x14ac:dyDescent="0.3">
      <c r="B84" s="77" t="s">
        <v>287</v>
      </c>
      <c r="C84" s="78" t="s">
        <v>288</v>
      </c>
      <c r="D84" s="106"/>
      <c r="E84" s="73"/>
      <c r="F84" s="70">
        <v>7.4499999999999997E-2</v>
      </c>
      <c r="G84" s="70">
        <v>9.4399999999999998E-2</v>
      </c>
      <c r="H84" s="70">
        <v>0.1106</v>
      </c>
      <c r="I84" s="70">
        <v>0.1249</v>
      </c>
      <c r="M84" s="81"/>
    </row>
    <row r="85" spans="2:13" ht="15.75" thickBot="1" x14ac:dyDescent="0.3">
      <c r="B85" s="79" t="s">
        <v>289</v>
      </c>
      <c r="C85" s="80" t="s">
        <v>290</v>
      </c>
      <c r="D85" s="107"/>
      <c r="E85" s="73"/>
      <c r="F85" s="70">
        <v>6.8400000000000002E-2</v>
      </c>
      <c r="G85" s="70">
        <v>0.1215</v>
      </c>
      <c r="H85" s="70">
        <v>0.104</v>
      </c>
      <c r="I85" s="70">
        <v>0.12470000000000001</v>
      </c>
    </row>
    <row r="86" spans="2:13" ht="15.75" thickBot="1" x14ac:dyDescent="0.3">
      <c r="E86" s="82"/>
      <c r="F86" s="81">
        <v>6.1999999999999998E-3</v>
      </c>
      <c r="G86" s="81">
        <v>-2.7099999999999999E-2</v>
      </c>
      <c r="H86" s="81">
        <v>6.6E-3</v>
      </c>
      <c r="I86" s="81">
        <v>2E-3</v>
      </c>
    </row>
    <row r="87" spans="2:13" ht="15.75" thickBot="1" x14ac:dyDescent="0.3">
      <c r="M87" s="84"/>
    </row>
    <row r="88" spans="2:13" ht="15.75" thickBot="1" x14ac:dyDescent="0.3">
      <c r="B88" s="83" t="s">
        <v>291</v>
      </c>
      <c r="C88" s="84"/>
      <c r="D88" s="108"/>
      <c r="M88" s="88"/>
    </row>
    <row r="89" spans="2:13" x14ac:dyDescent="0.25">
      <c r="B89" s="87" t="s">
        <v>297</v>
      </c>
      <c r="E89" s="76" t="s">
        <v>296</v>
      </c>
      <c r="F89" s="86" t="s">
        <v>295</v>
      </c>
      <c r="G89" s="86" t="s">
        <v>294</v>
      </c>
      <c r="H89" s="86" t="s">
        <v>293</v>
      </c>
      <c r="I89" s="85" t="s">
        <v>292</v>
      </c>
      <c r="M89" s="89"/>
    </row>
    <row r="90" spans="2:13" x14ac:dyDescent="0.25">
      <c r="B90" s="87" t="s">
        <v>298</v>
      </c>
      <c r="E90" s="73">
        <v>4.1000000000000002E-2</v>
      </c>
      <c r="F90" s="72">
        <v>4.9200000000000001E-2</v>
      </c>
      <c r="G90" s="72">
        <v>5.7799999999999997E-2</v>
      </c>
      <c r="H90" s="72">
        <v>7.0000000000000007E-2</v>
      </c>
      <c r="I90" s="72">
        <v>7.7499999999999999E-2</v>
      </c>
      <c r="M90" s="90"/>
    </row>
    <row r="91" spans="2:13" ht="15.75" thickBot="1" x14ac:dyDescent="0.3">
      <c r="B91" s="87" t="s">
        <v>299</v>
      </c>
      <c r="E91" s="89">
        <f>PRODUCT(E90,E97)</f>
        <v>127.346</v>
      </c>
      <c r="F91" s="89">
        <f>PRODUCT(F90,F97)</f>
        <v>152.9718457152</v>
      </c>
      <c r="G91" s="89">
        <f>PRODUCT(G90,G97)</f>
        <v>179.71082687679998</v>
      </c>
      <c r="H91" s="89">
        <f>PRODUCT(H90,H97)</f>
        <v>217.64286992000004</v>
      </c>
      <c r="I91" s="89">
        <f>PRODUCT(I90,I97)</f>
        <v>240.96174884000001</v>
      </c>
      <c r="M91" s="93"/>
    </row>
    <row r="92" spans="2:13" ht="15.75" thickBot="1" x14ac:dyDescent="0.3">
      <c r="B92" s="91" t="s">
        <v>300</v>
      </c>
      <c r="C92" s="92"/>
      <c r="D92" s="108"/>
      <c r="E92" s="90">
        <f>(E91/E77)</f>
        <v>1.7444657534246575</v>
      </c>
      <c r="F92" s="90">
        <f>(F91/F77)</f>
        <v>0.65936140394482756</v>
      </c>
      <c r="G92" s="90">
        <f>(G91/G77)</f>
        <v>0.61334753200273029</v>
      </c>
      <c r="H92" s="90">
        <f>(H91/H77)</f>
        <v>0.63268276139534896</v>
      </c>
      <c r="I92" s="90">
        <f>(I91/I77)</f>
        <v>0.61943894303341906</v>
      </c>
    </row>
    <row r="93" spans="2:13" ht="15.75" thickBot="1" x14ac:dyDescent="0.3">
      <c r="E93" s="93">
        <f>SUM(1,-E92)</f>
        <v>-0.74446575342465748</v>
      </c>
      <c r="F93" s="93">
        <f>SUM(1,-F92)</f>
        <v>0.34063859605517244</v>
      </c>
      <c r="G93" s="93">
        <f>SUM(1,-G92)</f>
        <v>0.38665246799726971</v>
      </c>
      <c r="H93" s="93">
        <f>SUM(1,-H92)</f>
        <v>0.36731723860465104</v>
      </c>
      <c r="I93" s="93">
        <f>SUM(1,-I92)</f>
        <v>0.38056105696658094</v>
      </c>
    </row>
    <row r="94" spans="2:13" ht="15.75" thickBot="1" x14ac:dyDescent="0.3">
      <c r="M94" s="67"/>
    </row>
    <row r="95" spans="2:13" ht="15.75" thickBot="1" x14ac:dyDescent="0.3">
      <c r="B95" s="94" t="s">
        <v>301</v>
      </c>
      <c r="C95" s="67"/>
      <c r="D95" s="109"/>
    </row>
    <row r="96" spans="2:13" ht="15.75" thickBot="1" x14ac:dyDescent="0.3">
      <c r="B96" s="97" t="s">
        <v>279</v>
      </c>
      <c r="E96" s="76"/>
      <c r="F96" s="86"/>
      <c r="G96" s="86"/>
      <c r="H96" s="96"/>
      <c r="I96" s="95"/>
    </row>
    <row r="97" spans="5:9" ht="15.75" thickBot="1" x14ac:dyDescent="0.3">
      <c r="E97" s="73">
        <v>3106</v>
      </c>
      <c r="F97" s="99">
        <v>3109.1838560000001</v>
      </c>
      <c r="G97" s="99">
        <v>3109.1838560000001</v>
      </c>
      <c r="H97" s="99">
        <v>3109.1838560000001</v>
      </c>
      <c r="I97" s="98">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T434"/>
  <sheetViews>
    <sheetView topLeftCell="A4" zoomScaleNormal="100" workbookViewId="0">
      <selection activeCell="C2" sqref="C2:H3"/>
    </sheetView>
  </sheetViews>
  <sheetFormatPr defaultRowHeight="15" outlineLevelRow="1" x14ac:dyDescent="0.25"/>
  <cols>
    <col min="1" max="1" width="2.85546875" customWidth="1"/>
    <col min="2" max="2" width="53.42578125" customWidth="1"/>
    <col min="3" max="3" width="8.140625" customWidth="1"/>
    <col min="4" max="8" width="14.28515625" bestFit="1" customWidth="1"/>
    <col min="9" max="9" width="28.7109375" customWidth="1"/>
  </cols>
  <sheetData>
    <row r="1" spans="1:18" ht="27" customHeight="1" x14ac:dyDescent="0.4">
      <c r="A1" s="127"/>
      <c r="B1" s="575" t="s">
        <v>317</v>
      </c>
      <c r="C1" s="576"/>
      <c r="D1" s="129"/>
      <c r="E1" s="129"/>
      <c r="F1" s="129"/>
      <c r="G1" s="129"/>
      <c r="H1" s="318"/>
      <c r="I1" s="1"/>
      <c r="J1" s="1"/>
      <c r="K1" s="1"/>
      <c r="L1" s="1"/>
      <c r="M1" s="1"/>
      <c r="N1" s="1"/>
      <c r="O1" s="1"/>
      <c r="P1" s="1"/>
      <c r="Q1" s="1"/>
      <c r="R1" s="1"/>
    </row>
    <row r="2" spans="1:18" x14ac:dyDescent="0.25">
      <c r="A2" s="127"/>
      <c r="B2" s="319"/>
      <c r="C2" s="573" t="s">
        <v>158</v>
      </c>
      <c r="D2" s="573"/>
      <c r="E2" s="573"/>
      <c r="F2" s="573"/>
      <c r="G2" s="573"/>
      <c r="H2" s="574"/>
      <c r="I2" s="1"/>
      <c r="J2" s="1"/>
      <c r="K2" s="1"/>
      <c r="L2" s="1"/>
      <c r="M2" s="1"/>
      <c r="N2" s="1"/>
      <c r="O2" s="1"/>
      <c r="P2" s="1"/>
      <c r="Q2" s="1"/>
      <c r="R2" s="1"/>
    </row>
    <row r="3" spans="1:18" ht="18" customHeight="1" x14ac:dyDescent="0.25">
      <c r="A3" s="66"/>
      <c r="B3" s="260"/>
      <c r="C3" s="126" t="s">
        <v>1</v>
      </c>
      <c r="D3" s="128">
        <v>42369</v>
      </c>
      <c r="E3" s="128">
        <v>42735</v>
      </c>
      <c r="F3" s="128">
        <v>43100</v>
      </c>
      <c r="G3" s="128">
        <v>43465</v>
      </c>
      <c r="H3" s="320">
        <v>43830</v>
      </c>
      <c r="I3" s="1"/>
      <c r="J3" s="1"/>
      <c r="K3" s="1"/>
      <c r="L3" s="1"/>
      <c r="M3" s="1"/>
      <c r="N3" s="1"/>
      <c r="O3" s="1"/>
      <c r="P3" s="1"/>
      <c r="Q3" s="1"/>
      <c r="R3" s="1"/>
    </row>
    <row r="4" spans="1:18" x14ac:dyDescent="0.25">
      <c r="A4" s="1"/>
      <c r="B4" s="321"/>
      <c r="C4" s="5"/>
      <c r="D4" s="31"/>
      <c r="E4" s="29"/>
      <c r="F4" s="29"/>
      <c r="G4" s="29"/>
      <c r="H4" s="263"/>
      <c r="I4" s="1"/>
      <c r="J4" s="1"/>
      <c r="K4" s="1"/>
      <c r="L4" s="1"/>
      <c r="M4" s="1"/>
      <c r="N4" s="1"/>
      <c r="O4" s="1"/>
      <c r="P4" s="1"/>
      <c r="Q4" s="1"/>
      <c r="R4" s="1"/>
    </row>
    <row r="5" spans="1:18" x14ac:dyDescent="0.25">
      <c r="A5" s="1"/>
      <c r="B5" s="322" t="s">
        <v>328</v>
      </c>
      <c r="C5" s="141"/>
      <c r="D5" s="151">
        <f>'Balance sheet'!F16</f>
        <v>5067</v>
      </c>
      <c r="E5" s="143">
        <f>'Balance sheet'!G16</f>
        <v>5129</v>
      </c>
      <c r="F5" s="143">
        <f>'Balance sheet'!H16</f>
        <v>4606</v>
      </c>
      <c r="G5" s="143">
        <f>'Balance sheet'!I16</f>
        <v>4620</v>
      </c>
      <c r="H5" s="323">
        <f>'Balance sheet'!J16</f>
        <v>4869</v>
      </c>
      <c r="I5" s="1"/>
      <c r="J5" s="1"/>
      <c r="K5" s="1"/>
      <c r="L5" s="1"/>
      <c r="M5" s="1"/>
      <c r="N5" s="1"/>
      <c r="O5" s="1"/>
      <c r="P5" s="1"/>
      <c r="Q5" s="1"/>
      <c r="R5" s="1"/>
    </row>
    <row r="6" spans="1:18" x14ac:dyDescent="0.25">
      <c r="A6" s="1"/>
      <c r="B6" s="322" t="s">
        <v>329</v>
      </c>
      <c r="C6" s="141"/>
      <c r="D6" s="151">
        <f>'Balance sheet'!F27</f>
        <v>1348</v>
      </c>
      <c r="E6" s="143">
        <f>'Balance sheet'!G27</f>
        <v>1704</v>
      </c>
      <c r="F6" s="143">
        <f>'Balance sheet'!H27</f>
        <v>1863</v>
      </c>
      <c r="G6" s="143">
        <f>'Balance sheet'!I27</f>
        <v>2302</v>
      </c>
      <c r="H6" s="323">
        <f>'Balance sheet'!J27</f>
        <v>2379</v>
      </c>
      <c r="I6" s="1"/>
      <c r="J6" s="1"/>
      <c r="K6" s="1"/>
      <c r="L6" s="1"/>
      <c r="M6" s="1"/>
      <c r="N6" s="1"/>
      <c r="O6" s="1"/>
      <c r="P6" s="1"/>
      <c r="Q6" s="1"/>
      <c r="R6" s="1"/>
    </row>
    <row r="7" spans="1:18" x14ac:dyDescent="0.25">
      <c r="A7" s="1"/>
      <c r="B7" s="322" t="s">
        <v>324</v>
      </c>
      <c r="C7" s="141"/>
      <c r="D7" s="151">
        <v>137</v>
      </c>
      <c r="E7" s="143">
        <v>136</v>
      </c>
      <c r="F7" s="143">
        <v>107</v>
      </c>
      <c r="G7" s="143">
        <v>45</v>
      </c>
      <c r="H7" s="323">
        <v>65</v>
      </c>
      <c r="I7" s="1"/>
      <c r="J7" s="1"/>
      <c r="K7" s="1"/>
      <c r="L7" s="1"/>
      <c r="M7" s="1"/>
      <c r="N7" s="1"/>
      <c r="O7" s="1"/>
      <c r="P7" s="1"/>
      <c r="Q7" s="1"/>
      <c r="R7" s="1"/>
    </row>
    <row r="8" spans="1:18" x14ac:dyDescent="0.25">
      <c r="A8" s="1"/>
      <c r="B8" s="324" t="s">
        <v>330</v>
      </c>
      <c r="C8" s="325"/>
      <c r="D8" s="156">
        <f>SUM(D5:D7)</f>
        <v>6552</v>
      </c>
      <c r="E8" s="146">
        <f>SUM(E5:E7)</f>
        <v>6969</v>
      </c>
      <c r="F8" s="146">
        <f>SUM(F5:F7)</f>
        <v>6576</v>
      </c>
      <c r="G8" s="146">
        <f>SUM(G5:G7)</f>
        <v>6967</v>
      </c>
      <c r="H8" s="326">
        <f>SUM(H5:H7)</f>
        <v>7313</v>
      </c>
      <c r="I8" s="1"/>
      <c r="J8" s="1"/>
      <c r="K8" s="1"/>
      <c r="L8" s="1"/>
      <c r="M8" s="1"/>
      <c r="N8" s="1"/>
      <c r="O8" s="1"/>
      <c r="P8" s="1"/>
      <c r="Q8" s="1"/>
      <c r="R8" s="1"/>
    </row>
    <row r="9" spans="1:18" x14ac:dyDescent="0.25">
      <c r="A9" s="1"/>
      <c r="B9" s="322"/>
      <c r="C9" s="141"/>
      <c r="D9" s="151"/>
      <c r="E9" s="143"/>
      <c r="F9" s="143"/>
      <c r="G9" s="143"/>
      <c r="H9" s="323"/>
      <c r="I9" s="1"/>
      <c r="J9" s="1"/>
      <c r="K9" s="1"/>
      <c r="L9" s="1"/>
      <c r="M9" s="1"/>
      <c r="N9" s="1"/>
      <c r="O9" s="1"/>
      <c r="P9" s="1"/>
      <c r="Q9" s="1"/>
      <c r="R9" s="1"/>
    </row>
    <row r="10" spans="1:18" x14ac:dyDescent="0.25">
      <c r="A10" s="1"/>
      <c r="B10" s="322" t="s">
        <v>319</v>
      </c>
      <c r="C10" s="141"/>
      <c r="D10" s="151">
        <v>184</v>
      </c>
      <c r="E10" s="143">
        <v>159</v>
      </c>
      <c r="F10" s="143">
        <v>147</v>
      </c>
      <c r="G10" s="143">
        <v>187</v>
      </c>
      <c r="H10" s="323">
        <v>184</v>
      </c>
      <c r="I10" s="1"/>
      <c r="J10" s="1"/>
      <c r="K10" s="1"/>
      <c r="L10" s="1"/>
      <c r="M10" s="1"/>
      <c r="N10" s="1"/>
      <c r="O10" s="1"/>
      <c r="P10" s="1"/>
      <c r="Q10" s="1"/>
      <c r="R10" s="1"/>
    </row>
    <row r="11" spans="1:18" x14ac:dyDescent="0.25">
      <c r="A11" s="1"/>
      <c r="B11" s="322" t="s">
        <v>320</v>
      </c>
      <c r="C11" s="141"/>
      <c r="D11" s="151">
        <v>1485</v>
      </c>
      <c r="E11" s="143">
        <v>1821</v>
      </c>
      <c r="F11" s="143">
        <v>1671</v>
      </c>
      <c r="G11" s="143">
        <v>1781</v>
      </c>
      <c r="H11" s="323">
        <v>1852</v>
      </c>
      <c r="I11" s="1"/>
      <c r="J11" s="1"/>
      <c r="K11" s="1"/>
      <c r="L11" s="1"/>
      <c r="M11" s="1"/>
      <c r="N11" s="1"/>
      <c r="O11" s="1"/>
      <c r="P11" s="1"/>
      <c r="Q11" s="1"/>
      <c r="R11" s="1"/>
    </row>
    <row r="12" spans="1:18" x14ac:dyDescent="0.25">
      <c r="A12" s="1"/>
      <c r="B12" s="322" t="s">
        <v>325</v>
      </c>
      <c r="C12" s="141"/>
      <c r="D12" s="151">
        <v>-1170</v>
      </c>
      <c r="E12" s="143">
        <v>-1384</v>
      </c>
      <c r="F12" s="143">
        <v>-1381</v>
      </c>
      <c r="G12" s="143">
        <v>-1413</v>
      </c>
      <c r="H12" s="323">
        <v>-1481</v>
      </c>
      <c r="I12" s="1"/>
      <c r="J12" s="1"/>
      <c r="K12" s="1"/>
      <c r="L12" s="1"/>
      <c r="M12" s="1"/>
      <c r="N12" s="1"/>
      <c r="O12" s="1"/>
      <c r="P12" s="1"/>
      <c r="Q12" s="1"/>
      <c r="R12" s="1"/>
    </row>
    <row r="13" spans="1:18" x14ac:dyDescent="0.25">
      <c r="A13" s="1"/>
      <c r="B13" s="327" t="s">
        <v>331</v>
      </c>
      <c r="C13" s="328"/>
      <c r="D13" s="159">
        <f>SUM(D10:D12)</f>
        <v>499</v>
      </c>
      <c r="E13" s="160">
        <f>SUM(E10:E12)</f>
        <v>596</v>
      </c>
      <c r="F13" s="160">
        <f>SUM(F10:F12)</f>
        <v>437</v>
      </c>
      <c r="G13" s="160">
        <f>SUM(G10:G12)</f>
        <v>555</v>
      </c>
      <c r="H13" s="329">
        <f>SUM(H10:H12)</f>
        <v>555</v>
      </c>
      <c r="I13" s="1"/>
      <c r="J13" s="1"/>
      <c r="K13" s="1"/>
      <c r="L13" s="1"/>
      <c r="M13" s="1"/>
      <c r="N13" s="1"/>
      <c r="O13" s="1"/>
      <c r="P13" s="1"/>
      <c r="Q13" s="1"/>
      <c r="R13" s="1"/>
    </row>
    <row r="14" spans="1:18" x14ac:dyDescent="0.25">
      <c r="A14" s="1"/>
      <c r="B14" s="330"/>
      <c r="C14" s="140"/>
      <c r="D14" s="150"/>
      <c r="E14" s="145"/>
      <c r="F14" s="145"/>
      <c r="G14" s="145"/>
      <c r="H14" s="331"/>
      <c r="I14" s="1"/>
      <c r="J14" s="1"/>
      <c r="K14" s="1"/>
      <c r="L14" s="1"/>
      <c r="M14" s="1"/>
      <c r="N14" s="1"/>
      <c r="O14" s="1"/>
      <c r="P14" s="1"/>
      <c r="Q14" s="1"/>
      <c r="R14" s="1"/>
    </row>
    <row r="15" spans="1:18" ht="17.25" customHeight="1" x14ac:dyDescent="0.25">
      <c r="A15" s="1"/>
      <c r="B15" s="322" t="s">
        <v>11</v>
      </c>
      <c r="C15" s="141"/>
      <c r="D15" s="151">
        <f>SUM(D16:D19)+D20</f>
        <v>636</v>
      </c>
      <c r="E15" s="143">
        <f>SUM(E16:E19)+E20</f>
        <v>695</v>
      </c>
      <c r="F15" s="143">
        <f>SUM(F16:F19)+F20</f>
        <v>563</v>
      </c>
      <c r="G15" s="143">
        <f>SUM(G16:G19)+G20</f>
        <v>510</v>
      </c>
      <c r="H15" s="323">
        <f>SUM(H16:H19)+H20</f>
        <v>665</v>
      </c>
      <c r="I15" s="1"/>
      <c r="J15" s="1"/>
      <c r="K15" s="1"/>
      <c r="L15" s="1"/>
      <c r="M15" s="1"/>
      <c r="N15" s="1"/>
      <c r="O15" s="1"/>
      <c r="P15" s="1"/>
      <c r="Q15" s="1"/>
      <c r="R15" s="1"/>
    </row>
    <row r="16" spans="1:18" hidden="1" outlineLevel="1" x14ac:dyDescent="0.25">
      <c r="A16" s="1"/>
      <c r="B16" s="322" t="s">
        <v>321</v>
      </c>
      <c r="C16" s="141"/>
      <c r="D16" s="151">
        <f>'Balance sheet'!F80</f>
        <v>183</v>
      </c>
      <c r="E16" s="143">
        <f>'Balance sheet'!G80</f>
        <v>389</v>
      </c>
      <c r="F16" s="143">
        <f>'Balance sheet'!H80</f>
        <v>216</v>
      </c>
      <c r="G16" s="143">
        <f>'Balance sheet'!I80</f>
        <v>313</v>
      </c>
      <c r="H16" s="323">
        <f>'Balance sheet'!J80</f>
        <v>567</v>
      </c>
      <c r="I16" s="1"/>
      <c r="J16" s="1"/>
      <c r="K16" s="1"/>
      <c r="L16" s="1"/>
      <c r="M16" s="1"/>
      <c r="N16" s="1"/>
      <c r="O16" s="1"/>
      <c r="P16" s="1"/>
      <c r="Q16" s="1"/>
      <c r="R16" s="1"/>
    </row>
    <row r="17" spans="1:18" hidden="1" outlineLevel="1" x14ac:dyDescent="0.25">
      <c r="A17" s="1"/>
      <c r="B17" s="322" t="s">
        <v>322</v>
      </c>
      <c r="C17" s="141"/>
      <c r="D17" s="151">
        <f>'Balance sheet'!F85</f>
        <v>171</v>
      </c>
      <c r="E17" s="143">
        <f>'Balance sheet'!G85</f>
        <v>218</v>
      </c>
      <c r="F17" s="143">
        <f>'Balance sheet'!H85</f>
        <v>8</v>
      </c>
      <c r="G17" s="143">
        <f>'Balance sheet'!I85</f>
        <v>16</v>
      </c>
      <c r="H17" s="323">
        <f>'Balance sheet'!J85</f>
        <v>10</v>
      </c>
      <c r="I17" s="1"/>
      <c r="J17" s="1"/>
      <c r="K17" s="1"/>
      <c r="L17" s="1"/>
      <c r="M17" s="1"/>
      <c r="N17" s="1"/>
      <c r="O17" s="1"/>
      <c r="P17" s="1"/>
      <c r="Q17" s="1"/>
      <c r="R17" s="1"/>
    </row>
    <row r="18" spans="1:18" hidden="1" outlineLevel="1" x14ac:dyDescent="0.25">
      <c r="A18" s="1"/>
      <c r="B18" s="333" t="s">
        <v>31</v>
      </c>
      <c r="C18" s="153"/>
      <c r="D18" s="151">
        <f>'Balance sheet'!F40</f>
        <v>6</v>
      </c>
      <c r="E18" s="143">
        <f>'Balance sheet'!G40</f>
        <v>12</v>
      </c>
      <c r="F18" s="143">
        <f>'Balance sheet'!H40</f>
        <v>8</v>
      </c>
      <c r="G18" s="143">
        <f>'Balance sheet'!I40</f>
        <v>20</v>
      </c>
      <c r="H18" s="323">
        <f>'Balance sheet'!J40</f>
        <v>25</v>
      </c>
      <c r="I18" s="1"/>
      <c r="J18" s="1"/>
      <c r="K18" s="1"/>
      <c r="L18" s="1"/>
      <c r="M18" s="1"/>
      <c r="N18" s="1"/>
      <c r="O18" s="1"/>
      <c r="P18" s="1"/>
      <c r="Q18" s="1"/>
      <c r="R18" s="1"/>
    </row>
    <row r="19" spans="1:18" hidden="1" outlineLevel="1" x14ac:dyDescent="0.25">
      <c r="A19" s="1"/>
      <c r="B19" s="322" t="s">
        <v>75</v>
      </c>
      <c r="C19" s="141"/>
      <c r="D19" s="150">
        <f>71</f>
        <v>71</v>
      </c>
      <c r="E19" s="145">
        <f>70</f>
        <v>70</v>
      </c>
      <c r="F19" s="145">
        <f>107</f>
        <v>107</v>
      </c>
      <c r="G19" s="145">
        <f>49</f>
        <v>49</v>
      </c>
      <c r="H19" s="331">
        <f>63</f>
        <v>63</v>
      </c>
      <c r="I19" s="1"/>
      <c r="J19" s="1"/>
      <c r="K19" s="1"/>
      <c r="L19" s="1"/>
      <c r="M19" s="1"/>
      <c r="N19" s="1"/>
      <c r="O19" s="1"/>
      <c r="P19" s="1"/>
      <c r="Q19" s="1"/>
      <c r="R19" s="1"/>
    </row>
    <row r="20" spans="1:18" ht="15" hidden="1" customHeight="1" outlineLevel="1" x14ac:dyDescent="0.25">
      <c r="A20" s="1"/>
      <c r="B20" s="333" t="s">
        <v>323</v>
      </c>
      <c r="C20" s="141"/>
      <c r="D20" s="151">
        <f>'Balance sheet'!F91</f>
        <v>205</v>
      </c>
      <c r="E20" s="143">
        <f>'Balance sheet'!G91</f>
        <v>6</v>
      </c>
      <c r="F20" s="143">
        <f>'Balance sheet'!H91</f>
        <v>224</v>
      </c>
      <c r="G20" s="143">
        <f>'Balance sheet'!I91</f>
        <v>112</v>
      </c>
      <c r="H20" s="323">
        <f>'Balance sheet'!J91</f>
        <v>0</v>
      </c>
      <c r="I20" s="1"/>
      <c r="J20" s="1"/>
      <c r="K20" s="1"/>
      <c r="L20" s="1"/>
      <c r="M20" s="1"/>
      <c r="N20" s="1"/>
      <c r="O20" s="1"/>
      <c r="P20" s="1"/>
      <c r="Q20" s="1"/>
      <c r="R20" s="1"/>
    </row>
    <row r="21" spans="1:18" collapsed="1" x14ac:dyDescent="0.25">
      <c r="A21" s="1"/>
      <c r="B21" s="322" t="s">
        <v>343</v>
      </c>
      <c r="C21" s="141"/>
      <c r="D21" s="151">
        <f>SUM(D22:D25)</f>
        <v>-683</v>
      </c>
      <c r="E21" s="151">
        <f>SUM(E22:E25)</f>
        <v>-893</v>
      </c>
      <c r="F21" s="151">
        <f>SUM(F22:F25)</f>
        <v>-673</v>
      </c>
      <c r="G21" s="151">
        <f>SUM(G22:G25)</f>
        <v>-763</v>
      </c>
      <c r="H21" s="334">
        <f>SUM(H22:H25)</f>
        <v>-999</v>
      </c>
      <c r="I21" s="1"/>
      <c r="J21" s="1"/>
      <c r="K21" s="1"/>
      <c r="L21" s="1"/>
      <c r="M21" s="1"/>
      <c r="N21" s="1"/>
      <c r="O21" s="1"/>
      <c r="P21" s="1"/>
      <c r="Q21" s="1"/>
      <c r="R21" s="1"/>
    </row>
    <row r="22" spans="1:18" hidden="1" outlineLevel="1" x14ac:dyDescent="0.25">
      <c r="A22" s="1"/>
      <c r="B22" s="322" t="s">
        <v>120</v>
      </c>
      <c r="C22" s="141"/>
      <c r="D22" s="151">
        <v>-99</v>
      </c>
      <c r="E22" s="143">
        <v>-109</v>
      </c>
      <c r="F22" s="143">
        <v>-148</v>
      </c>
      <c r="G22" s="143">
        <v>-148</v>
      </c>
      <c r="H22" s="323">
        <v>-149</v>
      </c>
      <c r="I22" s="1"/>
      <c r="J22" s="1"/>
      <c r="K22" s="1"/>
      <c r="L22" s="1"/>
      <c r="M22" s="1"/>
      <c r="N22" s="1"/>
      <c r="O22" s="1"/>
      <c r="P22" s="1"/>
      <c r="Q22" s="1"/>
      <c r="R22" s="1"/>
    </row>
    <row r="23" spans="1:18" hidden="1" outlineLevel="1" x14ac:dyDescent="0.25">
      <c r="A23" s="1"/>
      <c r="B23" s="322" t="s">
        <v>153</v>
      </c>
      <c r="C23" s="141"/>
      <c r="D23" s="151">
        <v>-43</v>
      </c>
      <c r="E23" s="143">
        <v>-33</v>
      </c>
      <c r="F23" s="143">
        <v>-4</v>
      </c>
      <c r="G23" s="143">
        <v>-34</v>
      </c>
      <c r="H23" s="323">
        <v>-6</v>
      </c>
      <c r="I23" s="1"/>
      <c r="J23" s="1"/>
      <c r="K23" s="1"/>
      <c r="L23" s="1"/>
      <c r="M23" s="1"/>
      <c r="N23" s="1"/>
      <c r="O23" s="1"/>
      <c r="P23" s="1"/>
      <c r="Q23" s="1"/>
      <c r="R23" s="1"/>
    </row>
    <row r="24" spans="1:18" hidden="1" outlineLevel="1" x14ac:dyDescent="0.25">
      <c r="A24" s="1"/>
      <c r="B24" s="322" t="s">
        <v>326</v>
      </c>
      <c r="C24" s="141"/>
      <c r="D24" s="151">
        <v>-521</v>
      </c>
      <c r="E24" s="143">
        <v>-744</v>
      </c>
      <c r="F24" s="143">
        <v>-521</v>
      </c>
      <c r="G24" s="143">
        <v>-581</v>
      </c>
      <c r="H24" s="323">
        <v>-844</v>
      </c>
      <c r="I24" s="1"/>
      <c r="J24" s="1"/>
      <c r="K24" s="1"/>
      <c r="L24" s="1"/>
      <c r="M24" s="1"/>
      <c r="N24" s="1"/>
      <c r="O24" s="1"/>
      <c r="P24" s="1"/>
      <c r="Q24" s="1"/>
      <c r="R24" s="1"/>
    </row>
    <row r="25" spans="1:18" hidden="1" outlineLevel="1" x14ac:dyDescent="0.25">
      <c r="A25" s="1"/>
      <c r="B25" s="322" t="s">
        <v>377</v>
      </c>
      <c r="C25" s="141"/>
      <c r="D25" s="151">
        <v>-20</v>
      </c>
      <c r="E25" s="143">
        <v>-7</v>
      </c>
      <c r="F25" s="143">
        <v>0</v>
      </c>
      <c r="G25" s="143">
        <v>0</v>
      </c>
      <c r="H25" s="323">
        <v>0</v>
      </c>
      <c r="I25" s="1"/>
      <c r="J25" s="1"/>
      <c r="K25" s="1"/>
      <c r="L25" s="1"/>
      <c r="M25" s="1"/>
      <c r="N25" s="1"/>
      <c r="O25" s="1"/>
      <c r="P25" s="1"/>
      <c r="Q25" s="1"/>
      <c r="R25" s="1"/>
    </row>
    <row r="26" spans="1:18" collapsed="1" x14ac:dyDescent="0.25">
      <c r="A26" s="1"/>
      <c r="B26" s="324" t="s">
        <v>332</v>
      </c>
      <c r="C26" s="325"/>
      <c r="D26" s="156">
        <f>D13+D15+D21</f>
        <v>452</v>
      </c>
      <c r="E26" s="156">
        <f>E13+E15+E21</f>
        <v>398</v>
      </c>
      <c r="F26" s="156">
        <f>F13+F15+F21</f>
        <v>327</v>
      </c>
      <c r="G26" s="156">
        <f>G13+G15+G21</f>
        <v>302</v>
      </c>
      <c r="H26" s="335">
        <f>H13+H15+H21</f>
        <v>221</v>
      </c>
      <c r="I26" s="1"/>
      <c r="J26" s="1"/>
      <c r="K26" s="1"/>
      <c r="L26" s="1"/>
      <c r="M26" s="1"/>
      <c r="N26" s="1"/>
      <c r="O26" s="1"/>
      <c r="P26" s="1"/>
      <c r="Q26" s="1"/>
      <c r="R26" s="1"/>
    </row>
    <row r="27" spans="1:18" x14ac:dyDescent="0.25">
      <c r="A27" s="1"/>
      <c r="B27" s="322"/>
      <c r="C27" s="141"/>
      <c r="D27" s="151"/>
      <c r="E27" s="143"/>
      <c r="F27" s="143"/>
      <c r="G27" s="143"/>
      <c r="H27" s="323"/>
      <c r="I27" s="1"/>
      <c r="J27" s="1"/>
      <c r="K27" s="1"/>
      <c r="L27" s="1"/>
      <c r="M27" s="1"/>
      <c r="N27" s="1"/>
      <c r="O27" s="1"/>
      <c r="P27" s="1"/>
      <c r="Q27" s="1"/>
      <c r="R27" s="1"/>
    </row>
    <row r="28" spans="1:18" x14ac:dyDescent="0.25">
      <c r="A28" s="1"/>
      <c r="B28" s="322" t="s">
        <v>376</v>
      </c>
      <c r="C28" s="141"/>
      <c r="D28" s="151">
        <v>308</v>
      </c>
      <c r="E28" s="143">
        <v>341</v>
      </c>
      <c r="F28" s="143">
        <v>301</v>
      </c>
      <c r="G28" s="143">
        <v>264</v>
      </c>
      <c r="H28" s="323">
        <v>277</v>
      </c>
      <c r="I28" s="1"/>
      <c r="J28" s="1"/>
      <c r="K28" s="1"/>
      <c r="L28" s="1"/>
      <c r="M28" s="1"/>
      <c r="N28" s="1"/>
      <c r="O28" s="1"/>
      <c r="P28" s="1"/>
      <c r="Q28" s="1"/>
      <c r="R28" s="1"/>
    </row>
    <row r="29" spans="1:18" x14ac:dyDescent="0.25">
      <c r="A29" s="130"/>
      <c r="B29" s="322" t="s">
        <v>113</v>
      </c>
      <c r="C29" s="141"/>
      <c r="D29" s="151">
        <v>-332</v>
      </c>
      <c r="E29" s="143">
        <v>-365</v>
      </c>
      <c r="F29" s="143">
        <v>-319</v>
      </c>
      <c r="G29" s="143">
        <v>-314</v>
      </c>
      <c r="H29" s="323">
        <v>-307</v>
      </c>
      <c r="I29" s="1"/>
      <c r="J29" s="1"/>
      <c r="K29" s="1"/>
      <c r="L29" s="1"/>
      <c r="M29" s="1"/>
      <c r="N29" s="1"/>
      <c r="O29" s="1"/>
      <c r="P29" s="1"/>
      <c r="Q29" s="1"/>
      <c r="R29" s="1"/>
    </row>
    <row r="30" spans="1:18" x14ac:dyDescent="0.25">
      <c r="A30" s="1"/>
      <c r="B30" s="322" t="s">
        <v>327</v>
      </c>
      <c r="C30" s="141"/>
      <c r="D30" s="151">
        <v>-576</v>
      </c>
      <c r="E30" s="143">
        <v>-671</v>
      </c>
      <c r="F30" s="143">
        <v>-625</v>
      </c>
      <c r="G30" s="143">
        <v>-642</v>
      </c>
      <c r="H30" s="323">
        <v>-676</v>
      </c>
      <c r="I30" s="1"/>
      <c r="J30" s="1"/>
      <c r="K30" s="1"/>
      <c r="L30" s="1"/>
      <c r="M30" s="1"/>
      <c r="N30" s="1"/>
      <c r="O30" s="1"/>
      <c r="P30" s="1"/>
      <c r="Q30" s="1"/>
      <c r="R30" s="1"/>
    </row>
    <row r="31" spans="1:18" ht="15" customHeight="1" x14ac:dyDescent="0.25">
      <c r="A31" s="1"/>
      <c r="B31" s="336" t="s">
        <v>333</v>
      </c>
      <c r="C31" s="337"/>
      <c r="D31" s="155">
        <f>D8+D26+D28+D29+D30</f>
        <v>6404</v>
      </c>
      <c r="E31" s="155">
        <f>E8+E26+E28+E29+E30</f>
        <v>6672</v>
      </c>
      <c r="F31" s="155">
        <f>F8+F26+F28+F29+F30</f>
        <v>6260</v>
      </c>
      <c r="G31" s="155">
        <f>G8+G26+G28+G29+G30</f>
        <v>6577</v>
      </c>
      <c r="H31" s="338">
        <f>H8+H26+H28+H29+H30</f>
        <v>6828</v>
      </c>
      <c r="I31" s="1"/>
      <c r="J31" s="1"/>
      <c r="K31" s="1"/>
      <c r="L31" s="1"/>
      <c r="M31" s="1"/>
      <c r="N31" s="1"/>
      <c r="O31" s="1"/>
      <c r="P31" s="1"/>
      <c r="Q31" s="1"/>
      <c r="R31" s="1"/>
    </row>
    <row r="32" spans="1:18" x14ac:dyDescent="0.25">
      <c r="A32" s="1"/>
      <c r="B32" s="322"/>
      <c r="C32" s="141"/>
      <c r="D32" s="151"/>
      <c r="E32" s="143"/>
      <c r="F32" s="143"/>
      <c r="G32" s="143"/>
      <c r="H32" s="323"/>
      <c r="I32" s="1"/>
      <c r="J32" s="1"/>
      <c r="K32" s="1"/>
      <c r="L32" s="1"/>
      <c r="M32" s="1"/>
      <c r="N32" s="1"/>
      <c r="O32" s="1"/>
      <c r="P32" s="1"/>
      <c r="Q32" s="1"/>
      <c r="R32" s="1"/>
    </row>
    <row r="33" spans="1:20" x14ac:dyDescent="0.25">
      <c r="A33" s="1"/>
      <c r="B33" s="322"/>
      <c r="C33" s="141"/>
      <c r="D33" s="151"/>
      <c r="E33" s="143"/>
      <c r="F33" s="143"/>
      <c r="G33" s="143"/>
      <c r="H33" s="323"/>
      <c r="I33" s="1"/>
      <c r="J33" s="1"/>
      <c r="K33" s="1"/>
      <c r="L33" s="1"/>
      <c r="M33" s="1"/>
      <c r="N33" s="1"/>
      <c r="O33" s="1"/>
      <c r="P33" s="1"/>
      <c r="Q33" s="1"/>
      <c r="R33" s="1"/>
    </row>
    <row r="34" spans="1:20" x14ac:dyDescent="0.25">
      <c r="A34" s="1"/>
      <c r="B34" s="322"/>
      <c r="C34" s="141"/>
      <c r="D34" s="151"/>
      <c r="E34" s="143"/>
      <c r="F34" s="143"/>
      <c r="G34" s="143"/>
      <c r="H34" s="323"/>
      <c r="I34" s="1"/>
      <c r="J34" s="1"/>
      <c r="K34" s="1"/>
      <c r="L34" s="1"/>
      <c r="M34" s="1"/>
      <c r="N34" s="1"/>
      <c r="O34" s="1"/>
      <c r="P34" s="1"/>
      <c r="Q34" s="1"/>
      <c r="R34" s="1"/>
    </row>
    <row r="35" spans="1:20" ht="15" customHeight="1" x14ac:dyDescent="0.25">
      <c r="A35" s="1"/>
      <c r="B35" s="339" t="s">
        <v>340</v>
      </c>
      <c r="C35" s="340"/>
      <c r="D35" s="157">
        <v>-3259</v>
      </c>
      <c r="E35" s="158">
        <v>-3279</v>
      </c>
      <c r="F35" s="158">
        <v>-3013</v>
      </c>
      <c r="G35" s="158">
        <v>-3523</v>
      </c>
      <c r="H35" s="363">
        <v>-3651</v>
      </c>
      <c r="I35" s="1"/>
      <c r="J35" s="1"/>
      <c r="K35" s="1"/>
      <c r="L35" s="1"/>
      <c r="M35" s="1"/>
      <c r="N35" s="1"/>
      <c r="O35" s="1"/>
      <c r="P35" s="1"/>
      <c r="Q35" s="1"/>
      <c r="R35" s="1"/>
    </row>
    <row r="36" spans="1:20" x14ac:dyDescent="0.25">
      <c r="A36" s="1"/>
      <c r="B36" s="322"/>
      <c r="C36" s="141"/>
      <c r="D36" s="151"/>
      <c r="E36" s="143"/>
      <c r="F36" s="143"/>
      <c r="G36" s="143"/>
      <c r="H36" s="323"/>
      <c r="I36" s="1"/>
      <c r="J36" s="1"/>
      <c r="K36" s="1"/>
      <c r="L36" s="1"/>
      <c r="M36" s="1"/>
      <c r="N36" s="1"/>
      <c r="O36" s="1"/>
      <c r="P36" s="1"/>
      <c r="Q36" s="1"/>
      <c r="R36" s="1"/>
      <c r="S36" s="1"/>
      <c r="T36" s="1"/>
    </row>
    <row r="37" spans="1:20" ht="15" customHeight="1" x14ac:dyDescent="0.25">
      <c r="A37" s="1"/>
      <c r="B37" s="322" t="s">
        <v>105</v>
      </c>
      <c r="C37" s="141"/>
      <c r="D37" s="151">
        <v>-3089</v>
      </c>
      <c r="E37" s="143">
        <v>-3436</v>
      </c>
      <c r="F37" s="143">
        <v>-3501</v>
      </c>
      <c r="G37" s="143">
        <v>-2984</v>
      </c>
      <c r="H37" s="323">
        <v>-3307</v>
      </c>
      <c r="I37" s="1"/>
      <c r="J37" s="1"/>
      <c r="K37" s="1"/>
      <c r="L37" s="1"/>
      <c r="M37" s="1"/>
      <c r="N37" s="1"/>
      <c r="O37" s="1"/>
      <c r="P37" s="1"/>
      <c r="Q37" s="1"/>
      <c r="R37" s="1"/>
      <c r="S37" s="1"/>
      <c r="T37" s="1"/>
    </row>
    <row r="38" spans="1:20" x14ac:dyDescent="0.25">
      <c r="A38" s="8"/>
      <c r="B38" s="322" t="s">
        <v>150</v>
      </c>
      <c r="C38" s="141"/>
      <c r="D38" s="151">
        <v>-692</v>
      </c>
      <c r="E38" s="143">
        <v>-359</v>
      </c>
      <c r="F38" s="143">
        <v>-437</v>
      </c>
      <c r="G38" s="143">
        <v>-694</v>
      </c>
      <c r="H38" s="323">
        <v>-304</v>
      </c>
      <c r="I38" s="1"/>
      <c r="J38" s="1"/>
      <c r="K38" s="1"/>
      <c r="L38" s="1"/>
      <c r="M38" s="1"/>
      <c r="N38" s="1"/>
      <c r="O38" s="1"/>
      <c r="P38" s="1"/>
      <c r="Q38" s="1"/>
      <c r="R38" s="1"/>
      <c r="S38" s="1"/>
      <c r="T38" s="1"/>
    </row>
    <row r="39" spans="1:20" x14ac:dyDescent="0.25">
      <c r="A39" s="132"/>
      <c r="B39" s="341" t="s">
        <v>339</v>
      </c>
      <c r="C39" s="342"/>
      <c r="D39" s="161">
        <f>D37+D38</f>
        <v>-3781</v>
      </c>
      <c r="E39" s="162">
        <f>E37+E38</f>
        <v>-3795</v>
      </c>
      <c r="F39" s="162">
        <f>F37+F38</f>
        <v>-3938</v>
      </c>
      <c r="G39" s="162">
        <f>G37+G38</f>
        <v>-3678</v>
      </c>
      <c r="H39" s="437">
        <f>H37+H38</f>
        <v>-3611</v>
      </c>
      <c r="I39" s="1"/>
      <c r="J39" s="1"/>
      <c r="K39" s="1"/>
      <c r="L39" s="1"/>
      <c r="M39" s="1"/>
      <c r="N39" s="1"/>
      <c r="O39" s="1"/>
      <c r="P39" s="1"/>
      <c r="Q39" s="1"/>
      <c r="R39" s="1"/>
      <c r="S39" s="1"/>
      <c r="T39" s="1"/>
    </row>
    <row r="40" spans="1:20" x14ac:dyDescent="0.25">
      <c r="A40" s="1"/>
      <c r="B40" s="332"/>
      <c r="C40" s="142"/>
      <c r="D40" s="152"/>
      <c r="E40" s="144"/>
      <c r="F40" s="144"/>
      <c r="G40" s="144"/>
      <c r="H40" s="344"/>
      <c r="I40" s="1"/>
      <c r="J40" s="1"/>
      <c r="K40" s="1"/>
      <c r="L40" s="1"/>
      <c r="M40" s="1"/>
      <c r="N40" s="1"/>
      <c r="O40" s="1"/>
      <c r="P40" s="1"/>
      <c r="Q40" s="1"/>
      <c r="R40" s="1"/>
      <c r="S40" s="1"/>
      <c r="T40" s="1"/>
    </row>
    <row r="41" spans="1:20" x14ac:dyDescent="0.25">
      <c r="A41" s="1"/>
      <c r="B41" s="322" t="s">
        <v>77</v>
      </c>
      <c r="C41" s="141"/>
      <c r="D41" s="151">
        <v>636</v>
      </c>
      <c r="E41" s="143">
        <v>402</v>
      </c>
      <c r="F41" s="143">
        <v>691</v>
      </c>
      <c r="G41" s="143">
        <v>624</v>
      </c>
      <c r="H41" s="323">
        <v>434</v>
      </c>
      <c r="I41" s="1"/>
      <c r="J41" s="1"/>
      <c r="K41" s="1"/>
      <c r="L41" s="1"/>
      <c r="M41" s="1"/>
      <c r="N41" s="1"/>
      <c r="O41" s="1"/>
      <c r="P41" s="1"/>
      <c r="Q41" s="1"/>
      <c r="R41" s="1"/>
      <c r="S41" s="1"/>
      <c r="T41" s="1"/>
    </row>
    <row r="42" spans="1:20" x14ac:dyDescent="0.25">
      <c r="A42" s="1"/>
      <c r="B42" s="324" t="s">
        <v>334</v>
      </c>
      <c r="C42" s="325"/>
      <c r="D42" s="146">
        <f>D39+D41</f>
        <v>-3145</v>
      </c>
      <c r="E42" s="146">
        <f>E39+E41</f>
        <v>-3393</v>
      </c>
      <c r="F42" s="146">
        <f>F39+F41</f>
        <v>-3247</v>
      </c>
      <c r="G42" s="146">
        <f>G39+G41</f>
        <v>-3054</v>
      </c>
      <c r="H42" s="326">
        <f>H39+H41</f>
        <v>-3177</v>
      </c>
      <c r="I42" s="1"/>
      <c r="J42" s="1"/>
      <c r="K42" s="1"/>
      <c r="L42" s="1"/>
      <c r="M42" s="1"/>
      <c r="N42" s="1"/>
      <c r="O42" s="1"/>
      <c r="P42" s="1"/>
      <c r="Q42" s="1"/>
      <c r="R42" s="1"/>
      <c r="S42" s="1"/>
      <c r="T42" s="1"/>
    </row>
    <row r="43" spans="1:20" x14ac:dyDescent="0.25">
      <c r="A43" s="1"/>
      <c r="B43" s="322"/>
      <c r="C43" s="141"/>
      <c r="D43" s="151"/>
      <c r="E43" s="143"/>
      <c r="F43" s="143"/>
      <c r="G43" s="143"/>
      <c r="H43" s="323"/>
      <c r="I43" s="1"/>
      <c r="J43" s="1"/>
      <c r="K43" s="1"/>
      <c r="L43" s="1"/>
      <c r="M43" s="1"/>
      <c r="N43" s="1"/>
      <c r="O43" s="1"/>
      <c r="P43" s="1"/>
      <c r="Q43" s="1"/>
      <c r="R43" s="1"/>
      <c r="S43" s="1"/>
      <c r="T43" s="1"/>
    </row>
    <row r="44" spans="1:20" x14ac:dyDescent="0.25">
      <c r="A44" s="1"/>
      <c r="B44" s="336" t="s">
        <v>333</v>
      </c>
      <c r="C44" s="337"/>
      <c r="D44" s="155">
        <f>D35+D42</f>
        <v>-6404</v>
      </c>
      <c r="E44" s="148">
        <f>E35+E42</f>
        <v>-6672</v>
      </c>
      <c r="F44" s="148">
        <f>F35+F42</f>
        <v>-6260</v>
      </c>
      <c r="G44" s="148">
        <f>G35+G42</f>
        <v>-6577</v>
      </c>
      <c r="H44" s="466">
        <f>H35+H42</f>
        <v>-6828</v>
      </c>
      <c r="I44" s="1"/>
      <c r="J44" s="1"/>
      <c r="K44" s="1"/>
      <c r="L44" s="1"/>
      <c r="M44" s="1"/>
      <c r="N44" s="1"/>
      <c r="O44" s="1"/>
      <c r="P44" s="1"/>
      <c r="Q44" s="1"/>
      <c r="R44" s="1"/>
    </row>
    <row r="45" spans="1:20" ht="15.75" thickBot="1" x14ac:dyDescent="0.3">
      <c r="A45" s="1"/>
      <c r="B45" s="438" t="s">
        <v>346</v>
      </c>
      <c r="C45" s="439"/>
      <c r="D45" s="440">
        <f>D31+D44</f>
        <v>0</v>
      </c>
      <c r="E45" s="440">
        <f>E31+E44</f>
        <v>0</v>
      </c>
      <c r="F45" s="440">
        <f>F31+F44</f>
        <v>0</v>
      </c>
      <c r="G45" s="440">
        <f>G31+G44</f>
        <v>0</v>
      </c>
      <c r="H45" s="441">
        <f>H31+H44</f>
        <v>0</v>
      </c>
      <c r="I45" s="249"/>
      <c r="J45" s="1"/>
      <c r="K45" s="1"/>
      <c r="L45" s="1"/>
      <c r="M45" s="1"/>
      <c r="N45" s="1"/>
      <c r="O45" s="1"/>
      <c r="P45" s="1"/>
      <c r="Q45" s="1"/>
      <c r="R45" s="1"/>
    </row>
    <row r="46" spans="1:20" x14ac:dyDescent="0.25">
      <c r="A46" s="1"/>
      <c r="B46" s="170"/>
      <c r="C46" s="171"/>
      <c r="D46" s="171"/>
      <c r="E46" s="171"/>
      <c r="F46" s="171"/>
      <c r="G46" s="171"/>
      <c r="H46" s="171"/>
      <c r="J46" s="1"/>
      <c r="K46" s="1"/>
      <c r="L46" s="1"/>
      <c r="M46" s="1"/>
      <c r="N46" s="1"/>
      <c r="O46" s="1"/>
      <c r="P46" s="1"/>
      <c r="Q46" s="1"/>
      <c r="R46" s="1"/>
    </row>
    <row r="47" spans="1:20" ht="15.75" thickBot="1" x14ac:dyDescent="0.3">
      <c r="B47" s="172"/>
      <c r="C47" s="173"/>
      <c r="D47" s="172"/>
      <c r="E47" s="172"/>
      <c r="F47" s="172"/>
      <c r="G47" s="172"/>
      <c r="H47" s="172"/>
      <c r="I47" s="1"/>
      <c r="J47" s="5"/>
      <c r="K47" s="1"/>
      <c r="L47" s="1"/>
      <c r="M47" s="1"/>
      <c r="N47" s="1"/>
      <c r="O47" s="1"/>
      <c r="P47" s="1"/>
      <c r="Q47" s="1"/>
      <c r="R47" s="1"/>
    </row>
    <row r="48" spans="1:20" ht="27" customHeight="1" x14ac:dyDescent="0.4">
      <c r="A48" s="467"/>
      <c r="B48" s="349" t="s">
        <v>302</v>
      </c>
      <c r="C48" s="350"/>
      <c r="D48" s="350"/>
      <c r="E48" s="350"/>
      <c r="F48" s="350"/>
      <c r="G48" s="350"/>
      <c r="H48" s="351"/>
      <c r="I48" s="1"/>
      <c r="J48" s="149"/>
      <c r="K48" s="1"/>
      <c r="L48" s="1"/>
      <c r="M48" s="1"/>
      <c r="N48" s="1"/>
      <c r="O48" s="1"/>
      <c r="P48" s="1"/>
      <c r="Q48" s="1"/>
      <c r="R48" s="1"/>
    </row>
    <row r="49" spans="1:18" ht="15" customHeight="1" x14ac:dyDescent="0.25">
      <c r="A49" s="319"/>
      <c r="B49" s="352"/>
      <c r="C49" s="111"/>
      <c r="D49" s="577" t="s">
        <v>163</v>
      </c>
      <c r="E49" s="577"/>
      <c r="F49" s="577"/>
      <c r="G49" s="577"/>
      <c r="H49" s="578"/>
      <c r="I49" s="5"/>
      <c r="J49" s="1"/>
      <c r="K49" s="1"/>
      <c r="L49" s="1"/>
      <c r="M49" s="1"/>
      <c r="N49" s="1"/>
      <c r="O49" s="1"/>
      <c r="P49" s="1"/>
      <c r="Q49" s="1"/>
      <c r="R49" s="1"/>
    </row>
    <row r="50" spans="1:18" ht="15" customHeight="1" x14ac:dyDescent="0.25">
      <c r="A50" s="260"/>
      <c r="B50" s="353"/>
      <c r="C50" s="125" t="s">
        <v>1</v>
      </c>
      <c r="D50" s="112">
        <v>42369</v>
      </c>
      <c r="E50" s="112">
        <v>42735</v>
      </c>
      <c r="F50" s="112">
        <v>43100</v>
      </c>
      <c r="G50" s="112">
        <v>43465</v>
      </c>
      <c r="H50" s="261">
        <v>43830</v>
      </c>
      <c r="I50" s="149"/>
      <c r="J50" s="1"/>
      <c r="K50" s="1"/>
      <c r="L50" s="1"/>
      <c r="M50" s="1"/>
      <c r="N50" s="1"/>
      <c r="O50" s="1"/>
      <c r="P50" s="1"/>
      <c r="Q50" s="1"/>
      <c r="R50" s="1"/>
    </row>
    <row r="51" spans="1:18" x14ac:dyDescent="0.25">
      <c r="A51" s="262"/>
      <c r="B51" s="355"/>
      <c r="C51" s="171"/>
      <c r="D51" s="177"/>
      <c r="E51" s="178"/>
      <c r="F51" s="178"/>
      <c r="G51" s="178"/>
      <c r="H51" s="356"/>
      <c r="I51" s="1"/>
      <c r="J51" s="1"/>
      <c r="K51" s="1"/>
      <c r="L51" s="1"/>
      <c r="M51" s="1"/>
      <c r="N51" s="1"/>
      <c r="O51" s="1"/>
      <c r="P51" s="1"/>
      <c r="Q51" s="1"/>
      <c r="R51" s="1"/>
    </row>
    <row r="52" spans="1:18" x14ac:dyDescent="0.25">
      <c r="A52" s="262"/>
      <c r="B52" s="321" t="s">
        <v>345</v>
      </c>
      <c r="C52" s="171"/>
      <c r="D52" s="150">
        <f>SUM(D55:D56)</f>
        <v>4921</v>
      </c>
      <c r="E52" s="145">
        <f>SUM(E55:E56)</f>
        <v>4860</v>
      </c>
      <c r="F52" s="145">
        <f>SUM(F55:F56)</f>
        <v>5796</v>
      </c>
      <c r="G52" s="145">
        <f>SUM(G55:G56)</f>
        <v>6494</v>
      </c>
      <c r="H52" s="331">
        <f>SUM(H55:H56)</f>
        <v>7324</v>
      </c>
      <c r="I52" s="1"/>
      <c r="J52" s="1"/>
      <c r="K52" s="1"/>
      <c r="L52" s="1"/>
      <c r="M52" s="1"/>
      <c r="N52" s="1"/>
      <c r="O52" s="1"/>
      <c r="P52" s="1"/>
      <c r="Q52" s="1"/>
      <c r="R52" s="1"/>
    </row>
    <row r="53" spans="1:18" hidden="1" outlineLevel="1" x14ac:dyDescent="0.25">
      <c r="A53" s="262"/>
      <c r="B53" s="180" t="s">
        <v>167</v>
      </c>
      <c r="C53" s="171"/>
      <c r="D53" s="151">
        <v>3947</v>
      </c>
      <c r="E53" s="143">
        <v>3734</v>
      </c>
      <c r="F53" s="143">
        <v>4633</v>
      </c>
      <c r="G53" s="143">
        <v>5268</v>
      </c>
      <c r="H53" s="323">
        <v>6046</v>
      </c>
      <c r="I53" s="1"/>
      <c r="J53" s="1"/>
      <c r="K53" s="1"/>
      <c r="L53" s="1"/>
      <c r="M53" s="1"/>
      <c r="N53" s="1"/>
      <c r="O53" s="1"/>
      <c r="P53" s="1"/>
      <c r="Q53" s="1"/>
      <c r="R53" s="1"/>
    </row>
    <row r="54" spans="1:18" hidden="1" outlineLevel="1" x14ac:dyDescent="0.25">
      <c r="A54" s="262"/>
      <c r="B54" s="180" t="s">
        <v>169</v>
      </c>
      <c r="C54" s="171"/>
      <c r="D54" s="151">
        <v>785</v>
      </c>
      <c r="E54" s="143">
        <v>847</v>
      </c>
      <c r="F54" s="143">
        <v>957</v>
      </c>
      <c r="G54" s="143">
        <v>1003</v>
      </c>
      <c r="H54" s="323">
        <v>1076</v>
      </c>
      <c r="I54" s="1"/>
      <c r="J54" s="1"/>
      <c r="K54" s="1"/>
      <c r="L54" s="1"/>
      <c r="M54" s="1"/>
      <c r="N54" s="1"/>
      <c r="O54" s="1"/>
      <c r="P54" s="1"/>
      <c r="Q54" s="1"/>
      <c r="R54" s="1"/>
    </row>
    <row r="55" spans="1:18" hidden="1" outlineLevel="1" x14ac:dyDescent="0.25">
      <c r="A55" s="262"/>
      <c r="B55" s="443" t="s">
        <v>171</v>
      </c>
      <c r="C55" s="171"/>
      <c r="D55" s="152">
        <f>SUM(D53:D54)</f>
        <v>4732</v>
      </c>
      <c r="E55" s="144">
        <f>SUM(E53:E54)</f>
        <v>4581</v>
      </c>
      <c r="F55" s="144">
        <f>SUM(F53:F54)</f>
        <v>5590</v>
      </c>
      <c r="G55" s="144">
        <f>SUM(G53:G54)</f>
        <v>6271</v>
      </c>
      <c r="H55" s="344">
        <f>SUM(H53:H54)</f>
        <v>7122</v>
      </c>
      <c r="I55" s="1"/>
      <c r="J55" s="1"/>
      <c r="K55" s="1"/>
      <c r="L55" s="1"/>
      <c r="M55" s="1"/>
      <c r="N55" s="1"/>
      <c r="O55" s="1"/>
      <c r="P55" s="1"/>
      <c r="Q55" s="1"/>
      <c r="R55" s="1"/>
    </row>
    <row r="56" spans="1:18" hidden="1" outlineLevel="1" x14ac:dyDescent="0.25">
      <c r="A56" s="262"/>
      <c r="B56" s="180" t="s">
        <v>173</v>
      </c>
      <c r="C56" s="171"/>
      <c r="D56" s="151">
        <v>189</v>
      </c>
      <c r="E56" s="143">
        <v>279</v>
      </c>
      <c r="F56" s="143">
        <v>206</v>
      </c>
      <c r="G56" s="141">
        <v>223</v>
      </c>
      <c r="H56" s="323">
        <v>202</v>
      </c>
      <c r="I56" s="1"/>
      <c r="J56" s="1"/>
      <c r="K56" s="1"/>
      <c r="L56" s="1"/>
      <c r="M56" s="1"/>
      <c r="N56" s="1"/>
      <c r="O56" s="1"/>
      <c r="P56" s="1"/>
      <c r="Q56" s="1"/>
      <c r="R56" s="1"/>
    </row>
    <row r="57" spans="1:18" collapsed="1" x14ac:dyDescent="0.25">
      <c r="A57" s="262"/>
      <c r="B57" s="180"/>
      <c r="C57" s="171"/>
      <c r="D57" s="151"/>
      <c r="E57" s="151"/>
      <c r="F57" s="143"/>
      <c r="G57" s="143"/>
      <c r="H57" s="323"/>
      <c r="I57" s="1"/>
      <c r="J57" s="1"/>
      <c r="K57" s="1"/>
      <c r="L57" s="1"/>
      <c r="M57" s="1"/>
      <c r="N57" s="1"/>
      <c r="O57" s="1"/>
      <c r="P57" s="1"/>
      <c r="Q57" s="1"/>
      <c r="R57" s="1"/>
    </row>
    <row r="58" spans="1:18" x14ac:dyDescent="0.25">
      <c r="A58" s="262"/>
      <c r="B58" s="180" t="s">
        <v>177</v>
      </c>
      <c r="C58" s="171"/>
      <c r="D58" s="151">
        <v>-2286</v>
      </c>
      <c r="E58" s="151">
        <v>-2101</v>
      </c>
      <c r="F58" s="143">
        <v>-2831</v>
      </c>
      <c r="G58" s="143">
        <v>-3346</v>
      </c>
      <c r="H58" s="323">
        <v>-4004</v>
      </c>
      <c r="I58" s="1"/>
      <c r="J58" s="1"/>
      <c r="K58" s="1"/>
      <c r="L58" s="1"/>
      <c r="M58" s="1"/>
      <c r="N58" s="1"/>
      <c r="O58" s="1"/>
      <c r="P58" s="1"/>
      <c r="Q58" s="1"/>
      <c r="R58" s="1"/>
    </row>
    <row r="59" spans="1:18" x14ac:dyDescent="0.25">
      <c r="A59" s="262"/>
      <c r="B59" s="180" t="s">
        <v>179</v>
      </c>
      <c r="C59" s="171"/>
      <c r="D59" s="151">
        <v>-706</v>
      </c>
      <c r="E59" s="151">
        <v>-758</v>
      </c>
      <c r="F59" s="143">
        <v>-850</v>
      </c>
      <c r="G59" s="143">
        <v>-986</v>
      </c>
      <c r="H59" s="323">
        <v>-1152</v>
      </c>
      <c r="I59" s="1"/>
      <c r="J59" s="1"/>
      <c r="K59" s="1"/>
      <c r="L59" s="1"/>
      <c r="M59" s="1"/>
      <c r="N59" s="1"/>
      <c r="O59" s="1"/>
      <c r="P59" s="1"/>
      <c r="Q59" s="1"/>
      <c r="R59" s="1"/>
    </row>
    <row r="60" spans="1:18" x14ac:dyDescent="0.25">
      <c r="A60" s="262"/>
      <c r="B60" s="180" t="s">
        <v>183</v>
      </c>
      <c r="C60" s="171"/>
      <c r="D60" s="151">
        <v>-252</v>
      </c>
      <c r="E60" s="151">
        <v>-243</v>
      </c>
      <c r="F60" s="143">
        <v>-281</v>
      </c>
      <c r="G60" s="143">
        <v>-266</v>
      </c>
      <c r="H60" s="323">
        <v>-234</v>
      </c>
      <c r="I60" s="1"/>
      <c r="J60" s="1"/>
      <c r="K60" s="1"/>
      <c r="L60" s="1"/>
      <c r="M60" s="1"/>
      <c r="N60" s="1"/>
      <c r="O60" s="1"/>
      <c r="P60" s="1"/>
      <c r="Q60" s="1"/>
      <c r="R60" s="1"/>
    </row>
    <row r="61" spans="1:18" x14ac:dyDescent="0.25">
      <c r="A61" s="262"/>
      <c r="B61" s="180" t="s">
        <v>335</v>
      </c>
      <c r="C61" s="171"/>
      <c r="D61" s="151">
        <f>-SUM(D66:D67)</f>
        <v>-629</v>
      </c>
      <c r="E61" s="151">
        <f>-SUM(E66:E67)</f>
        <v>-596</v>
      </c>
      <c r="F61" s="143">
        <f>-SUM(F66:F67)</f>
        <v>-635</v>
      </c>
      <c r="G61" s="143">
        <f>-SUM(G66:G67)</f>
        <v>-665</v>
      </c>
      <c r="H61" s="323">
        <f>-SUM(H66:H67)</f>
        <v>-700</v>
      </c>
      <c r="I61" s="1"/>
      <c r="J61" s="1"/>
      <c r="K61" s="1"/>
      <c r="L61" s="1"/>
      <c r="M61" s="1"/>
      <c r="N61" s="1"/>
      <c r="O61" s="1"/>
      <c r="P61" s="1"/>
      <c r="Q61" s="1"/>
      <c r="R61" s="1"/>
    </row>
    <row r="62" spans="1:18" hidden="1" outlineLevel="1" x14ac:dyDescent="0.25">
      <c r="A62" s="262"/>
      <c r="B62" s="180" t="s">
        <v>187</v>
      </c>
      <c r="C62" s="171"/>
      <c r="D62" s="151">
        <v>441</v>
      </c>
      <c r="E62" s="151">
        <v>433</v>
      </c>
      <c r="F62" s="143">
        <v>471</v>
      </c>
      <c r="G62" s="143">
        <v>494</v>
      </c>
      <c r="H62" s="323">
        <v>527</v>
      </c>
      <c r="I62" s="1"/>
      <c r="J62" s="1"/>
      <c r="K62" s="1"/>
      <c r="L62" s="1"/>
      <c r="M62" s="1"/>
      <c r="N62" s="1"/>
      <c r="O62" s="1"/>
      <c r="P62" s="1"/>
      <c r="Q62" s="1"/>
      <c r="R62" s="1"/>
    </row>
    <row r="63" spans="1:18" hidden="1" outlineLevel="1" x14ac:dyDescent="0.25">
      <c r="A63" s="262"/>
      <c r="B63" s="180" t="s">
        <v>189</v>
      </c>
      <c r="C63" s="171"/>
      <c r="D63" s="151">
        <v>163</v>
      </c>
      <c r="E63" s="151">
        <v>146</v>
      </c>
      <c r="F63" s="143">
        <v>160</v>
      </c>
      <c r="G63" s="143">
        <v>173</v>
      </c>
      <c r="H63" s="323">
        <v>179</v>
      </c>
      <c r="I63" s="1"/>
      <c r="J63" s="1"/>
      <c r="K63" s="1"/>
      <c r="L63" s="1"/>
      <c r="M63" s="1"/>
      <c r="N63" s="1"/>
      <c r="O63" s="1"/>
      <c r="P63" s="1"/>
      <c r="Q63" s="1"/>
      <c r="R63" s="1"/>
    </row>
    <row r="64" spans="1:18" hidden="1" outlineLevel="1" x14ac:dyDescent="0.25">
      <c r="A64" s="262"/>
      <c r="B64" s="180" t="s">
        <v>191</v>
      </c>
      <c r="C64" s="171"/>
      <c r="D64" s="151">
        <v>25</v>
      </c>
      <c r="E64" s="151">
        <v>26</v>
      </c>
      <c r="F64" s="143">
        <v>29</v>
      </c>
      <c r="G64" s="143">
        <v>31</v>
      </c>
      <c r="H64" s="323">
        <v>31</v>
      </c>
      <c r="I64" s="1"/>
      <c r="J64" s="1"/>
      <c r="K64" s="1"/>
      <c r="L64" s="1"/>
      <c r="M64" s="1"/>
      <c r="N64" s="1"/>
      <c r="O64" s="1"/>
      <c r="P64" s="1"/>
      <c r="Q64" s="1"/>
      <c r="R64" s="1"/>
    </row>
    <row r="65" spans="1:18" hidden="1" outlineLevel="1" x14ac:dyDescent="0.25">
      <c r="A65" s="262"/>
      <c r="B65" s="180" t="s">
        <v>192</v>
      </c>
      <c r="C65" s="171"/>
      <c r="D65" s="151">
        <v>27</v>
      </c>
      <c r="E65" s="151">
        <v>36</v>
      </c>
      <c r="F65" s="143">
        <v>27</v>
      </c>
      <c r="G65" s="143">
        <v>33</v>
      </c>
      <c r="H65" s="323">
        <v>42</v>
      </c>
      <c r="I65" s="1"/>
      <c r="J65" s="1"/>
      <c r="K65" s="1"/>
      <c r="L65" s="1"/>
      <c r="M65" s="1"/>
      <c r="N65" s="1"/>
      <c r="O65" s="1"/>
      <c r="P65" s="1"/>
      <c r="Q65" s="1"/>
      <c r="R65" s="1"/>
    </row>
    <row r="66" spans="1:18" hidden="1" outlineLevel="1" x14ac:dyDescent="0.25">
      <c r="A66" s="262"/>
      <c r="B66" s="443" t="s">
        <v>194</v>
      </c>
      <c r="C66" s="171"/>
      <c r="D66" s="152">
        <f>SUM(D62:D65)</f>
        <v>656</v>
      </c>
      <c r="E66" s="152">
        <f>SUM(E62:E65)</f>
        <v>641</v>
      </c>
      <c r="F66" s="144">
        <f>SUM(F62:F65)</f>
        <v>687</v>
      </c>
      <c r="G66" s="144">
        <f t="shared" ref="G66" si="0">SUM(G62:G65)</f>
        <v>731</v>
      </c>
      <c r="H66" s="344">
        <f>SUM(H62:H65)</f>
        <v>779</v>
      </c>
      <c r="I66" s="1"/>
      <c r="J66" s="1"/>
      <c r="K66" s="1"/>
      <c r="L66" s="1"/>
      <c r="M66" s="1"/>
      <c r="N66" s="1"/>
      <c r="O66" s="1"/>
      <c r="P66" s="1"/>
      <c r="Q66" s="1"/>
      <c r="R66" s="1"/>
    </row>
    <row r="67" spans="1:18" hidden="1" outlineLevel="1" x14ac:dyDescent="0.25">
      <c r="A67" s="262"/>
      <c r="B67" s="180" t="s">
        <v>196</v>
      </c>
      <c r="C67" s="171"/>
      <c r="D67" s="151">
        <v>-27</v>
      </c>
      <c r="E67" s="151">
        <v>-45</v>
      </c>
      <c r="F67" s="143">
        <v>-52</v>
      </c>
      <c r="G67" s="143">
        <v>-66</v>
      </c>
      <c r="H67" s="323">
        <v>-79</v>
      </c>
      <c r="I67" s="1"/>
      <c r="J67" s="1"/>
      <c r="K67" s="1"/>
      <c r="L67" s="1"/>
      <c r="M67" s="1"/>
      <c r="N67" s="1"/>
      <c r="O67" s="1"/>
      <c r="P67" s="1"/>
      <c r="Q67" s="1"/>
      <c r="R67" s="1"/>
    </row>
    <row r="68" spans="1:18" collapsed="1" x14ac:dyDescent="0.25">
      <c r="A68" s="262"/>
      <c r="B68" s="444" t="s">
        <v>344</v>
      </c>
      <c r="C68" s="174"/>
      <c r="D68" s="159">
        <f>SUM(D58:D61)</f>
        <v>-3873</v>
      </c>
      <c r="E68" s="159">
        <f>SUM(E58:E61)</f>
        <v>-3698</v>
      </c>
      <c r="F68" s="160">
        <f>SUM(F58:F61)</f>
        <v>-4597</v>
      </c>
      <c r="G68" s="160">
        <f>SUM(G58:G61)</f>
        <v>-5263</v>
      </c>
      <c r="H68" s="329">
        <f>SUM(H58:H61)</f>
        <v>-6090</v>
      </c>
      <c r="I68" s="1"/>
      <c r="J68" s="1"/>
      <c r="K68" s="1"/>
      <c r="L68" s="1"/>
      <c r="M68" s="1"/>
      <c r="N68" s="1"/>
      <c r="O68" s="1"/>
      <c r="P68" s="1"/>
      <c r="Q68" s="1"/>
      <c r="R68" s="1"/>
    </row>
    <row r="69" spans="1:18" x14ac:dyDescent="0.25">
      <c r="A69" s="262"/>
      <c r="B69" s="321"/>
      <c r="C69" s="171"/>
      <c r="D69" s="151"/>
      <c r="E69" s="151"/>
      <c r="F69" s="143"/>
      <c r="G69" s="143"/>
      <c r="H69" s="323"/>
      <c r="I69" s="1"/>
      <c r="J69" s="1"/>
      <c r="K69" s="1"/>
      <c r="L69" s="1"/>
      <c r="M69" s="1"/>
      <c r="N69" s="1"/>
      <c r="O69" s="1"/>
      <c r="P69" s="1"/>
      <c r="Q69" s="1"/>
      <c r="R69" s="1"/>
    </row>
    <row r="70" spans="1:18" x14ac:dyDescent="0.25">
      <c r="A70" s="262"/>
      <c r="B70" s="357" t="s">
        <v>306</v>
      </c>
      <c r="C70" s="175"/>
      <c r="D70" s="156">
        <f>SUM(D52,D68)</f>
        <v>1048</v>
      </c>
      <c r="E70" s="156">
        <f>SUM(E52,E68)</f>
        <v>1162</v>
      </c>
      <c r="F70" s="146">
        <f>SUM(F52,F68)</f>
        <v>1199</v>
      </c>
      <c r="G70" s="146">
        <f>SUM(G52,G68)</f>
        <v>1231</v>
      </c>
      <c r="H70" s="326">
        <f>SUM(H52,H68)</f>
        <v>1234</v>
      </c>
      <c r="I70" s="1"/>
      <c r="J70" s="1"/>
      <c r="K70" s="1"/>
      <c r="L70" s="1"/>
      <c r="M70" s="1"/>
      <c r="N70" s="1"/>
      <c r="O70" s="1"/>
      <c r="P70" s="1"/>
      <c r="Q70" s="1"/>
      <c r="R70" s="1"/>
    </row>
    <row r="71" spans="1:18" x14ac:dyDescent="0.25">
      <c r="A71" s="262"/>
      <c r="B71" s="180"/>
      <c r="C71" s="171"/>
      <c r="D71" s="243"/>
      <c r="E71" s="243"/>
      <c r="F71" s="147"/>
      <c r="G71" s="147"/>
      <c r="H71" s="446"/>
      <c r="I71" s="1"/>
      <c r="J71" s="1"/>
      <c r="K71" s="1"/>
      <c r="L71" s="1"/>
      <c r="M71" s="1"/>
      <c r="N71" s="1"/>
      <c r="O71" s="1"/>
      <c r="P71" s="1"/>
      <c r="Q71" s="1"/>
      <c r="R71" s="1"/>
    </row>
    <row r="72" spans="1:18" x14ac:dyDescent="0.25">
      <c r="A72" s="262"/>
      <c r="B72" s="180" t="s">
        <v>336</v>
      </c>
      <c r="C72" s="171"/>
      <c r="D72" s="151">
        <f>-SUM(D73:D75)</f>
        <v>-754</v>
      </c>
      <c r="E72" s="151">
        <f t="shared" ref="E72:H72" si="1">-SUM(E73:E75)</f>
        <v>-648</v>
      </c>
      <c r="F72" s="143">
        <f t="shared" si="1"/>
        <v>-444</v>
      </c>
      <c r="G72" s="143">
        <f t="shared" si="1"/>
        <v>-623</v>
      </c>
      <c r="H72" s="323">
        <f t="shared" si="1"/>
        <v>-511</v>
      </c>
      <c r="I72" s="1"/>
      <c r="J72" s="1"/>
      <c r="K72" s="1"/>
      <c r="L72" s="1"/>
      <c r="M72" s="1"/>
      <c r="N72" s="1"/>
      <c r="O72" s="1"/>
      <c r="P72" s="1"/>
      <c r="Q72" s="1"/>
      <c r="R72" s="1"/>
    </row>
    <row r="73" spans="1:18" hidden="1" outlineLevel="1" x14ac:dyDescent="0.25">
      <c r="A73" s="262"/>
      <c r="B73" s="180" t="s">
        <v>202</v>
      </c>
      <c r="C73" s="171"/>
      <c r="D73" s="151">
        <v>54</v>
      </c>
      <c r="E73" s="151">
        <v>55</v>
      </c>
      <c r="F73" s="143">
        <v>72</v>
      </c>
      <c r="G73" s="143">
        <v>91</v>
      </c>
      <c r="H73" s="323">
        <v>123</v>
      </c>
      <c r="I73" s="1"/>
      <c r="J73" s="1"/>
      <c r="K73" s="1"/>
      <c r="L73" s="1"/>
      <c r="M73" s="1"/>
      <c r="N73" s="1"/>
      <c r="O73" s="1"/>
      <c r="P73" s="1"/>
      <c r="Q73" s="1"/>
      <c r="R73" s="1"/>
    </row>
    <row r="74" spans="1:18" hidden="1" outlineLevel="1" x14ac:dyDescent="0.25">
      <c r="A74" s="262"/>
      <c r="B74" s="180" t="s">
        <v>204</v>
      </c>
      <c r="C74" s="171"/>
      <c r="D74" s="151">
        <v>341</v>
      </c>
      <c r="E74" s="151">
        <v>348</v>
      </c>
      <c r="F74" s="143">
        <v>338</v>
      </c>
      <c r="G74" s="143">
        <v>372</v>
      </c>
      <c r="H74" s="323">
        <v>379</v>
      </c>
      <c r="I74" s="1"/>
      <c r="J74" s="1"/>
      <c r="K74" s="1"/>
      <c r="L74" s="1"/>
      <c r="M74" s="1"/>
      <c r="N74" s="1"/>
      <c r="O74" s="1"/>
      <c r="P74" s="1"/>
      <c r="Q74" s="1"/>
      <c r="R74" s="1"/>
    </row>
    <row r="75" spans="1:18" hidden="1" outlineLevel="1" x14ac:dyDescent="0.25">
      <c r="A75" s="321"/>
      <c r="B75" s="180" t="s">
        <v>206</v>
      </c>
      <c r="C75" s="171"/>
      <c r="D75" s="151">
        <v>359</v>
      </c>
      <c r="E75" s="151">
        <v>245</v>
      </c>
      <c r="F75" s="143">
        <v>34</v>
      </c>
      <c r="G75" s="143">
        <v>160</v>
      </c>
      <c r="H75" s="323">
        <v>9</v>
      </c>
      <c r="I75" s="1"/>
      <c r="J75" s="1"/>
      <c r="K75" s="1"/>
      <c r="L75" s="1"/>
      <c r="M75" s="1"/>
      <c r="N75" s="1"/>
      <c r="O75" s="1"/>
      <c r="P75" s="1"/>
      <c r="Q75" s="1"/>
      <c r="R75" s="1"/>
    </row>
    <row r="76" spans="1:18" collapsed="1" x14ac:dyDescent="0.25">
      <c r="A76" s="321"/>
      <c r="B76" s="180" t="s">
        <v>461</v>
      </c>
      <c r="C76" s="171"/>
      <c r="D76" s="152">
        <f>-SUM(D77:D78)</f>
        <v>-79</v>
      </c>
      <c r="E76" s="152">
        <f t="shared" ref="E76:H76" si="2">-SUM(E77:E78)</f>
        <v>-71</v>
      </c>
      <c r="F76" s="144">
        <f t="shared" si="2"/>
        <v>-45</v>
      </c>
      <c r="G76" s="144">
        <f t="shared" si="2"/>
        <v>-20</v>
      </c>
      <c r="H76" s="344">
        <f t="shared" si="2"/>
        <v>-36</v>
      </c>
      <c r="I76" s="1"/>
      <c r="J76" s="1"/>
      <c r="K76" s="1"/>
      <c r="L76" s="1"/>
      <c r="M76" s="1"/>
      <c r="N76" s="1"/>
      <c r="O76" s="1"/>
      <c r="P76" s="1"/>
      <c r="Q76" s="1"/>
      <c r="R76" s="1"/>
    </row>
    <row r="77" spans="1:18" hidden="1" outlineLevel="1" x14ac:dyDescent="0.25">
      <c r="A77" s="262"/>
      <c r="B77" s="180" t="s">
        <v>210</v>
      </c>
      <c r="C77" s="171"/>
      <c r="D77" s="151">
        <v>57</v>
      </c>
      <c r="E77" s="151">
        <v>50</v>
      </c>
      <c r="F77" s="143">
        <v>10</v>
      </c>
      <c r="G77" s="143">
        <v>-5</v>
      </c>
      <c r="H77" s="323">
        <v>21</v>
      </c>
      <c r="I77" s="1"/>
      <c r="J77" s="1"/>
      <c r="K77" s="1"/>
      <c r="L77" s="1"/>
      <c r="M77" s="1"/>
      <c r="N77" s="1"/>
      <c r="O77" s="1"/>
      <c r="P77" s="1"/>
      <c r="Q77" s="1"/>
      <c r="R77" s="1"/>
    </row>
    <row r="78" spans="1:18" ht="30" hidden="1" outlineLevel="1" x14ac:dyDescent="0.25">
      <c r="A78" s="262"/>
      <c r="B78" s="447" t="s">
        <v>212</v>
      </c>
      <c r="C78" s="171"/>
      <c r="D78" s="151">
        <v>22</v>
      </c>
      <c r="E78" s="151">
        <v>21</v>
      </c>
      <c r="F78" s="143">
        <v>35</v>
      </c>
      <c r="G78" s="143">
        <v>25</v>
      </c>
      <c r="H78" s="323">
        <v>15</v>
      </c>
      <c r="I78" s="1"/>
      <c r="J78" s="1"/>
      <c r="K78" s="1"/>
      <c r="L78" s="1"/>
      <c r="M78" s="1"/>
      <c r="N78" s="1"/>
      <c r="O78" s="1"/>
      <c r="P78" s="1"/>
      <c r="Q78" s="1"/>
      <c r="R78" s="1"/>
    </row>
    <row r="79" spans="1:18" collapsed="1" x14ac:dyDescent="0.25">
      <c r="A79" s="262"/>
      <c r="B79" s="321"/>
      <c r="C79" s="171"/>
      <c r="D79" s="150"/>
      <c r="E79" s="151"/>
      <c r="F79" s="145"/>
      <c r="G79" s="145"/>
      <c r="H79" s="331"/>
      <c r="I79" s="1"/>
      <c r="J79" s="1"/>
      <c r="K79" s="1"/>
      <c r="L79" s="1"/>
      <c r="M79" s="1"/>
      <c r="N79" s="1"/>
      <c r="O79" s="1"/>
      <c r="P79" s="1"/>
      <c r="Q79" s="1"/>
      <c r="R79" s="1"/>
    </row>
    <row r="80" spans="1:18" x14ac:dyDescent="0.25">
      <c r="A80" s="262"/>
      <c r="B80" s="357" t="s">
        <v>303</v>
      </c>
      <c r="C80" s="175"/>
      <c r="D80" s="156">
        <f>SUM(D70,D72,D76)</f>
        <v>215</v>
      </c>
      <c r="E80" s="156">
        <f>SUM(E70,E72,E76)</f>
        <v>443</v>
      </c>
      <c r="F80" s="146">
        <f>SUM(F70,F72,F76)</f>
        <v>710</v>
      </c>
      <c r="G80" s="146">
        <f>SUM(G70,G72,G76)</f>
        <v>588</v>
      </c>
      <c r="H80" s="326">
        <f>SUM(H70,H72,H76)</f>
        <v>687</v>
      </c>
      <c r="I80" s="1"/>
      <c r="J80" s="1"/>
      <c r="K80" s="1"/>
      <c r="L80" s="1"/>
      <c r="M80" s="1"/>
      <c r="N80" s="1"/>
      <c r="O80" s="1"/>
      <c r="P80" s="1"/>
      <c r="Q80" s="1"/>
      <c r="R80" s="1"/>
    </row>
    <row r="81" spans="1:18" ht="15" customHeight="1" x14ac:dyDescent="0.25">
      <c r="A81" s="262"/>
      <c r="B81" s="321"/>
      <c r="C81" s="171"/>
      <c r="D81" s="150"/>
      <c r="E81" s="151"/>
      <c r="F81" s="145"/>
      <c r="G81" s="145"/>
      <c r="H81" s="331"/>
      <c r="I81" s="1"/>
      <c r="J81" s="1"/>
      <c r="K81" s="1"/>
      <c r="L81" s="1"/>
      <c r="M81" s="1"/>
      <c r="N81" s="1"/>
      <c r="O81" s="1"/>
      <c r="P81" s="1"/>
      <c r="Q81" s="1"/>
      <c r="R81" s="1"/>
    </row>
    <row r="82" spans="1:18" x14ac:dyDescent="0.25">
      <c r="A82" s="262"/>
      <c r="B82" s="180" t="s">
        <v>217</v>
      </c>
      <c r="C82" s="171"/>
      <c r="D82" s="151">
        <v>1</v>
      </c>
      <c r="E82" s="151">
        <v>52</v>
      </c>
      <c r="F82" s="143">
        <v>0</v>
      </c>
      <c r="G82" s="143">
        <v>14</v>
      </c>
      <c r="H82" s="323">
        <v>4</v>
      </c>
      <c r="I82" s="1"/>
      <c r="J82" s="1"/>
      <c r="K82" s="1"/>
      <c r="L82" s="1"/>
      <c r="M82" s="1"/>
      <c r="N82" s="1"/>
      <c r="O82" s="1"/>
      <c r="P82" s="1"/>
      <c r="Q82" s="1"/>
      <c r="R82" s="1"/>
    </row>
    <row r="83" spans="1:18" x14ac:dyDescent="0.25">
      <c r="A83" s="180"/>
      <c r="B83" s="180" t="s">
        <v>219</v>
      </c>
      <c r="C83" s="171"/>
      <c r="D83" s="151">
        <f>SUM(D87,-D96,D97)</f>
        <v>-138</v>
      </c>
      <c r="E83" s="151">
        <f t="shared" ref="E83:H83" si="3">SUM(E87,-E96,E97)</f>
        <v>-161</v>
      </c>
      <c r="F83" s="143">
        <f t="shared" si="3"/>
        <v>-134</v>
      </c>
      <c r="G83" s="143">
        <f t="shared" si="3"/>
        <v>-112</v>
      </c>
      <c r="H83" s="323">
        <f t="shared" si="3"/>
        <v>-110</v>
      </c>
      <c r="I83" s="1"/>
      <c r="J83" s="1"/>
      <c r="K83" s="1"/>
      <c r="L83" s="1"/>
      <c r="M83" s="1"/>
      <c r="N83" s="1"/>
      <c r="O83" s="1"/>
      <c r="P83" s="1"/>
      <c r="Q83" s="1"/>
      <c r="R83" s="1"/>
    </row>
    <row r="84" spans="1:18" hidden="1" outlineLevel="1" x14ac:dyDescent="0.25">
      <c r="A84" s="262"/>
      <c r="B84" s="180" t="s">
        <v>221</v>
      </c>
      <c r="C84" s="171"/>
      <c r="D84" s="151"/>
      <c r="E84" s="151"/>
      <c r="F84" s="143"/>
      <c r="G84" s="143"/>
      <c r="H84" s="323"/>
      <c r="I84" s="1"/>
      <c r="J84" s="1"/>
      <c r="K84" s="1"/>
      <c r="L84" s="1"/>
      <c r="M84" s="1"/>
      <c r="N84" s="1"/>
      <c r="O84" s="1"/>
      <c r="P84" s="1"/>
      <c r="Q84" s="1"/>
      <c r="R84" s="1"/>
    </row>
    <row r="85" spans="1:18" hidden="1" outlineLevel="1" x14ac:dyDescent="0.25">
      <c r="A85" s="262"/>
      <c r="B85" s="180" t="s">
        <v>223</v>
      </c>
      <c r="C85" s="171"/>
      <c r="D85" s="151"/>
      <c r="E85" s="151"/>
      <c r="F85" s="143"/>
      <c r="G85" s="143">
        <v>0</v>
      </c>
      <c r="H85" s="323">
        <v>4</v>
      </c>
      <c r="I85" s="1"/>
      <c r="J85" s="1"/>
      <c r="K85" s="1"/>
      <c r="L85" s="1"/>
      <c r="M85" s="1"/>
      <c r="N85" s="1"/>
      <c r="O85" s="1"/>
      <c r="P85" s="1"/>
      <c r="Q85" s="1"/>
      <c r="R85" s="1"/>
    </row>
    <row r="86" spans="1:18" hidden="1" outlineLevel="1" x14ac:dyDescent="0.25">
      <c r="A86" s="468"/>
      <c r="B86" s="180" t="s">
        <v>224</v>
      </c>
      <c r="C86" s="171"/>
      <c r="D86" s="151"/>
      <c r="E86" s="151"/>
      <c r="F86" s="143"/>
      <c r="G86" s="143">
        <v>16</v>
      </c>
      <c r="H86" s="323">
        <v>12</v>
      </c>
      <c r="I86" s="1"/>
      <c r="J86" s="1"/>
      <c r="K86" s="1"/>
      <c r="L86" s="1"/>
      <c r="M86" s="1"/>
      <c r="N86" s="1"/>
      <c r="O86" s="1"/>
      <c r="P86" s="1"/>
      <c r="Q86" s="1"/>
      <c r="R86" s="1"/>
    </row>
    <row r="87" spans="1:18" hidden="1" outlineLevel="1" x14ac:dyDescent="0.25">
      <c r="A87" s="262"/>
      <c r="B87" s="180" t="s">
        <v>225</v>
      </c>
      <c r="C87" s="171"/>
      <c r="D87" s="151">
        <v>28</v>
      </c>
      <c r="E87" s="151">
        <v>34</v>
      </c>
      <c r="F87" s="143">
        <v>19</v>
      </c>
      <c r="G87" s="143">
        <f t="shared" ref="G87" si="4">SUM(G85:G86)</f>
        <v>16</v>
      </c>
      <c r="H87" s="323">
        <f>SUM(H85:H86)</f>
        <v>16</v>
      </c>
      <c r="I87" s="1"/>
      <c r="J87" s="1"/>
      <c r="K87" s="1"/>
      <c r="L87" s="1"/>
      <c r="M87" s="1"/>
      <c r="N87" s="1"/>
      <c r="O87" s="1"/>
      <c r="P87" s="1"/>
      <c r="Q87" s="1"/>
      <c r="R87" s="1"/>
    </row>
    <row r="88" spans="1:18" hidden="1" outlineLevel="1" x14ac:dyDescent="0.25">
      <c r="A88" s="180"/>
      <c r="B88" s="180" t="s">
        <v>226</v>
      </c>
      <c r="C88" s="171"/>
      <c r="D88" s="151"/>
      <c r="E88" s="151"/>
      <c r="F88" s="143"/>
      <c r="G88" s="143"/>
      <c r="H88" s="323"/>
      <c r="I88" s="1"/>
      <c r="J88" s="1"/>
      <c r="K88" s="1"/>
      <c r="L88" s="1"/>
      <c r="M88" s="1"/>
      <c r="N88" s="1"/>
      <c r="O88" s="1"/>
      <c r="P88" s="1"/>
      <c r="Q88" s="1"/>
      <c r="R88" s="1"/>
    </row>
    <row r="89" spans="1:18" hidden="1" outlineLevel="1" x14ac:dyDescent="0.25">
      <c r="A89" s="262"/>
      <c r="B89" s="180" t="s">
        <v>228</v>
      </c>
      <c r="C89" s="171"/>
      <c r="D89" s="151">
        <v>125</v>
      </c>
      <c r="E89" s="151">
        <v>125</v>
      </c>
      <c r="F89" s="143">
        <v>104</v>
      </c>
      <c r="G89" s="143">
        <v>102</v>
      </c>
      <c r="H89" s="323">
        <v>94</v>
      </c>
      <c r="I89" s="1"/>
      <c r="J89" s="1"/>
      <c r="K89" s="1"/>
      <c r="L89" s="1"/>
      <c r="M89" s="1"/>
      <c r="N89" s="1"/>
      <c r="O89" s="1"/>
      <c r="P89" s="1"/>
      <c r="Q89" s="1"/>
      <c r="R89" s="1"/>
    </row>
    <row r="90" spans="1:18" hidden="1" outlineLevel="1" x14ac:dyDescent="0.25">
      <c r="A90" s="262"/>
      <c r="B90" s="180" t="s">
        <v>230</v>
      </c>
      <c r="C90" s="171"/>
      <c r="D90" s="151">
        <v>15</v>
      </c>
      <c r="E90" s="151">
        <v>9</v>
      </c>
      <c r="F90" s="143">
        <v>9</v>
      </c>
      <c r="G90" s="143">
        <v>6</v>
      </c>
      <c r="H90" s="323">
        <v>4</v>
      </c>
      <c r="I90" s="1"/>
      <c r="J90" s="1"/>
      <c r="K90" s="1"/>
      <c r="L90" s="1"/>
      <c r="M90" s="1"/>
      <c r="N90" s="1"/>
      <c r="O90" s="1"/>
      <c r="P90" s="1"/>
      <c r="Q90" s="1"/>
      <c r="R90" s="1"/>
    </row>
    <row r="91" spans="1:18" hidden="1" outlineLevel="1" x14ac:dyDescent="0.25">
      <c r="A91" s="262"/>
      <c r="B91" s="180" t="s">
        <v>232</v>
      </c>
      <c r="C91" s="171"/>
      <c r="D91" s="151">
        <v>5</v>
      </c>
      <c r="E91" s="151">
        <v>6</v>
      </c>
      <c r="F91" s="143">
        <v>8</v>
      </c>
      <c r="G91" s="143">
        <v>8</v>
      </c>
      <c r="H91" s="323">
        <v>7</v>
      </c>
      <c r="I91" s="1"/>
      <c r="J91" s="1"/>
      <c r="K91" s="1"/>
      <c r="L91" s="1"/>
      <c r="M91" s="1"/>
      <c r="N91" s="1"/>
      <c r="O91" s="1"/>
      <c r="P91" s="1"/>
      <c r="Q91" s="1"/>
      <c r="R91" s="1"/>
    </row>
    <row r="92" spans="1:18" hidden="1" outlineLevel="1" x14ac:dyDescent="0.25">
      <c r="A92" s="262"/>
      <c r="B92" s="180" t="s">
        <v>234</v>
      </c>
      <c r="C92" s="171"/>
      <c r="D92" s="151">
        <v>0</v>
      </c>
      <c r="E92" s="151">
        <v>1</v>
      </c>
      <c r="F92" s="143">
        <v>2</v>
      </c>
      <c r="G92" s="143">
        <v>2</v>
      </c>
      <c r="H92" s="323">
        <v>1</v>
      </c>
      <c r="I92" s="1"/>
      <c r="J92" s="1"/>
      <c r="K92" s="1"/>
      <c r="L92" s="1"/>
      <c r="M92" s="1"/>
      <c r="N92" s="1"/>
      <c r="O92" s="1"/>
      <c r="P92" s="1"/>
      <c r="Q92" s="1"/>
      <c r="R92" s="1"/>
    </row>
    <row r="93" spans="1:18" hidden="1" outlineLevel="1" x14ac:dyDescent="0.25">
      <c r="A93" s="262"/>
      <c r="B93" s="180" t="s">
        <v>236</v>
      </c>
      <c r="C93" s="171"/>
      <c r="D93" s="151">
        <v>17</v>
      </c>
      <c r="E93" s="151">
        <v>51</v>
      </c>
      <c r="F93" s="143">
        <v>35</v>
      </c>
      <c r="G93" s="143">
        <v>14</v>
      </c>
      <c r="H93" s="323">
        <v>24</v>
      </c>
      <c r="I93" s="1"/>
      <c r="J93" s="1"/>
      <c r="K93" s="1"/>
      <c r="L93" s="1"/>
      <c r="M93" s="1"/>
      <c r="N93" s="1"/>
      <c r="O93" s="1"/>
      <c r="P93" s="1"/>
      <c r="Q93" s="1"/>
      <c r="R93" s="1"/>
    </row>
    <row r="94" spans="1:18" hidden="1" outlineLevel="1" x14ac:dyDescent="0.25">
      <c r="A94" s="262"/>
      <c r="B94" s="180" t="s">
        <v>238</v>
      </c>
      <c r="C94" s="171"/>
      <c r="D94" s="151">
        <v>162</v>
      </c>
      <c r="E94" s="151">
        <f>SUM(E89:E93)</f>
        <v>192</v>
      </c>
      <c r="F94" s="143">
        <f>SUM(F89:F93)</f>
        <v>158</v>
      </c>
      <c r="G94" s="143">
        <f>SUM(G89:G93)</f>
        <v>132</v>
      </c>
      <c r="H94" s="323">
        <f>SUM(H89:H93)</f>
        <v>130</v>
      </c>
      <c r="I94" s="1"/>
      <c r="J94" s="1"/>
      <c r="K94" s="1"/>
      <c r="L94" s="1"/>
      <c r="M94" s="1"/>
      <c r="N94" s="1"/>
      <c r="O94" s="1"/>
      <c r="P94" s="1"/>
      <c r="Q94" s="1"/>
      <c r="R94" s="1"/>
    </row>
    <row r="95" spans="1:18" hidden="1" outlineLevel="1" x14ac:dyDescent="0.25">
      <c r="A95" s="262"/>
      <c r="B95" s="180" t="s">
        <v>240</v>
      </c>
      <c r="C95" s="171"/>
      <c r="D95" s="151">
        <v>0</v>
      </c>
      <c r="E95" s="151">
        <v>0</v>
      </c>
      <c r="F95" s="143">
        <v>0</v>
      </c>
      <c r="G95" s="143">
        <v>0</v>
      </c>
      <c r="H95" s="323">
        <v>0</v>
      </c>
      <c r="I95" s="1"/>
      <c r="J95" s="1"/>
      <c r="K95" s="1"/>
      <c r="L95" s="1"/>
      <c r="M95" s="1"/>
      <c r="N95" s="1"/>
      <c r="O95" s="1"/>
      <c r="P95" s="1"/>
      <c r="Q95" s="1"/>
      <c r="R95" s="1"/>
    </row>
    <row r="96" spans="1:18" hidden="1" outlineLevel="1" x14ac:dyDescent="0.25">
      <c r="A96" s="262"/>
      <c r="B96" s="180" t="s">
        <v>242</v>
      </c>
      <c r="C96" s="171"/>
      <c r="D96" s="151">
        <f>SUM(D94:D95)</f>
        <v>162</v>
      </c>
      <c r="E96" s="151">
        <f>SUM(E94:E95)</f>
        <v>192</v>
      </c>
      <c r="F96" s="143">
        <f>SUM(F94:F95)</f>
        <v>158</v>
      </c>
      <c r="G96" s="143">
        <f>SUM(G94:G95)</f>
        <v>132</v>
      </c>
      <c r="H96" s="323">
        <f>SUM(H94:H95)</f>
        <v>130</v>
      </c>
      <c r="I96" s="1"/>
      <c r="J96" s="1"/>
      <c r="K96" s="1"/>
      <c r="L96" s="1"/>
      <c r="M96" s="1"/>
      <c r="N96" s="1"/>
      <c r="O96" s="1"/>
      <c r="P96" s="1"/>
      <c r="Q96" s="1"/>
      <c r="R96" s="1"/>
    </row>
    <row r="97" spans="1:18" hidden="1" outlineLevel="1" x14ac:dyDescent="0.25">
      <c r="A97" s="262"/>
      <c r="B97" s="180" t="s">
        <v>244</v>
      </c>
      <c r="C97" s="171"/>
      <c r="D97" s="151">
        <v>-4</v>
      </c>
      <c r="E97" s="151">
        <v>-3</v>
      </c>
      <c r="F97" s="143">
        <v>5</v>
      </c>
      <c r="G97" s="143">
        <v>4</v>
      </c>
      <c r="H97" s="323">
        <v>4</v>
      </c>
      <c r="I97" s="1"/>
      <c r="J97" s="1"/>
      <c r="K97" s="1"/>
      <c r="L97" s="1"/>
      <c r="M97" s="1"/>
      <c r="N97" s="1"/>
      <c r="O97" s="1"/>
      <c r="P97" s="1"/>
      <c r="Q97" s="1"/>
      <c r="R97" s="1"/>
    </row>
    <row r="98" spans="1:18" hidden="1" outlineLevel="1" x14ac:dyDescent="0.25">
      <c r="A98" s="262"/>
      <c r="B98" s="180" t="s">
        <v>246</v>
      </c>
      <c r="C98" s="171"/>
      <c r="D98" s="151"/>
      <c r="E98" s="151">
        <v>0</v>
      </c>
      <c r="F98" s="143">
        <v>0</v>
      </c>
      <c r="G98" s="143">
        <v>0</v>
      </c>
      <c r="H98" s="323">
        <v>0</v>
      </c>
      <c r="I98" s="1"/>
      <c r="J98" s="1"/>
      <c r="K98" s="1"/>
      <c r="L98" s="1"/>
      <c r="M98" s="1"/>
      <c r="N98" s="1"/>
      <c r="O98" s="1"/>
      <c r="P98" s="1"/>
      <c r="Q98" s="1"/>
      <c r="R98" s="1"/>
    </row>
    <row r="99" spans="1:18" collapsed="1" x14ac:dyDescent="0.25">
      <c r="A99" s="262"/>
      <c r="B99" s="443" t="s">
        <v>375</v>
      </c>
      <c r="C99" s="171"/>
      <c r="D99" s="151">
        <f>SUM(D82:D83)</f>
        <v>-137</v>
      </c>
      <c r="E99" s="151">
        <f t="shared" ref="E99:H99" si="5">SUM(E82:E83)</f>
        <v>-109</v>
      </c>
      <c r="F99" s="143">
        <f t="shared" si="5"/>
        <v>-134</v>
      </c>
      <c r="G99" s="143">
        <f t="shared" si="5"/>
        <v>-98</v>
      </c>
      <c r="H99" s="323">
        <f t="shared" si="5"/>
        <v>-106</v>
      </c>
      <c r="I99" s="1"/>
      <c r="J99" s="1"/>
      <c r="K99" s="1"/>
      <c r="L99" s="1"/>
      <c r="M99" s="1"/>
      <c r="N99" s="1"/>
      <c r="O99" s="1"/>
      <c r="P99" s="1"/>
      <c r="Q99" s="1"/>
      <c r="R99" s="1"/>
    </row>
    <row r="100" spans="1:18" x14ac:dyDescent="0.25">
      <c r="A100" s="262"/>
      <c r="B100" s="358"/>
      <c r="C100" s="171"/>
      <c r="D100" s="244"/>
      <c r="E100" s="244"/>
      <c r="F100" s="176"/>
      <c r="G100" s="176"/>
      <c r="H100" s="469"/>
      <c r="I100" s="1"/>
      <c r="J100" s="1"/>
      <c r="K100" s="1"/>
      <c r="L100" s="1"/>
      <c r="M100" s="1"/>
      <c r="N100" s="1"/>
      <c r="O100" s="1"/>
      <c r="P100" s="1"/>
      <c r="Q100" s="1"/>
      <c r="R100" s="1"/>
    </row>
    <row r="101" spans="1:18" x14ac:dyDescent="0.25">
      <c r="A101" s="262"/>
      <c r="B101" s="357" t="s">
        <v>304</v>
      </c>
      <c r="C101" s="175"/>
      <c r="D101" s="156">
        <f>SUM(D80,D82,D83)</f>
        <v>78</v>
      </c>
      <c r="E101" s="156">
        <f>SUM(E80,E82,E83)</f>
        <v>334</v>
      </c>
      <c r="F101" s="146">
        <f>SUM(F80,F82,F83)</f>
        <v>576</v>
      </c>
      <c r="G101" s="146">
        <f>SUM(G80,G82,G83)</f>
        <v>490</v>
      </c>
      <c r="H101" s="326">
        <f>SUM(H80,H82,H83)</f>
        <v>581</v>
      </c>
      <c r="I101" s="1"/>
      <c r="J101" s="1"/>
      <c r="K101" s="1"/>
      <c r="L101" s="1"/>
      <c r="M101" s="1"/>
      <c r="N101" s="1"/>
      <c r="O101" s="1"/>
      <c r="P101" s="1"/>
      <c r="Q101" s="1"/>
      <c r="R101" s="1"/>
    </row>
    <row r="102" spans="1:18" x14ac:dyDescent="0.25">
      <c r="A102" s="262"/>
      <c r="B102" s="358"/>
      <c r="C102" s="171"/>
      <c r="D102" s="244"/>
      <c r="E102" s="244"/>
      <c r="F102" s="176"/>
      <c r="G102" s="176"/>
      <c r="H102" s="469"/>
      <c r="I102" s="1"/>
      <c r="J102" s="1"/>
      <c r="K102" s="1"/>
      <c r="L102" s="1"/>
      <c r="M102" s="1"/>
      <c r="N102" s="1"/>
      <c r="O102" s="1"/>
      <c r="P102" s="1"/>
      <c r="Q102" s="1"/>
      <c r="R102" s="1"/>
    </row>
    <row r="103" spans="1:18" hidden="1" outlineLevel="1" x14ac:dyDescent="0.25">
      <c r="A103" s="262"/>
      <c r="B103" s="180" t="s">
        <v>254</v>
      </c>
      <c r="C103" s="171"/>
      <c r="D103" s="151">
        <v>105</v>
      </c>
      <c r="E103" s="151">
        <v>138</v>
      </c>
      <c r="F103" s="143">
        <v>107</v>
      </c>
      <c r="G103" s="143">
        <v>146</v>
      </c>
      <c r="H103" s="323">
        <v>147</v>
      </c>
      <c r="I103" s="1"/>
      <c r="J103" s="1"/>
      <c r="K103" s="1"/>
      <c r="L103" s="1"/>
      <c r="M103" s="1"/>
      <c r="N103" s="1"/>
      <c r="O103" s="1"/>
      <c r="P103" s="1"/>
      <c r="Q103" s="1"/>
      <c r="R103" s="1"/>
    </row>
    <row r="104" spans="1:18" hidden="1" outlineLevel="1" x14ac:dyDescent="0.25">
      <c r="A104" s="262"/>
      <c r="B104" s="180" t="s">
        <v>256</v>
      </c>
      <c r="C104" s="171"/>
      <c r="D104" s="151">
        <v>23</v>
      </c>
      <c r="E104" s="151">
        <v>25</v>
      </c>
      <c r="F104" s="143">
        <v>26</v>
      </c>
      <c r="G104" s="143">
        <v>30</v>
      </c>
      <c r="H104" s="323">
        <v>30</v>
      </c>
      <c r="I104" s="1"/>
      <c r="J104" s="1"/>
      <c r="K104" s="1"/>
      <c r="L104" s="1"/>
      <c r="M104" s="1"/>
      <c r="N104" s="1"/>
      <c r="O104" s="1"/>
      <c r="P104" s="1"/>
      <c r="Q104" s="1"/>
      <c r="R104" s="1"/>
    </row>
    <row r="105" spans="1:18" hidden="1" outlineLevel="1" x14ac:dyDescent="0.25">
      <c r="A105" s="262"/>
      <c r="B105" s="180" t="s">
        <v>258</v>
      </c>
      <c r="C105" s="171"/>
      <c r="D105" s="151">
        <v>-17</v>
      </c>
      <c r="E105" s="151">
        <v>4</v>
      </c>
      <c r="F105" s="143">
        <v>-1</v>
      </c>
      <c r="G105" s="143">
        <v>2</v>
      </c>
      <c r="H105" s="323">
        <v>5</v>
      </c>
      <c r="I105" s="1"/>
      <c r="J105" s="1"/>
      <c r="K105" s="1"/>
      <c r="L105" s="1"/>
      <c r="M105" s="1"/>
      <c r="N105" s="1"/>
      <c r="O105" s="1"/>
      <c r="P105" s="1"/>
      <c r="Q105" s="1"/>
      <c r="R105" s="1"/>
    </row>
    <row r="106" spans="1:18" hidden="1" outlineLevel="1" x14ac:dyDescent="0.25">
      <c r="A106" s="262"/>
      <c r="B106" s="443" t="s">
        <v>260</v>
      </c>
      <c r="C106" s="171"/>
      <c r="D106" s="152">
        <f>SUM(D103:D105)</f>
        <v>111</v>
      </c>
      <c r="E106" s="152">
        <f>SUM(E103:E105)</f>
        <v>167</v>
      </c>
      <c r="F106" s="144">
        <f>SUM(F103:F105)</f>
        <v>132</v>
      </c>
      <c r="G106" s="144">
        <f>SUM(G103:G105)</f>
        <v>178</v>
      </c>
      <c r="H106" s="344">
        <f>SUM(H103:H105)</f>
        <v>182</v>
      </c>
      <c r="I106" s="1"/>
      <c r="J106" s="1"/>
      <c r="K106" s="1"/>
      <c r="L106" s="1"/>
      <c r="M106" s="1"/>
      <c r="N106" s="1"/>
      <c r="O106" s="1"/>
      <c r="P106" s="1"/>
      <c r="Q106" s="1"/>
      <c r="R106" s="1"/>
    </row>
    <row r="107" spans="1:18" hidden="1" outlineLevel="1" x14ac:dyDescent="0.25">
      <c r="A107" s="262"/>
      <c r="B107" s="180" t="s">
        <v>341</v>
      </c>
      <c r="C107" s="171"/>
      <c r="D107" s="151">
        <v>142</v>
      </c>
      <c r="E107" s="151">
        <v>44</v>
      </c>
      <c r="F107" s="143">
        <v>88</v>
      </c>
      <c r="G107" s="143">
        <v>33</v>
      </c>
      <c r="H107" s="323">
        <v>71</v>
      </c>
      <c r="I107" s="1"/>
      <c r="J107" s="1"/>
      <c r="K107" s="1"/>
      <c r="L107" s="1"/>
      <c r="M107" s="1"/>
      <c r="N107" s="1"/>
      <c r="O107" s="1"/>
      <c r="P107" s="1"/>
      <c r="Q107" s="1"/>
      <c r="R107" s="1"/>
    </row>
    <row r="108" spans="1:18" hidden="1" outlineLevel="1" x14ac:dyDescent="0.25">
      <c r="A108" s="262"/>
      <c r="B108" s="180" t="s">
        <v>342</v>
      </c>
      <c r="C108" s="171"/>
      <c r="D108" s="151">
        <v>-120</v>
      </c>
      <c r="E108" s="151">
        <v>-89</v>
      </c>
      <c r="F108" s="143">
        <v>-28</v>
      </c>
      <c r="G108" s="143">
        <v>-54</v>
      </c>
      <c r="H108" s="323">
        <v>-64</v>
      </c>
      <c r="I108" s="1"/>
      <c r="J108" s="1"/>
      <c r="K108" s="1"/>
      <c r="L108" s="1"/>
      <c r="M108" s="1"/>
      <c r="N108" s="1"/>
      <c r="O108" s="1"/>
      <c r="P108" s="1"/>
      <c r="Q108" s="1"/>
      <c r="R108" s="1"/>
    </row>
    <row r="109" spans="1:18" collapsed="1" x14ac:dyDescent="0.25">
      <c r="A109" s="262"/>
      <c r="B109" s="180" t="s">
        <v>305</v>
      </c>
      <c r="C109" s="171"/>
      <c r="D109" s="151">
        <f>-SUM(D106:D108)</f>
        <v>-133</v>
      </c>
      <c r="E109" s="151">
        <f t="shared" ref="E109:H109" si="6">-SUM(E106:E108)</f>
        <v>-122</v>
      </c>
      <c r="F109" s="143">
        <f t="shared" si="6"/>
        <v>-192</v>
      </c>
      <c r="G109" s="143">
        <f t="shared" si="6"/>
        <v>-157</v>
      </c>
      <c r="H109" s="323">
        <f t="shared" si="6"/>
        <v>-189</v>
      </c>
      <c r="I109" s="1"/>
      <c r="J109" s="1"/>
      <c r="K109" s="1"/>
      <c r="L109" s="1"/>
      <c r="M109" s="1"/>
      <c r="N109" s="1"/>
      <c r="O109" s="1"/>
      <c r="P109" s="1"/>
      <c r="Q109" s="1"/>
      <c r="R109" s="1"/>
    </row>
    <row r="110" spans="1:18" x14ac:dyDescent="0.25">
      <c r="A110" s="262"/>
      <c r="B110" s="180" t="s">
        <v>337</v>
      </c>
      <c r="C110" s="171"/>
      <c r="D110" s="151">
        <f>SUM(D111:D112)</f>
        <v>130</v>
      </c>
      <c r="E110" s="151">
        <f t="shared" ref="E110:H110" si="7">SUM(E111:E112)</f>
        <v>20</v>
      </c>
      <c r="F110" s="143">
        <f t="shared" si="7"/>
        <v>-91</v>
      </c>
      <c r="G110" s="143">
        <f t="shared" si="7"/>
        <v>11</v>
      </c>
      <c r="H110" s="323">
        <f t="shared" si="7"/>
        <v>-3</v>
      </c>
      <c r="I110" s="1"/>
      <c r="J110" s="1"/>
      <c r="K110" s="1"/>
      <c r="L110" s="1"/>
      <c r="M110" s="1"/>
      <c r="N110" s="1"/>
      <c r="O110" s="1"/>
      <c r="P110" s="1"/>
      <c r="Q110" s="1"/>
      <c r="R110" s="1"/>
    </row>
    <row r="111" spans="1:18" hidden="1" outlineLevel="1" x14ac:dyDescent="0.25">
      <c r="A111" s="262"/>
      <c r="B111" s="180" t="s">
        <v>269</v>
      </c>
      <c r="C111" s="171"/>
      <c r="D111" s="151">
        <v>0</v>
      </c>
      <c r="E111" s="151">
        <v>19</v>
      </c>
      <c r="F111" s="143">
        <v>-85</v>
      </c>
      <c r="G111" s="143">
        <v>21</v>
      </c>
      <c r="H111" s="323">
        <v>1</v>
      </c>
      <c r="I111" s="1"/>
      <c r="J111" s="124"/>
      <c r="K111" s="1"/>
      <c r="L111" s="1"/>
      <c r="M111" s="1"/>
      <c r="N111" s="1"/>
      <c r="O111" s="1"/>
      <c r="P111" s="1"/>
      <c r="Q111" s="1"/>
      <c r="R111" s="1"/>
    </row>
    <row r="112" spans="1:18" hidden="1" outlineLevel="1" x14ac:dyDescent="0.25">
      <c r="A112" s="262"/>
      <c r="B112" s="180" t="s">
        <v>273</v>
      </c>
      <c r="C112" s="171"/>
      <c r="D112" s="151">
        <v>130</v>
      </c>
      <c r="E112" s="151">
        <v>1</v>
      </c>
      <c r="F112" s="143">
        <v>-6</v>
      </c>
      <c r="G112" s="143">
        <v>-10</v>
      </c>
      <c r="H112" s="323">
        <v>-4</v>
      </c>
      <c r="I112" s="1"/>
      <c r="J112" s="140"/>
      <c r="K112" s="1"/>
      <c r="L112" s="1"/>
      <c r="M112" s="1"/>
      <c r="N112" s="1"/>
      <c r="O112" s="1"/>
      <c r="P112" s="1"/>
      <c r="Q112" s="1"/>
      <c r="R112" s="1"/>
    </row>
    <row r="113" spans="1:18" collapsed="1" x14ac:dyDescent="0.25">
      <c r="A113" s="262"/>
      <c r="B113" s="180"/>
      <c r="C113" s="171"/>
      <c r="D113" s="151"/>
      <c r="E113" s="151"/>
      <c r="F113" s="143"/>
      <c r="G113" s="143"/>
      <c r="H113" s="323"/>
      <c r="I113" s="1"/>
      <c r="J113" s="141"/>
      <c r="K113" s="1"/>
      <c r="L113" s="1"/>
      <c r="M113" s="1"/>
      <c r="N113" s="1"/>
      <c r="O113" s="1"/>
      <c r="P113" s="1"/>
      <c r="Q113" s="1"/>
      <c r="R113" s="1"/>
    </row>
    <row r="114" spans="1:18" ht="15.75" thickBot="1" x14ac:dyDescent="0.3">
      <c r="A114" s="274"/>
      <c r="B114" s="364" t="s">
        <v>338</v>
      </c>
      <c r="C114" s="365"/>
      <c r="D114" s="347">
        <f>SUM(D101,D109:D110)</f>
        <v>75</v>
      </c>
      <c r="E114" s="347">
        <f>SUM(E101,E109:E110)</f>
        <v>232</v>
      </c>
      <c r="F114" s="450">
        <f>SUM(F101,F109:F110)</f>
        <v>293</v>
      </c>
      <c r="G114" s="450">
        <f>SUM(G101,G109:G110)</f>
        <v>344</v>
      </c>
      <c r="H114" s="348">
        <f>SUM(H101,H109:H110)</f>
        <v>389</v>
      </c>
      <c r="I114" s="124"/>
      <c r="J114" s="141"/>
      <c r="K114" s="1"/>
      <c r="L114" s="1"/>
      <c r="M114" s="1"/>
      <c r="N114" s="1"/>
      <c r="O114" s="1"/>
      <c r="P114" s="1"/>
      <c r="Q114" s="1"/>
      <c r="R114" s="1"/>
    </row>
    <row r="115" spans="1:18" x14ac:dyDescent="0.25">
      <c r="A115" s="1"/>
      <c r="B115" s="1"/>
      <c r="C115" s="8"/>
      <c r="D115" s="5"/>
      <c r="E115" s="5"/>
      <c r="F115" s="124"/>
      <c r="G115" s="124"/>
      <c r="H115" s="124"/>
      <c r="I115" s="140"/>
      <c r="J115" s="142"/>
      <c r="K115" s="1"/>
      <c r="L115" s="1"/>
      <c r="M115" s="1"/>
      <c r="N115" s="1"/>
      <c r="O115" s="1"/>
      <c r="P115" s="1"/>
      <c r="Q115" s="1"/>
      <c r="R115" s="1"/>
    </row>
    <row r="116" spans="1:18" x14ac:dyDescent="0.25">
      <c r="A116" s="1"/>
      <c r="B116" s="1"/>
      <c r="C116" s="8"/>
      <c r="D116" s="5"/>
      <c r="E116" s="5"/>
      <c r="F116" s="140"/>
      <c r="G116" s="140"/>
      <c r="H116" s="140"/>
      <c r="I116" s="141"/>
      <c r="J116" s="141"/>
      <c r="K116" s="1"/>
      <c r="L116" s="1"/>
      <c r="M116" s="1"/>
      <c r="N116" s="1"/>
      <c r="O116" s="1"/>
      <c r="P116" s="1"/>
      <c r="Q116" s="1"/>
      <c r="R116" s="1"/>
    </row>
    <row r="117" spans="1:18" x14ac:dyDescent="0.25">
      <c r="A117" s="1"/>
      <c r="B117" s="1"/>
      <c r="C117" s="5"/>
      <c r="D117" s="5"/>
      <c r="E117" s="5"/>
      <c r="F117" s="141"/>
      <c r="G117" s="141"/>
      <c r="H117" s="141"/>
      <c r="I117" s="141"/>
      <c r="J117" s="141"/>
      <c r="K117" s="1"/>
      <c r="L117" s="1"/>
      <c r="M117" s="1"/>
      <c r="N117" s="1"/>
      <c r="O117" s="1"/>
      <c r="P117" s="1"/>
      <c r="Q117" s="1"/>
      <c r="R117" s="1"/>
    </row>
    <row r="118" spans="1:18" x14ac:dyDescent="0.25">
      <c r="A118" s="1"/>
      <c r="B118" s="1"/>
      <c r="C118" s="5"/>
      <c r="D118" s="5"/>
      <c r="E118" s="5"/>
      <c r="F118" s="141"/>
      <c r="G118" s="141"/>
      <c r="H118" s="141"/>
      <c r="I118" s="142"/>
      <c r="J118" s="141"/>
      <c r="K118" s="55"/>
      <c r="L118" s="1"/>
      <c r="M118" s="1"/>
      <c r="N118" s="1"/>
      <c r="O118" s="1"/>
      <c r="P118" s="1"/>
      <c r="Q118" s="1"/>
      <c r="R118" s="1"/>
    </row>
    <row r="119" spans="1:18" x14ac:dyDescent="0.25">
      <c r="A119" s="1"/>
      <c r="B119" s="1"/>
      <c r="C119" s="14"/>
      <c r="D119" s="5"/>
      <c r="E119" s="5"/>
      <c r="F119" s="142"/>
      <c r="G119" s="142"/>
      <c r="H119" s="142"/>
      <c r="I119" s="141"/>
      <c r="J119" s="141"/>
      <c r="K119" s="55"/>
      <c r="L119" s="1"/>
      <c r="M119" s="1"/>
      <c r="N119" s="1"/>
      <c r="O119" s="1"/>
      <c r="P119" s="1"/>
      <c r="Q119" s="1"/>
      <c r="R119" s="1"/>
    </row>
    <row r="120" spans="1:18" x14ac:dyDescent="0.25">
      <c r="A120" s="1"/>
      <c r="B120" s="1"/>
      <c r="C120" s="5"/>
      <c r="D120" s="5"/>
      <c r="E120" s="5"/>
      <c r="F120" s="141"/>
      <c r="G120" s="141"/>
      <c r="H120" s="141"/>
      <c r="I120" s="141"/>
      <c r="J120" s="141"/>
      <c r="K120" s="55"/>
      <c r="L120" s="1"/>
      <c r="M120" s="1"/>
      <c r="N120" s="1"/>
      <c r="O120" s="1"/>
      <c r="P120" s="1"/>
      <c r="Q120" s="1"/>
      <c r="R120" s="1"/>
    </row>
    <row r="121" spans="1:18" x14ac:dyDescent="0.25">
      <c r="A121" s="1"/>
      <c r="B121" s="1"/>
      <c r="C121" s="5"/>
      <c r="D121" s="5"/>
      <c r="E121" s="5"/>
      <c r="F121" s="141"/>
      <c r="G121" s="141"/>
      <c r="H121" s="141"/>
      <c r="I121" s="141"/>
      <c r="J121" s="141"/>
      <c r="K121" s="55"/>
      <c r="L121" s="1"/>
      <c r="M121" s="1"/>
      <c r="N121" s="1"/>
      <c r="O121" s="1"/>
      <c r="P121" s="1"/>
      <c r="Q121" s="1"/>
      <c r="R121" s="1"/>
    </row>
    <row r="122" spans="1:18" x14ac:dyDescent="0.25">
      <c r="A122" s="1"/>
      <c r="B122" s="1"/>
      <c r="C122" s="5"/>
      <c r="D122" s="5"/>
      <c r="E122" s="5"/>
      <c r="F122" s="141"/>
      <c r="G122" s="141"/>
      <c r="H122" s="141"/>
      <c r="I122" s="141"/>
      <c r="J122" s="141"/>
      <c r="K122" s="55"/>
      <c r="L122" s="1"/>
      <c r="M122" s="1"/>
      <c r="N122" s="1"/>
      <c r="O122" s="1"/>
      <c r="P122" s="1"/>
      <c r="Q122" s="1"/>
      <c r="R122" s="1"/>
    </row>
    <row r="123" spans="1:18" x14ac:dyDescent="0.25">
      <c r="A123" s="1"/>
      <c r="B123" s="1"/>
      <c r="C123" s="5"/>
      <c r="D123" s="5"/>
      <c r="E123" s="5"/>
      <c r="F123" s="141"/>
      <c r="G123" s="141"/>
      <c r="H123" s="141"/>
      <c r="I123" s="141"/>
      <c r="J123" s="141"/>
      <c r="K123" s="55"/>
      <c r="L123" s="1"/>
      <c r="M123" s="1"/>
      <c r="N123" s="1"/>
      <c r="O123" s="1"/>
      <c r="P123" s="1"/>
      <c r="Q123" s="1"/>
      <c r="R123" s="1"/>
    </row>
    <row r="124" spans="1:18" x14ac:dyDescent="0.25">
      <c r="A124" s="1"/>
      <c r="B124" s="1"/>
      <c r="C124" s="5"/>
      <c r="D124" s="5"/>
      <c r="E124" s="5"/>
      <c r="F124" s="141"/>
      <c r="G124" s="141"/>
      <c r="H124" s="141"/>
      <c r="I124" s="141"/>
      <c r="J124" s="141"/>
      <c r="K124" s="55"/>
      <c r="L124" s="1"/>
      <c r="M124" s="1"/>
      <c r="N124" s="1"/>
      <c r="O124" s="1"/>
      <c r="P124" s="1"/>
      <c r="Q124" s="1"/>
      <c r="R124" s="1"/>
    </row>
    <row r="125" spans="1:18" x14ac:dyDescent="0.25">
      <c r="A125" s="1"/>
      <c r="B125" s="1"/>
      <c r="C125" s="5"/>
      <c r="D125" s="5"/>
      <c r="E125" s="5"/>
      <c r="F125" s="141"/>
      <c r="G125" s="141"/>
      <c r="H125" s="141"/>
      <c r="I125" s="141"/>
      <c r="J125" s="141"/>
      <c r="K125" s="55"/>
      <c r="L125" s="1"/>
      <c r="M125" s="1"/>
      <c r="N125" s="1"/>
      <c r="O125" s="1"/>
      <c r="P125" s="1"/>
      <c r="Q125" s="1"/>
      <c r="R125" s="1"/>
    </row>
    <row r="126" spans="1:18" x14ac:dyDescent="0.25">
      <c r="A126" s="1"/>
      <c r="B126" s="1"/>
      <c r="C126" s="5"/>
      <c r="D126" s="5"/>
      <c r="E126" s="5"/>
      <c r="F126" s="141"/>
      <c r="G126" s="141"/>
      <c r="H126" s="141"/>
      <c r="I126" s="141"/>
      <c r="J126" s="141"/>
      <c r="K126" s="55"/>
      <c r="L126" s="1"/>
      <c r="M126" s="1"/>
      <c r="N126" s="1"/>
      <c r="O126" s="1"/>
      <c r="P126" s="1"/>
      <c r="Q126" s="1"/>
      <c r="R126" s="1"/>
    </row>
    <row r="127" spans="1:18" x14ac:dyDescent="0.25">
      <c r="A127" s="1"/>
      <c r="B127" s="1"/>
      <c r="C127" s="5"/>
      <c r="D127" s="5"/>
      <c r="E127" s="5"/>
      <c r="F127" s="141"/>
      <c r="G127" s="141"/>
      <c r="H127" s="141"/>
      <c r="I127" s="141"/>
      <c r="J127" s="141"/>
      <c r="K127" s="55"/>
      <c r="L127" s="1"/>
      <c r="M127" s="1"/>
      <c r="N127" s="1"/>
      <c r="O127" s="1"/>
      <c r="P127" s="1"/>
      <c r="Q127" s="1"/>
      <c r="R127" s="1"/>
    </row>
    <row r="128" spans="1:18" x14ac:dyDescent="0.25">
      <c r="A128" s="1"/>
      <c r="B128" s="1"/>
      <c r="C128" s="5"/>
      <c r="D128" s="5"/>
      <c r="E128" s="5"/>
      <c r="F128" s="141"/>
      <c r="G128" s="141"/>
      <c r="H128" s="141"/>
      <c r="I128" s="141"/>
      <c r="J128" s="142"/>
      <c r="K128" s="55"/>
      <c r="L128" s="1"/>
      <c r="M128" s="1"/>
      <c r="N128" s="1"/>
      <c r="O128" s="1"/>
      <c r="P128" s="1"/>
      <c r="Q128" s="1"/>
      <c r="R128" s="1"/>
    </row>
    <row r="129" spans="1:18" x14ac:dyDescent="0.25">
      <c r="A129" s="1"/>
      <c r="B129" s="1"/>
      <c r="C129" s="5"/>
      <c r="D129" s="5"/>
      <c r="E129" s="5"/>
      <c r="F129" s="141"/>
      <c r="G129" s="141"/>
      <c r="H129" s="141"/>
      <c r="I129" s="141"/>
      <c r="J129" s="141"/>
      <c r="K129" s="55"/>
      <c r="L129" s="1"/>
      <c r="M129" s="1"/>
      <c r="N129" s="1"/>
      <c r="O129" s="1"/>
      <c r="P129" s="1"/>
      <c r="Q129" s="1"/>
      <c r="R129" s="1"/>
    </row>
    <row r="130" spans="1:18" x14ac:dyDescent="0.25">
      <c r="A130" s="1"/>
      <c r="B130" s="1"/>
      <c r="C130" s="5"/>
      <c r="D130" s="5"/>
      <c r="E130" s="5"/>
      <c r="F130" s="141"/>
      <c r="G130" s="141"/>
      <c r="H130" s="141"/>
      <c r="I130" s="141"/>
      <c r="J130" s="140"/>
      <c r="K130" s="55"/>
      <c r="L130" s="1"/>
      <c r="M130" s="1"/>
      <c r="N130" s="1"/>
      <c r="O130" s="1"/>
      <c r="P130" s="1"/>
      <c r="Q130" s="1"/>
      <c r="R130" s="1"/>
    </row>
    <row r="131" spans="1:18" x14ac:dyDescent="0.25">
      <c r="A131" s="1"/>
      <c r="B131" s="1"/>
      <c r="C131" s="5"/>
      <c r="D131" s="5"/>
      <c r="E131" s="5"/>
      <c r="F131" s="141"/>
      <c r="G131" s="141"/>
      <c r="H131" s="141"/>
      <c r="I131" s="142"/>
      <c r="J131" s="141"/>
      <c r="K131" s="55"/>
      <c r="L131" s="1"/>
      <c r="M131" s="1"/>
      <c r="N131" s="1"/>
      <c r="O131" s="1"/>
      <c r="P131" s="1"/>
      <c r="Q131" s="1"/>
      <c r="R131" s="1"/>
    </row>
    <row r="132" spans="1:18" x14ac:dyDescent="0.25">
      <c r="A132" s="1"/>
      <c r="B132" s="1"/>
      <c r="C132" s="14"/>
      <c r="D132" s="5"/>
      <c r="E132" s="5"/>
      <c r="F132" s="142"/>
      <c r="G132" s="142"/>
      <c r="H132" s="142"/>
      <c r="I132" s="141"/>
      <c r="J132" s="140"/>
      <c r="K132" s="55"/>
      <c r="L132" s="1"/>
      <c r="M132" s="1"/>
      <c r="N132" s="1"/>
      <c r="O132" s="1"/>
      <c r="P132" s="1"/>
      <c r="Q132" s="1"/>
      <c r="R132" s="1"/>
    </row>
    <row r="133" spans="1:18" x14ac:dyDescent="0.25">
      <c r="A133" s="1"/>
      <c r="B133" s="1"/>
      <c r="C133" s="5"/>
      <c r="D133" s="5"/>
      <c r="E133" s="5"/>
      <c r="F133" s="141"/>
      <c r="G133" s="141"/>
      <c r="H133" s="141"/>
      <c r="I133" s="140"/>
      <c r="J133" s="154"/>
      <c r="K133" s="55"/>
      <c r="L133" s="1"/>
      <c r="M133" s="1"/>
      <c r="N133" s="1"/>
      <c r="O133" s="1"/>
      <c r="P133" s="1"/>
      <c r="Q133" s="1"/>
      <c r="R133" s="1"/>
    </row>
    <row r="134" spans="1:18" x14ac:dyDescent="0.25">
      <c r="A134" s="1"/>
      <c r="B134" s="1"/>
      <c r="C134" s="8"/>
      <c r="D134" s="8"/>
      <c r="E134" s="8"/>
      <c r="F134" s="140"/>
      <c r="G134" s="140"/>
      <c r="H134" s="140"/>
      <c r="I134" s="141"/>
      <c r="J134" s="141"/>
      <c r="K134" s="55"/>
    </row>
    <row r="135" spans="1:18" x14ac:dyDescent="0.25">
      <c r="A135" s="1"/>
      <c r="B135" s="1"/>
      <c r="C135" s="8"/>
      <c r="D135" s="5"/>
      <c r="E135" s="5"/>
      <c r="F135" s="141"/>
      <c r="G135" s="141"/>
      <c r="H135" s="141"/>
      <c r="I135" s="140"/>
      <c r="J135" s="141"/>
      <c r="K135" s="55"/>
    </row>
    <row r="136" spans="1:18" x14ac:dyDescent="0.25">
      <c r="A136" s="1"/>
      <c r="B136" s="1"/>
      <c r="C136" s="8"/>
      <c r="D136" s="5"/>
      <c r="E136" s="5"/>
      <c r="F136" s="140"/>
      <c r="G136" s="140"/>
      <c r="H136" s="140"/>
      <c r="I136" s="154"/>
      <c r="J136" s="141"/>
      <c r="K136" s="55"/>
    </row>
    <row r="137" spans="1:18" x14ac:dyDescent="0.25">
      <c r="A137" s="1"/>
      <c r="B137" s="1"/>
      <c r="C137" s="5"/>
      <c r="D137" s="5"/>
      <c r="E137" s="5"/>
      <c r="F137" s="154"/>
      <c r="G137" s="154"/>
      <c r="H137" s="154"/>
      <c r="I137" s="141"/>
      <c r="J137" s="141"/>
      <c r="K137" s="55"/>
    </row>
    <row r="138" spans="1:18" x14ac:dyDescent="0.25">
      <c r="A138" s="1"/>
      <c r="B138" s="1"/>
      <c r="C138" s="5"/>
      <c r="D138" s="5"/>
      <c r="E138" s="5"/>
      <c r="F138" s="141"/>
      <c r="G138" s="141"/>
      <c r="H138" s="141"/>
      <c r="I138" s="141"/>
      <c r="J138" s="142"/>
      <c r="K138" s="55"/>
    </row>
    <row r="139" spans="1:18" x14ac:dyDescent="0.25">
      <c r="A139" s="1"/>
      <c r="B139" s="1"/>
      <c r="C139" s="5"/>
      <c r="D139" s="5"/>
      <c r="E139" s="5"/>
      <c r="F139" s="141"/>
      <c r="G139" s="141"/>
      <c r="H139" s="141"/>
      <c r="I139" s="141"/>
      <c r="J139" s="141"/>
      <c r="K139" s="55"/>
    </row>
    <row r="140" spans="1:18" x14ac:dyDescent="0.25">
      <c r="A140" s="1"/>
      <c r="B140" s="1"/>
      <c r="C140" s="5"/>
      <c r="D140" s="5"/>
      <c r="E140" s="5"/>
      <c r="F140" s="141"/>
      <c r="G140" s="141"/>
      <c r="H140" s="141"/>
      <c r="I140" s="141"/>
      <c r="J140" s="141"/>
      <c r="K140" s="55"/>
    </row>
    <row r="141" spans="1:18" x14ac:dyDescent="0.25">
      <c r="A141" s="1"/>
      <c r="B141" s="1"/>
      <c r="C141" s="5"/>
      <c r="D141" s="5"/>
      <c r="E141" s="5"/>
      <c r="F141" s="141"/>
      <c r="G141" s="141"/>
      <c r="H141" s="141"/>
      <c r="I141" s="142"/>
      <c r="J141" s="140"/>
      <c r="K141" s="55"/>
    </row>
    <row r="142" spans="1:18" x14ac:dyDescent="0.25">
      <c r="A142" s="1"/>
      <c r="B142" s="1"/>
      <c r="C142" s="14"/>
      <c r="D142" s="5"/>
      <c r="E142" s="5"/>
      <c r="F142" s="142"/>
      <c r="G142" s="142"/>
      <c r="H142" s="142"/>
      <c r="I142" s="141"/>
      <c r="J142" s="140"/>
      <c r="K142" s="55"/>
    </row>
    <row r="143" spans="1:18" x14ac:dyDescent="0.25">
      <c r="A143" s="1"/>
      <c r="B143" s="1"/>
      <c r="C143" s="5"/>
      <c r="D143" s="5"/>
      <c r="E143" s="5"/>
      <c r="F143" s="141"/>
      <c r="G143" s="141"/>
      <c r="H143" s="141"/>
      <c r="I143" s="141"/>
      <c r="J143" s="140"/>
      <c r="K143" s="55"/>
    </row>
    <row r="144" spans="1:18" x14ac:dyDescent="0.25">
      <c r="A144" s="1"/>
      <c r="B144" s="1"/>
      <c r="C144" s="110"/>
      <c r="D144" s="5"/>
      <c r="E144" s="5"/>
      <c r="F144" s="141"/>
      <c r="G144" s="141"/>
      <c r="H144" s="141"/>
      <c r="I144" s="140"/>
      <c r="J144" s="140"/>
      <c r="K144" s="55"/>
    </row>
    <row r="145" spans="1:11" x14ac:dyDescent="0.25">
      <c r="A145" s="1"/>
      <c r="B145" s="1"/>
      <c r="C145" s="8"/>
      <c r="D145" s="5"/>
      <c r="E145" s="5"/>
      <c r="F145" s="140"/>
      <c r="G145" s="141"/>
      <c r="H145" s="140"/>
      <c r="I145" s="140"/>
      <c r="J145" s="141"/>
      <c r="K145" s="55"/>
    </row>
    <row r="146" spans="1:11" x14ac:dyDescent="0.25">
      <c r="A146" s="1"/>
      <c r="B146" s="1"/>
      <c r="C146" s="8"/>
      <c r="D146" s="5"/>
      <c r="E146" s="5"/>
      <c r="F146" s="140"/>
      <c r="G146" s="140"/>
      <c r="H146" s="140"/>
      <c r="I146" s="140"/>
      <c r="J146" s="141"/>
      <c r="K146" s="55"/>
    </row>
    <row r="147" spans="1:11" x14ac:dyDescent="0.25">
      <c r="A147" s="1"/>
      <c r="B147" s="1"/>
      <c r="C147" s="8"/>
      <c r="D147" s="5"/>
      <c r="E147" s="5"/>
      <c r="F147" s="140"/>
      <c r="G147" s="141"/>
      <c r="H147" s="140"/>
      <c r="I147" s="140"/>
      <c r="J147" s="141"/>
      <c r="K147" s="55"/>
    </row>
    <row r="148" spans="1:11" x14ac:dyDescent="0.25">
      <c r="A148" s="1"/>
      <c r="B148" s="1"/>
      <c r="C148" s="5"/>
      <c r="D148" s="5"/>
      <c r="E148" s="5"/>
      <c r="F148" s="141"/>
      <c r="G148" s="141"/>
      <c r="H148" s="141"/>
      <c r="I148" s="141"/>
      <c r="J148" s="141"/>
      <c r="K148" s="55"/>
    </row>
    <row r="149" spans="1:11" x14ac:dyDescent="0.25">
      <c r="A149" s="1"/>
      <c r="B149" s="1"/>
      <c r="C149" s="5"/>
      <c r="D149" s="8"/>
      <c r="E149" s="8"/>
      <c r="F149" s="141"/>
      <c r="G149" s="141"/>
      <c r="H149" s="141"/>
      <c r="I149" s="141"/>
      <c r="J149" s="141"/>
      <c r="K149" s="55"/>
    </row>
    <row r="150" spans="1:11" x14ac:dyDescent="0.25">
      <c r="A150" s="1"/>
      <c r="B150" s="1"/>
      <c r="C150" s="5"/>
      <c r="D150" s="5"/>
      <c r="E150" s="5"/>
      <c r="F150" s="141"/>
      <c r="G150" s="141"/>
      <c r="H150" s="141"/>
      <c r="I150" s="141"/>
      <c r="J150" s="141"/>
      <c r="K150" s="55"/>
    </row>
    <row r="151" spans="1:11" x14ac:dyDescent="0.25">
      <c r="A151" s="1"/>
      <c r="B151" s="1"/>
      <c r="C151" s="5"/>
      <c r="D151" s="5"/>
      <c r="E151" s="5"/>
      <c r="F151" s="141"/>
      <c r="G151" s="141"/>
      <c r="H151" s="141"/>
      <c r="I151" s="141"/>
      <c r="J151" s="141"/>
      <c r="K151" s="55"/>
    </row>
    <row r="152" spans="1:11" x14ac:dyDescent="0.25">
      <c r="A152" s="1"/>
      <c r="B152" s="1"/>
      <c r="C152" s="5"/>
      <c r="D152" s="5"/>
      <c r="E152" s="5"/>
      <c r="F152" s="141"/>
      <c r="G152" s="141"/>
      <c r="H152" s="141"/>
      <c r="I152" s="141"/>
      <c r="J152" s="141"/>
      <c r="K152" s="55"/>
    </row>
    <row r="153" spans="1:11" x14ac:dyDescent="0.25">
      <c r="A153" s="1"/>
      <c r="B153" s="1"/>
      <c r="C153" s="14"/>
      <c r="D153" s="5"/>
      <c r="E153" s="5"/>
      <c r="F153" s="141"/>
      <c r="G153" s="141"/>
      <c r="H153" s="141"/>
      <c r="I153" s="141"/>
      <c r="J153" s="141"/>
      <c r="K153" s="55"/>
    </row>
    <row r="154" spans="1:11" x14ac:dyDescent="0.25">
      <c r="A154" s="1"/>
      <c r="B154" s="1"/>
      <c r="C154" s="5"/>
      <c r="D154" s="5"/>
      <c r="E154" s="5"/>
      <c r="F154" s="141"/>
      <c r="G154" s="141"/>
      <c r="H154" s="141"/>
      <c r="I154" s="141"/>
      <c r="J154" s="141"/>
      <c r="K154" s="55"/>
    </row>
    <row r="155" spans="1:11" x14ac:dyDescent="0.25">
      <c r="A155" s="1"/>
      <c r="B155" s="1"/>
      <c r="C155" s="5"/>
      <c r="D155" s="5"/>
      <c r="E155" s="5"/>
      <c r="F155" s="141"/>
      <c r="G155" s="141"/>
      <c r="H155" s="141"/>
      <c r="I155" s="141"/>
      <c r="J155" s="141"/>
      <c r="K155" s="55"/>
    </row>
    <row r="156" spans="1:11" x14ac:dyDescent="0.25">
      <c r="A156" s="1"/>
      <c r="B156" s="1"/>
      <c r="C156" s="5"/>
      <c r="D156" s="5"/>
      <c r="E156" s="5"/>
      <c r="F156" s="141"/>
      <c r="G156" s="141"/>
      <c r="H156" s="141"/>
      <c r="I156" s="141"/>
      <c r="J156" s="141"/>
      <c r="K156" s="55"/>
    </row>
    <row r="157" spans="1:11" x14ac:dyDescent="0.25">
      <c r="A157" s="1"/>
      <c r="B157" s="1"/>
      <c r="C157" s="5"/>
      <c r="D157" s="5"/>
      <c r="E157" s="5"/>
      <c r="F157" s="141"/>
      <c r="G157" s="141"/>
      <c r="H157" s="141"/>
      <c r="I157" s="141"/>
      <c r="J157" s="141"/>
      <c r="K157" s="55"/>
    </row>
    <row r="158" spans="1:11" x14ac:dyDescent="0.25">
      <c r="A158" s="1"/>
      <c r="B158" s="1"/>
      <c r="C158" s="5"/>
      <c r="D158" s="5"/>
      <c r="E158" s="5"/>
      <c r="F158" s="141"/>
      <c r="G158" s="141"/>
      <c r="H158" s="141"/>
      <c r="I158" s="141"/>
      <c r="J158" s="141"/>
      <c r="K158" s="55"/>
    </row>
    <row r="159" spans="1:11" x14ac:dyDescent="0.25">
      <c r="A159" s="1"/>
      <c r="B159" s="1"/>
      <c r="C159" s="5"/>
      <c r="D159" s="5"/>
      <c r="E159" s="5"/>
      <c r="F159" s="141"/>
      <c r="G159" s="141"/>
      <c r="H159" s="141"/>
      <c r="I159" s="141"/>
      <c r="J159" s="141"/>
      <c r="K159" s="55"/>
    </row>
    <row r="160" spans="1:11" x14ac:dyDescent="0.25">
      <c r="A160" s="1"/>
      <c r="B160" s="1"/>
      <c r="C160" s="14"/>
      <c r="D160" s="5"/>
      <c r="E160" s="5"/>
      <c r="F160" s="141"/>
      <c r="G160" s="141"/>
      <c r="H160" s="141"/>
      <c r="I160" s="141"/>
      <c r="J160" s="55"/>
      <c r="K160" s="55"/>
    </row>
    <row r="161" spans="1:11" x14ac:dyDescent="0.25">
      <c r="A161" s="1"/>
      <c r="B161" s="1"/>
      <c r="C161" s="5"/>
      <c r="D161" s="5"/>
      <c r="E161" s="5"/>
      <c r="F161" s="141"/>
      <c r="G161" s="141"/>
      <c r="H161" s="141"/>
      <c r="I161" s="141"/>
      <c r="J161" s="55"/>
      <c r="K161" s="55"/>
    </row>
    <row r="162" spans="1:11" x14ac:dyDescent="0.25">
      <c r="A162" s="1"/>
      <c r="B162" s="1"/>
      <c r="C162" s="14"/>
      <c r="D162" s="5"/>
      <c r="E162" s="5"/>
      <c r="F162" s="141"/>
      <c r="G162" s="141"/>
      <c r="H162" s="141"/>
      <c r="I162" s="141"/>
      <c r="J162" s="55"/>
      <c r="K162" s="55"/>
    </row>
    <row r="163" spans="1:11" x14ac:dyDescent="0.25">
      <c r="A163" s="1"/>
      <c r="B163" s="1"/>
      <c r="C163" s="14"/>
      <c r="D163" s="110"/>
      <c r="E163" s="110"/>
      <c r="F163" s="141"/>
      <c r="G163" s="141"/>
      <c r="H163" s="141"/>
      <c r="I163" s="55"/>
      <c r="J163" s="55"/>
      <c r="K163" s="55"/>
    </row>
    <row r="164" spans="1:11" x14ac:dyDescent="0.25">
      <c r="A164" s="1"/>
      <c r="B164" s="1"/>
      <c r="C164" s="55"/>
      <c r="D164" s="55"/>
      <c r="E164" s="55"/>
      <c r="F164" s="55"/>
      <c r="G164" s="55"/>
      <c r="H164" s="55"/>
      <c r="I164" s="55"/>
      <c r="J164" s="55"/>
      <c r="K164" s="55"/>
    </row>
    <row r="165" spans="1:11" x14ac:dyDescent="0.25">
      <c r="A165" s="1"/>
      <c r="B165" s="1"/>
      <c r="C165" s="55"/>
      <c r="D165" s="55"/>
      <c r="E165" s="55"/>
      <c r="F165" s="55"/>
      <c r="G165" s="55"/>
      <c r="H165" s="55"/>
      <c r="I165" s="55"/>
      <c r="J165" s="55"/>
      <c r="K165" s="55"/>
    </row>
    <row r="166" spans="1:11" x14ac:dyDescent="0.25">
      <c r="A166" s="1"/>
      <c r="B166" s="1"/>
      <c r="C166" s="55"/>
      <c r="D166" s="55"/>
      <c r="E166" s="55"/>
      <c r="F166" s="55"/>
      <c r="G166" s="55"/>
      <c r="H166" s="55"/>
      <c r="I166" s="55"/>
      <c r="J166" s="55"/>
      <c r="K166" s="55"/>
    </row>
    <row r="167" spans="1:11" x14ac:dyDescent="0.25">
      <c r="A167" s="1"/>
      <c r="B167" s="1"/>
      <c r="C167" s="55"/>
      <c r="D167" s="55"/>
      <c r="E167" s="55"/>
      <c r="F167" s="55"/>
      <c r="G167" s="55"/>
      <c r="H167" s="55"/>
      <c r="I167" s="55"/>
      <c r="J167" s="55"/>
      <c r="K167" s="55"/>
    </row>
    <row r="168" spans="1:11" x14ac:dyDescent="0.25">
      <c r="A168" s="1"/>
      <c r="B168" s="1"/>
      <c r="C168" s="55"/>
      <c r="D168" s="55"/>
      <c r="E168" s="55"/>
      <c r="F168" s="55"/>
      <c r="G168" s="55"/>
      <c r="H168" s="55"/>
      <c r="I168" s="55"/>
      <c r="J168" s="55"/>
      <c r="K168" s="55"/>
    </row>
    <row r="169" spans="1:11" x14ac:dyDescent="0.25">
      <c r="A169" s="1"/>
      <c r="B169" s="1"/>
      <c r="C169" s="55"/>
      <c r="D169" s="55"/>
      <c r="E169" s="55"/>
      <c r="F169" s="55"/>
      <c r="G169" s="55"/>
      <c r="H169" s="55"/>
      <c r="I169" s="55"/>
      <c r="J169" s="55"/>
      <c r="K169" s="55"/>
    </row>
    <row r="170" spans="1:11" x14ac:dyDescent="0.25">
      <c r="A170" s="1"/>
      <c r="B170" s="1"/>
      <c r="C170" s="55"/>
      <c r="D170" s="55"/>
      <c r="E170" s="55"/>
      <c r="F170" s="55"/>
      <c r="G170" s="55"/>
      <c r="H170" s="55"/>
      <c r="I170" s="55"/>
      <c r="J170" s="55"/>
      <c r="K170" s="55"/>
    </row>
    <row r="171" spans="1:11" x14ac:dyDescent="0.25">
      <c r="A171" s="1"/>
      <c r="B171" s="1"/>
      <c r="C171" s="55"/>
      <c r="D171" s="55"/>
      <c r="E171" s="55"/>
      <c r="F171" s="55"/>
      <c r="G171" s="55"/>
      <c r="H171" s="55"/>
      <c r="I171" s="55"/>
      <c r="J171" s="55"/>
      <c r="K171" s="55"/>
    </row>
    <row r="172" spans="1:11" x14ac:dyDescent="0.25">
      <c r="A172" s="1"/>
      <c r="B172" s="1"/>
      <c r="C172" s="55"/>
      <c r="D172" s="55"/>
      <c r="E172" s="55"/>
      <c r="F172" s="55"/>
      <c r="G172" s="55"/>
      <c r="H172" s="55"/>
      <c r="I172" s="55"/>
      <c r="J172" s="55"/>
      <c r="K172" s="55"/>
    </row>
    <row r="173" spans="1:11" x14ac:dyDescent="0.25">
      <c r="A173" s="1"/>
      <c r="B173" s="1"/>
      <c r="C173" s="55"/>
      <c r="D173" s="55"/>
      <c r="E173" s="55"/>
      <c r="F173" s="55"/>
      <c r="G173" s="55"/>
      <c r="H173" s="55"/>
      <c r="I173" s="55"/>
      <c r="J173" s="55"/>
      <c r="K173" s="55"/>
    </row>
    <row r="174" spans="1:11" x14ac:dyDescent="0.25">
      <c r="A174" s="1"/>
      <c r="B174" s="1"/>
      <c r="C174" s="55"/>
      <c r="D174" s="55"/>
      <c r="E174" s="55"/>
      <c r="F174" s="55"/>
      <c r="G174" s="55"/>
      <c r="H174" s="55"/>
      <c r="I174" s="55"/>
      <c r="J174" s="55"/>
      <c r="K174" s="55"/>
    </row>
    <row r="175" spans="1:11" x14ac:dyDescent="0.25">
      <c r="A175" s="1"/>
      <c r="B175" s="1"/>
      <c r="C175" s="55"/>
      <c r="D175" s="55"/>
      <c r="E175" s="55"/>
      <c r="F175" s="55"/>
      <c r="G175" s="55"/>
      <c r="H175" s="55"/>
      <c r="I175" s="55"/>
      <c r="J175" s="55"/>
      <c r="K175" s="55"/>
    </row>
    <row r="176" spans="1:11" x14ac:dyDescent="0.25">
      <c r="A176" s="1"/>
      <c r="B176" s="1"/>
      <c r="C176" s="55"/>
      <c r="D176" s="55"/>
      <c r="E176" s="55"/>
      <c r="F176" s="55"/>
      <c r="G176" s="55"/>
      <c r="H176" s="55"/>
      <c r="I176" s="55"/>
      <c r="J176" s="55"/>
      <c r="K176" s="55"/>
    </row>
    <row r="177" spans="1:14" x14ac:dyDescent="0.25">
      <c r="A177" s="1"/>
      <c r="B177" s="1"/>
      <c r="C177" s="55"/>
      <c r="D177" s="55"/>
      <c r="E177" s="55"/>
      <c r="F177" s="55"/>
      <c r="G177" s="55"/>
      <c r="H177" s="55"/>
      <c r="I177" s="55"/>
      <c r="J177" s="55"/>
      <c r="K177" s="55"/>
    </row>
    <row r="178" spans="1:14" x14ac:dyDescent="0.25">
      <c r="A178" s="1"/>
      <c r="B178" s="1"/>
      <c r="C178" s="55"/>
      <c r="D178" s="55"/>
      <c r="E178" s="55"/>
      <c r="F178" s="55"/>
      <c r="G178" s="55"/>
      <c r="H178" s="55"/>
      <c r="I178" s="55"/>
      <c r="J178" s="55"/>
      <c r="K178" s="55"/>
    </row>
    <row r="179" spans="1:14" x14ac:dyDescent="0.25">
      <c r="A179" s="1"/>
      <c r="B179" s="1"/>
      <c r="C179" s="55"/>
      <c r="D179" s="55"/>
      <c r="E179" s="55"/>
      <c r="F179" s="55"/>
      <c r="G179" s="55"/>
      <c r="H179" s="55"/>
      <c r="I179" s="55"/>
      <c r="J179" s="55"/>
    </row>
    <row r="180" spans="1:14" x14ac:dyDescent="0.25">
      <c r="A180" s="1"/>
      <c r="B180" s="1"/>
      <c r="C180" s="55"/>
      <c r="D180" s="55"/>
      <c r="E180" s="55"/>
      <c r="F180" s="55"/>
      <c r="G180" s="55"/>
      <c r="H180" s="55"/>
      <c r="I180" s="55"/>
    </row>
    <row r="181" spans="1:14" x14ac:dyDescent="0.25">
      <c r="A181" s="1"/>
      <c r="B181" s="1"/>
      <c r="C181" s="55"/>
      <c r="D181" s="55"/>
      <c r="E181" s="55"/>
      <c r="F181" s="55"/>
      <c r="G181" s="55"/>
      <c r="H181" s="55"/>
      <c r="I181" s="55"/>
    </row>
    <row r="182" spans="1:14" x14ac:dyDescent="0.25">
      <c r="A182" s="1"/>
      <c r="B182" s="1"/>
      <c r="C182" s="55"/>
      <c r="D182" s="55"/>
      <c r="E182" s="55"/>
      <c r="F182" s="55"/>
      <c r="G182" s="55"/>
      <c r="H182" s="55"/>
      <c r="I182" s="55"/>
    </row>
    <row r="183" spans="1:14" x14ac:dyDescent="0.25">
      <c r="A183" s="1"/>
      <c r="B183" s="1"/>
      <c r="C183" s="55"/>
      <c r="D183" s="55"/>
      <c r="E183" s="55"/>
      <c r="F183" s="55"/>
      <c r="G183" s="55"/>
      <c r="H183" s="55"/>
    </row>
    <row r="184" spans="1:14" x14ac:dyDescent="0.25">
      <c r="A184" s="1"/>
      <c r="B184" s="1"/>
    </row>
    <row r="185" spans="1:14" x14ac:dyDescent="0.25">
      <c r="A185" s="1"/>
    </row>
    <row r="186" spans="1:14" x14ac:dyDescent="0.25">
      <c r="A186" s="1"/>
    </row>
    <row r="187" spans="1:14" x14ac:dyDescent="0.25">
      <c r="A187" s="1"/>
      <c r="K187" s="1"/>
    </row>
    <row r="188" spans="1:14" x14ac:dyDescent="0.25">
      <c r="A188" s="1"/>
      <c r="J188" s="1"/>
      <c r="K188" s="1"/>
    </row>
    <row r="189" spans="1:14" x14ac:dyDescent="0.25">
      <c r="A189" s="1"/>
      <c r="J189" s="1"/>
      <c r="K189" s="1"/>
    </row>
    <row r="190" spans="1:14" x14ac:dyDescent="0.25">
      <c r="A190" s="1"/>
      <c r="J190" s="1"/>
      <c r="K190" s="1"/>
    </row>
    <row r="191" spans="1:14" x14ac:dyDescent="0.25">
      <c r="A191" s="1"/>
      <c r="I191" s="130"/>
      <c r="J191" s="1"/>
      <c r="K191" s="1"/>
      <c r="L191" s="1"/>
      <c r="M191" s="1"/>
      <c r="N191" s="1"/>
    </row>
    <row r="192" spans="1:14" x14ac:dyDescent="0.25">
      <c r="A192" s="1"/>
      <c r="C192" s="5"/>
      <c r="D192" s="130"/>
      <c r="E192" s="130"/>
      <c r="F192" s="130"/>
      <c r="G192" s="130"/>
      <c r="H192" s="130"/>
      <c r="I192" s="130"/>
      <c r="J192" s="1"/>
      <c r="K192" s="1"/>
      <c r="L192" s="1"/>
      <c r="M192" s="1"/>
      <c r="N192" s="1"/>
    </row>
    <row r="193" spans="1:14" x14ac:dyDescent="0.25">
      <c r="A193" s="1"/>
      <c r="C193" s="5"/>
      <c r="D193" s="130"/>
      <c r="E193" s="130"/>
      <c r="F193" s="130"/>
      <c r="G193" s="130"/>
      <c r="H193" s="130"/>
      <c r="I193" s="130"/>
      <c r="J193" s="1"/>
      <c r="K193" s="1"/>
      <c r="L193" s="1"/>
      <c r="M193" s="1"/>
      <c r="N193" s="1"/>
    </row>
    <row r="194" spans="1:14" x14ac:dyDescent="0.25">
      <c r="A194" s="1"/>
      <c r="C194" s="5"/>
      <c r="D194" s="130"/>
      <c r="E194" s="130"/>
      <c r="F194" s="130"/>
      <c r="G194" s="130"/>
      <c r="H194" s="130"/>
      <c r="I194" s="130"/>
      <c r="J194" s="1"/>
      <c r="K194" s="1"/>
      <c r="L194" s="1"/>
      <c r="M194" s="1"/>
      <c r="N194" s="1"/>
    </row>
    <row r="195" spans="1:14" x14ac:dyDescent="0.25">
      <c r="A195" s="1"/>
      <c r="C195" s="5"/>
      <c r="D195" s="130"/>
      <c r="E195" s="130"/>
      <c r="F195" s="130"/>
      <c r="G195" s="130"/>
      <c r="H195" s="130"/>
      <c r="I195" s="130"/>
      <c r="J195" s="1"/>
      <c r="K195" s="1"/>
      <c r="L195" s="1"/>
      <c r="M195" s="1"/>
      <c r="N195" s="1"/>
    </row>
    <row r="196" spans="1:14" x14ac:dyDescent="0.25">
      <c r="A196" s="1"/>
      <c r="C196" s="130"/>
      <c r="D196" s="130"/>
      <c r="E196" s="130"/>
      <c r="F196" s="130"/>
      <c r="G196" s="130"/>
      <c r="H196" s="130"/>
      <c r="I196" s="130"/>
      <c r="J196" s="1"/>
      <c r="K196" s="1"/>
      <c r="L196" s="1"/>
      <c r="M196" s="1"/>
      <c r="N196" s="1"/>
    </row>
    <row r="197" spans="1:14" x14ac:dyDescent="0.25">
      <c r="A197" s="1"/>
      <c r="C197" s="110"/>
      <c r="D197" s="133"/>
      <c r="E197" s="130"/>
      <c r="F197" s="130"/>
      <c r="G197" s="130"/>
      <c r="H197" s="130"/>
      <c r="I197" s="130"/>
      <c r="J197" s="1"/>
      <c r="K197" s="1"/>
      <c r="L197" s="1"/>
      <c r="M197" s="1"/>
      <c r="N197" s="1"/>
    </row>
    <row r="198" spans="1:14" x14ac:dyDescent="0.25">
      <c r="A198" s="1"/>
      <c r="C198" s="5"/>
      <c r="D198" s="130"/>
      <c r="E198" s="130"/>
      <c r="F198" s="130"/>
      <c r="G198" s="130"/>
      <c r="H198" s="130"/>
      <c r="I198" s="130"/>
      <c r="J198" s="1"/>
      <c r="K198" s="172"/>
      <c r="L198" s="1"/>
      <c r="M198" s="1"/>
      <c r="N198" s="1"/>
    </row>
    <row r="199" spans="1:14" x14ac:dyDescent="0.25">
      <c r="A199" s="1"/>
      <c r="C199" s="137"/>
      <c r="D199" s="137"/>
      <c r="E199" s="130"/>
      <c r="F199" s="130"/>
      <c r="G199" s="130"/>
      <c r="H199" s="130"/>
      <c r="I199" s="130"/>
      <c r="J199" s="1"/>
      <c r="K199" s="1"/>
      <c r="L199" s="1"/>
      <c r="M199" s="1"/>
      <c r="N199" s="1"/>
    </row>
    <row r="200" spans="1:14" x14ac:dyDescent="0.25">
      <c r="A200" s="1"/>
      <c r="C200" s="5"/>
      <c r="D200" s="130"/>
      <c r="E200" s="130"/>
      <c r="F200" s="130"/>
      <c r="G200" s="130"/>
      <c r="H200" s="130"/>
      <c r="I200" s="130"/>
      <c r="J200" s="1"/>
      <c r="K200" s="1"/>
      <c r="L200" s="1"/>
      <c r="M200" s="1"/>
      <c r="N200" s="1"/>
    </row>
    <row r="201" spans="1:14" x14ac:dyDescent="0.25">
      <c r="A201" s="1"/>
      <c r="C201" s="137"/>
      <c r="D201" s="137"/>
      <c r="E201" s="130"/>
      <c r="F201" s="130"/>
      <c r="G201" s="130"/>
      <c r="H201" s="130"/>
      <c r="I201" s="130"/>
      <c r="J201" s="1"/>
      <c r="K201" s="1"/>
      <c r="L201" s="1"/>
      <c r="M201" s="1"/>
      <c r="N201" s="1"/>
    </row>
    <row r="202" spans="1:14" x14ac:dyDescent="0.25">
      <c r="A202" s="1"/>
      <c r="C202" s="110"/>
      <c r="D202" s="130"/>
      <c r="E202" s="130"/>
      <c r="F202" s="130"/>
      <c r="G202" s="130"/>
      <c r="H202" s="130"/>
      <c r="I202" s="130"/>
      <c r="J202" s="1"/>
      <c r="K202" s="1"/>
      <c r="L202" s="1"/>
      <c r="M202" s="1"/>
      <c r="N202" s="1"/>
    </row>
    <row r="203" spans="1:14" x14ac:dyDescent="0.25">
      <c r="A203" s="1"/>
      <c r="C203" s="5"/>
      <c r="D203" s="130"/>
      <c r="E203" s="130"/>
      <c r="F203" s="130"/>
      <c r="G203" s="130"/>
      <c r="H203" s="130"/>
      <c r="I203" s="130"/>
      <c r="J203" s="1"/>
      <c r="K203" s="1"/>
      <c r="L203" s="1"/>
      <c r="M203" s="1"/>
      <c r="N203" s="1"/>
    </row>
    <row r="204" spans="1:14" x14ac:dyDescent="0.25">
      <c r="A204" s="1"/>
      <c r="C204" s="130"/>
      <c r="D204" s="130"/>
      <c r="E204" s="130"/>
      <c r="F204" s="130"/>
      <c r="G204" s="130"/>
      <c r="H204" s="130"/>
      <c r="I204" s="135"/>
      <c r="J204" s="172"/>
      <c r="K204" s="1"/>
      <c r="L204" s="1"/>
      <c r="M204" s="1"/>
      <c r="N204" s="1"/>
    </row>
    <row r="205" spans="1:14" x14ac:dyDescent="0.25">
      <c r="A205" s="1"/>
      <c r="C205" s="135"/>
      <c r="D205" s="135"/>
      <c r="E205" s="135"/>
      <c r="F205" s="135"/>
      <c r="G205" s="135"/>
      <c r="H205" s="135"/>
      <c r="I205" s="130"/>
      <c r="J205" s="1"/>
      <c r="K205" s="1"/>
      <c r="L205" s="1"/>
      <c r="M205" s="1"/>
      <c r="N205" s="1"/>
    </row>
    <row r="206" spans="1:14" ht="24" x14ac:dyDescent="0.4">
      <c r="A206" s="1"/>
      <c r="C206" s="134"/>
      <c r="D206" s="130"/>
      <c r="E206" s="130"/>
      <c r="F206" s="130"/>
      <c r="G206" s="130"/>
      <c r="H206" s="130"/>
      <c r="I206" s="130"/>
      <c r="J206" s="1"/>
      <c r="K206" s="1"/>
      <c r="L206" s="1"/>
      <c r="M206" s="1"/>
      <c r="N206" s="1"/>
    </row>
    <row r="207" spans="1:14" x14ac:dyDescent="0.25">
      <c r="A207" s="1"/>
      <c r="C207" s="1"/>
      <c r="D207" s="130"/>
      <c r="E207" s="130"/>
      <c r="F207" s="130"/>
      <c r="G207" s="130"/>
      <c r="H207" s="130"/>
      <c r="I207" s="130"/>
      <c r="J207" s="1"/>
      <c r="K207" s="1"/>
      <c r="L207" s="1"/>
      <c r="M207" s="1"/>
      <c r="N207" s="1"/>
    </row>
    <row r="208" spans="1:14" x14ac:dyDescent="0.25">
      <c r="A208" s="1"/>
      <c r="C208" s="5"/>
      <c r="D208" s="130"/>
      <c r="E208" s="130"/>
      <c r="F208" s="130"/>
      <c r="G208" s="130"/>
      <c r="H208" s="130"/>
      <c r="I208" s="130"/>
      <c r="J208" s="1"/>
      <c r="K208" s="1"/>
      <c r="L208" s="1"/>
      <c r="M208" s="1"/>
      <c r="N208" s="1"/>
    </row>
    <row r="209" spans="1:14" x14ac:dyDescent="0.25">
      <c r="A209" s="1"/>
      <c r="C209" s="5"/>
      <c r="D209" s="130"/>
      <c r="E209" s="130"/>
      <c r="F209" s="130"/>
      <c r="G209" s="130"/>
      <c r="H209" s="130"/>
      <c r="I209" s="130"/>
      <c r="J209" s="1"/>
      <c r="K209" s="1"/>
      <c r="L209" s="1"/>
      <c r="M209" s="1"/>
      <c r="N209" s="1"/>
    </row>
    <row r="210" spans="1:14" x14ac:dyDescent="0.25">
      <c r="A210" s="1"/>
      <c r="C210" s="110"/>
      <c r="D210" s="130"/>
      <c r="E210" s="130"/>
      <c r="F210" s="139"/>
      <c r="G210" s="130"/>
      <c r="H210" s="130"/>
      <c r="I210" s="130"/>
      <c r="J210" s="1"/>
      <c r="K210" s="1"/>
      <c r="L210" s="1"/>
      <c r="M210" s="1"/>
      <c r="N210" s="1"/>
    </row>
    <row r="211" spans="1:14" x14ac:dyDescent="0.25">
      <c r="A211" s="1"/>
      <c r="C211" s="130"/>
      <c r="D211" s="130"/>
      <c r="E211" s="130"/>
      <c r="F211" s="130"/>
      <c r="G211" s="139"/>
      <c r="H211" s="139"/>
      <c r="I211" s="130"/>
      <c r="J211" s="1"/>
      <c r="K211" s="1"/>
      <c r="L211" s="1"/>
      <c r="M211" s="1"/>
      <c r="N211" s="1"/>
    </row>
    <row r="212" spans="1:14" x14ac:dyDescent="0.25">
      <c r="A212" s="1"/>
      <c r="C212" s="130"/>
      <c r="D212" s="130"/>
      <c r="E212" s="130"/>
      <c r="F212" s="130"/>
      <c r="G212" s="130"/>
      <c r="H212" s="130"/>
      <c r="I212" s="130"/>
      <c r="J212" s="1"/>
      <c r="K212" s="1"/>
      <c r="L212" s="1"/>
      <c r="M212" s="1"/>
      <c r="N212" s="1"/>
    </row>
    <row r="213" spans="1:14" x14ac:dyDescent="0.25">
      <c r="A213" s="1"/>
      <c r="C213" s="110"/>
      <c r="D213" s="130"/>
      <c r="E213" s="130"/>
      <c r="F213" s="130"/>
      <c r="G213" s="130"/>
      <c r="H213" s="130"/>
      <c r="I213" s="130"/>
      <c r="J213" s="1"/>
      <c r="K213" s="1"/>
      <c r="L213" s="1"/>
      <c r="M213" s="1"/>
      <c r="N213" s="1"/>
    </row>
    <row r="214" spans="1:14" x14ac:dyDescent="0.25">
      <c r="A214" s="1"/>
      <c r="C214" s="5"/>
      <c r="D214" s="130"/>
      <c r="E214" s="130"/>
      <c r="F214" s="130"/>
      <c r="G214" s="130"/>
      <c r="H214" s="130"/>
      <c r="I214" s="130"/>
      <c r="J214" s="1"/>
      <c r="K214" s="1"/>
      <c r="L214" s="1"/>
      <c r="M214" s="1"/>
      <c r="N214" s="1"/>
    </row>
    <row r="215" spans="1:14" x14ac:dyDescent="0.25">
      <c r="A215" s="1"/>
      <c r="C215" s="130"/>
      <c r="D215" s="130"/>
      <c r="E215" s="130"/>
      <c r="F215" s="130"/>
      <c r="G215" s="130"/>
      <c r="H215" s="130"/>
      <c r="I215" s="130"/>
      <c r="J215" s="1"/>
      <c r="K215" s="1"/>
      <c r="L215" s="1"/>
      <c r="M215" s="1"/>
      <c r="N215" s="1"/>
    </row>
    <row r="216" spans="1:14" x14ac:dyDescent="0.25">
      <c r="A216" s="1"/>
      <c r="C216" s="130"/>
      <c r="D216" s="130"/>
      <c r="E216" s="130"/>
      <c r="F216" s="130"/>
      <c r="G216" s="130"/>
      <c r="H216" s="130"/>
      <c r="I216" s="130"/>
      <c r="J216" s="1"/>
      <c r="K216" s="1"/>
      <c r="L216" s="1"/>
      <c r="M216" s="1"/>
      <c r="N216" s="1"/>
    </row>
    <row r="217" spans="1:14" x14ac:dyDescent="0.25">
      <c r="A217" s="1"/>
      <c r="C217" s="130"/>
      <c r="D217" s="130"/>
      <c r="E217" s="130"/>
      <c r="F217" s="130"/>
      <c r="G217" s="130"/>
      <c r="H217" s="130"/>
      <c r="I217" s="29"/>
      <c r="J217" s="1"/>
      <c r="K217" s="1"/>
      <c r="L217" s="1"/>
      <c r="M217" s="1"/>
      <c r="N217" s="1"/>
    </row>
    <row r="218" spans="1:14" x14ac:dyDescent="0.25">
      <c r="A218" s="1"/>
      <c r="C218" s="130"/>
      <c r="D218" s="130"/>
      <c r="E218" s="31"/>
      <c r="F218" s="29"/>
      <c r="G218" s="29"/>
      <c r="H218" s="29"/>
      <c r="I218" s="130"/>
      <c r="J218" s="1"/>
      <c r="K218" s="1"/>
      <c r="L218" s="1"/>
      <c r="M218" s="1"/>
      <c r="N218" s="1"/>
    </row>
    <row r="219" spans="1:14" x14ac:dyDescent="0.25">
      <c r="A219" s="1"/>
      <c r="C219" s="5"/>
      <c r="D219" s="130"/>
      <c r="E219" s="130"/>
      <c r="F219" s="130"/>
      <c r="G219" s="130"/>
      <c r="H219" s="130"/>
      <c r="I219" s="138"/>
      <c r="J219" s="1"/>
      <c r="K219" s="1"/>
      <c r="L219" s="1"/>
      <c r="M219" s="1"/>
      <c r="N219" s="1"/>
    </row>
    <row r="220" spans="1:14" x14ac:dyDescent="0.25">
      <c r="A220" s="1"/>
      <c r="C220" s="5"/>
      <c r="D220" s="130"/>
      <c r="E220" s="138"/>
      <c r="F220" s="138"/>
      <c r="G220" s="138"/>
      <c r="H220" s="138"/>
      <c r="I220" s="130"/>
      <c r="J220" s="1"/>
      <c r="K220" s="1"/>
      <c r="L220" s="1"/>
      <c r="M220" s="1"/>
      <c r="N220" s="1"/>
    </row>
    <row r="221" spans="1:14" x14ac:dyDescent="0.25">
      <c r="A221" s="1"/>
      <c r="C221" s="130"/>
      <c r="D221" s="130"/>
      <c r="E221" s="130"/>
      <c r="F221" s="130"/>
      <c r="G221" s="130"/>
      <c r="H221" s="130"/>
      <c r="I221" s="130"/>
      <c r="J221" s="1"/>
      <c r="K221" s="1"/>
      <c r="L221" s="1"/>
      <c r="M221" s="1"/>
      <c r="N221" s="1"/>
    </row>
    <row r="222" spans="1:14" x14ac:dyDescent="0.25">
      <c r="A222" s="1"/>
      <c r="C222" s="5"/>
      <c r="D222" s="130"/>
      <c r="E222" s="130"/>
      <c r="F222" s="130"/>
      <c r="G222" s="130"/>
      <c r="H222" s="130"/>
      <c r="I222" s="130"/>
      <c r="J222" s="1"/>
      <c r="K222" s="1"/>
      <c r="L222" s="1"/>
      <c r="M222" s="1"/>
      <c r="N222" s="1"/>
    </row>
    <row r="223" spans="1:14" x14ac:dyDescent="0.25">
      <c r="A223" s="1"/>
      <c r="C223" s="130"/>
      <c r="D223" s="130"/>
      <c r="E223" s="130"/>
      <c r="F223" s="130"/>
      <c r="G223" s="130"/>
      <c r="H223" s="130"/>
      <c r="I223" s="130"/>
      <c r="J223" s="1"/>
      <c r="K223" s="1"/>
      <c r="L223" s="1"/>
      <c r="M223" s="1"/>
      <c r="N223" s="1"/>
    </row>
    <row r="224" spans="1:14" x14ac:dyDescent="0.25">
      <c r="A224" s="1"/>
      <c r="C224" s="130"/>
      <c r="D224" s="130"/>
      <c r="E224" s="130"/>
      <c r="F224" s="130"/>
      <c r="G224" s="130"/>
      <c r="H224" s="130"/>
      <c r="I224" s="130"/>
      <c r="J224" s="1"/>
      <c r="K224" s="1"/>
      <c r="L224" s="1"/>
      <c r="M224" s="1"/>
      <c r="N224" s="1"/>
    </row>
    <row r="225" spans="1:14" x14ac:dyDescent="0.25">
      <c r="A225" s="1"/>
      <c r="C225" s="1"/>
      <c r="D225" s="130"/>
      <c r="E225" s="130"/>
      <c r="F225" s="130"/>
      <c r="G225" s="130"/>
      <c r="H225" s="130"/>
      <c r="I225" s="130"/>
      <c r="J225" s="1"/>
      <c r="K225" s="1"/>
      <c r="L225" s="1"/>
      <c r="M225" s="1"/>
      <c r="N225" s="1"/>
    </row>
    <row r="226" spans="1:14" x14ac:dyDescent="0.25">
      <c r="A226" s="1"/>
      <c r="C226" s="130"/>
      <c r="D226" s="130"/>
      <c r="E226" s="130"/>
      <c r="F226" s="130"/>
      <c r="G226" s="130"/>
      <c r="H226" s="130"/>
      <c r="I226" s="130"/>
      <c r="J226" s="1"/>
      <c r="K226" s="1"/>
      <c r="L226" s="1"/>
      <c r="M226" s="1"/>
      <c r="N226" s="1"/>
    </row>
    <row r="227" spans="1:14" x14ac:dyDescent="0.25">
      <c r="A227" s="1"/>
      <c r="C227" s="130"/>
      <c r="D227" s="130"/>
      <c r="E227" s="130"/>
      <c r="F227" s="130"/>
      <c r="G227" s="130"/>
      <c r="H227" s="130"/>
      <c r="I227" s="130"/>
      <c r="J227" s="1"/>
      <c r="K227" s="1"/>
      <c r="L227" s="1"/>
      <c r="M227" s="1"/>
      <c r="N227" s="1"/>
    </row>
    <row r="228" spans="1:14" x14ac:dyDescent="0.25">
      <c r="A228" s="1"/>
      <c r="B228" s="1"/>
      <c r="C228" s="130"/>
      <c r="D228" s="130"/>
      <c r="E228" s="130"/>
      <c r="F228" s="130"/>
      <c r="G228" s="130"/>
      <c r="H228" s="130"/>
      <c r="I228" s="130"/>
      <c r="J228" s="1"/>
      <c r="K228" s="1"/>
      <c r="L228" s="1"/>
      <c r="M228" s="1"/>
      <c r="N228" s="1"/>
    </row>
    <row r="229" spans="1:14" x14ac:dyDescent="0.25">
      <c r="A229" s="1"/>
      <c r="B229" s="1"/>
      <c r="C229" s="130"/>
      <c r="D229" s="130"/>
      <c r="E229" s="130"/>
      <c r="F229" s="130"/>
      <c r="G229" s="130"/>
      <c r="H229" s="130"/>
      <c r="I229" s="130"/>
      <c r="J229" s="1"/>
      <c r="K229" s="1"/>
      <c r="L229" s="1"/>
      <c r="M229" s="1"/>
      <c r="N229" s="1"/>
    </row>
    <row r="230" spans="1:14" x14ac:dyDescent="0.25">
      <c r="A230" s="1"/>
      <c r="B230" s="1"/>
      <c r="C230" s="130"/>
      <c r="D230" s="130"/>
      <c r="E230" s="130"/>
      <c r="F230" s="130"/>
      <c r="G230" s="130"/>
      <c r="H230" s="130"/>
      <c r="I230" s="130"/>
      <c r="J230" s="1"/>
      <c r="K230" s="1"/>
      <c r="L230" s="1"/>
      <c r="M230" s="1"/>
      <c r="N230" s="1"/>
    </row>
    <row r="231" spans="1:14" x14ac:dyDescent="0.25">
      <c r="A231" s="1"/>
      <c r="B231" s="1"/>
      <c r="C231" s="130"/>
      <c r="D231" s="130"/>
      <c r="E231" s="130"/>
      <c r="F231" s="130"/>
      <c r="G231" s="130"/>
      <c r="H231" s="130"/>
      <c r="I231" s="130"/>
      <c r="J231" s="1"/>
      <c r="K231" s="1"/>
      <c r="L231" s="1"/>
      <c r="M231" s="1"/>
      <c r="N231" s="1"/>
    </row>
    <row r="232" spans="1:14" x14ac:dyDescent="0.25">
      <c r="A232" s="1"/>
      <c r="B232" s="1"/>
      <c r="C232" s="130"/>
      <c r="D232" s="130"/>
      <c r="E232" s="130"/>
      <c r="F232" s="130"/>
      <c r="G232" s="130"/>
      <c r="H232" s="130"/>
      <c r="I232" s="130"/>
      <c r="J232" s="1"/>
      <c r="K232" s="1"/>
      <c r="L232" s="1"/>
      <c r="M232" s="1"/>
      <c r="N232" s="1"/>
    </row>
    <row r="233" spans="1:14" x14ac:dyDescent="0.25">
      <c r="A233" s="1"/>
      <c r="B233" s="1"/>
      <c r="C233" s="136"/>
      <c r="D233" s="130"/>
      <c r="E233" s="130"/>
      <c r="F233" s="130"/>
      <c r="G233" s="130"/>
      <c r="H233" s="130"/>
      <c r="I233" s="130"/>
      <c r="J233" s="1"/>
      <c r="K233" s="1"/>
      <c r="L233" s="1"/>
      <c r="M233" s="1"/>
      <c r="N233" s="1"/>
    </row>
    <row r="234" spans="1:14" x14ac:dyDescent="0.25">
      <c r="A234" s="1"/>
      <c r="B234" s="1"/>
      <c r="C234" s="136"/>
      <c r="D234" s="130"/>
      <c r="E234" s="130"/>
      <c r="F234" s="130"/>
      <c r="G234" s="130"/>
      <c r="H234" s="130"/>
      <c r="I234" s="130"/>
      <c r="J234" s="1"/>
      <c r="K234" s="1"/>
      <c r="L234" s="1"/>
      <c r="M234" s="1"/>
      <c r="N234" s="1"/>
    </row>
    <row r="235" spans="1:14" x14ac:dyDescent="0.25">
      <c r="A235" s="1"/>
      <c r="B235" s="1"/>
      <c r="C235" s="130"/>
      <c r="D235" s="130"/>
      <c r="E235" s="130"/>
      <c r="F235" s="130"/>
      <c r="G235" s="130"/>
      <c r="H235" s="130"/>
      <c r="I235" s="130"/>
      <c r="J235" s="130"/>
      <c r="K235" s="1"/>
      <c r="L235" s="1"/>
      <c r="M235" s="1"/>
      <c r="N235" s="1"/>
    </row>
    <row r="236" spans="1:14" x14ac:dyDescent="0.25">
      <c r="A236" s="1"/>
      <c r="B236" s="1"/>
      <c r="C236" s="130"/>
      <c r="D236" s="130"/>
      <c r="E236" s="130"/>
      <c r="F236" s="130"/>
      <c r="G236" s="130"/>
      <c r="H236" s="130"/>
      <c r="I236" s="130"/>
      <c r="J236" s="1"/>
      <c r="K236" s="1"/>
      <c r="L236" s="1"/>
      <c r="M236" s="1"/>
      <c r="N236" s="1"/>
    </row>
    <row r="237" spans="1:14" x14ac:dyDescent="0.25">
      <c r="A237" s="1"/>
      <c r="B237" s="1"/>
      <c r="C237" s="130"/>
      <c r="D237" s="130"/>
      <c r="E237" s="130"/>
      <c r="F237" s="130"/>
      <c r="G237" s="130"/>
      <c r="H237" s="130"/>
      <c r="I237" s="130"/>
      <c r="J237" s="1"/>
      <c r="K237" s="1"/>
      <c r="L237" s="1"/>
      <c r="M237" s="1"/>
      <c r="N237" s="1"/>
    </row>
    <row r="238" spans="1:14" x14ac:dyDescent="0.25">
      <c r="A238" s="1"/>
      <c r="B238" s="1"/>
      <c r="C238" s="130"/>
      <c r="D238" s="130"/>
      <c r="E238" s="130"/>
      <c r="F238" s="130"/>
      <c r="G238" s="130"/>
      <c r="H238" s="130"/>
      <c r="I238" s="130"/>
      <c r="J238" s="1"/>
      <c r="K238" s="1"/>
      <c r="L238" s="1"/>
      <c r="M238" s="1"/>
      <c r="N238" s="1"/>
    </row>
    <row r="239" spans="1:14" x14ac:dyDescent="0.25">
      <c r="A239" s="1"/>
      <c r="B239" s="1"/>
      <c r="C239" s="130"/>
      <c r="D239" s="130"/>
      <c r="E239" s="130"/>
      <c r="F239" s="130"/>
      <c r="G239" s="130"/>
      <c r="H239" s="130"/>
      <c r="I239" s="1"/>
      <c r="J239" s="1"/>
      <c r="K239" s="1"/>
      <c r="L239" s="1"/>
      <c r="M239" s="1"/>
      <c r="N239" s="1"/>
    </row>
    <row r="240" spans="1:14" x14ac:dyDescent="0.25">
      <c r="A240" s="1"/>
      <c r="B240" s="1"/>
      <c r="C240" s="1"/>
      <c r="D240" s="1"/>
      <c r="E240" s="1"/>
      <c r="F240" s="1"/>
      <c r="G240" s="1"/>
      <c r="H240" s="1"/>
      <c r="I240" s="130"/>
      <c r="J240" s="1"/>
      <c r="K240" s="1"/>
      <c r="L240" s="1"/>
      <c r="M240" s="1"/>
      <c r="N240" s="1"/>
    </row>
    <row r="241" spans="1:14" x14ac:dyDescent="0.25">
      <c r="A241" s="1"/>
      <c r="B241" s="1"/>
      <c r="C241" s="1"/>
      <c r="D241" s="130"/>
      <c r="E241" s="130"/>
      <c r="F241" s="130"/>
      <c r="G241" s="130"/>
      <c r="H241" s="130"/>
      <c r="I241" s="1"/>
      <c r="J241" s="1"/>
      <c r="K241" s="1"/>
      <c r="L241" s="1"/>
      <c r="M241" s="1"/>
      <c r="N241" s="1"/>
    </row>
    <row r="242" spans="1:14" x14ac:dyDescent="0.25">
      <c r="A242" s="1"/>
      <c r="B242" s="1"/>
      <c r="C242" s="1"/>
      <c r="D242" s="1"/>
      <c r="E242" s="1"/>
      <c r="F242" s="1"/>
      <c r="G242" s="1"/>
      <c r="H242" s="1"/>
    </row>
    <row r="243" spans="1:14" x14ac:dyDescent="0.25">
      <c r="A243" s="1"/>
      <c r="B243" s="1"/>
      <c r="C243" s="1"/>
      <c r="D243" s="1"/>
      <c r="E243" s="1"/>
      <c r="F243" s="1"/>
      <c r="G243" s="1"/>
      <c r="H243" s="1"/>
    </row>
    <row r="244" spans="1:14" x14ac:dyDescent="0.25">
      <c r="A244" s="1"/>
      <c r="B244" s="1"/>
      <c r="C244" s="1"/>
      <c r="D244" s="1"/>
      <c r="E244" s="1"/>
      <c r="F244" s="1"/>
      <c r="G244" s="1"/>
      <c r="H244" s="1"/>
    </row>
    <row r="245" spans="1:14" x14ac:dyDescent="0.25">
      <c r="A245" s="1"/>
      <c r="B245" s="1"/>
      <c r="C245" s="1"/>
      <c r="D245" s="1"/>
      <c r="E245" s="1"/>
      <c r="F245" s="1"/>
      <c r="G245" s="1"/>
      <c r="H245" s="1"/>
    </row>
    <row r="246" spans="1:14" x14ac:dyDescent="0.25">
      <c r="A246" s="1"/>
      <c r="B246" s="1"/>
      <c r="C246" s="1"/>
      <c r="D246" s="1"/>
      <c r="E246" s="1"/>
      <c r="F246" s="1"/>
      <c r="G246" s="1"/>
      <c r="H246" s="1"/>
    </row>
    <row r="247" spans="1:14" x14ac:dyDescent="0.25">
      <c r="A247" s="1"/>
      <c r="B247" s="1"/>
      <c r="C247" s="1"/>
      <c r="D247" s="1"/>
      <c r="E247" s="1"/>
      <c r="F247" s="1"/>
      <c r="G247" s="1"/>
      <c r="H247" s="1"/>
    </row>
    <row r="248" spans="1:14" x14ac:dyDescent="0.25">
      <c r="A248" s="1"/>
      <c r="B248" s="1"/>
      <c r="C248" s="1"/>
      <c r="D248" s="1"/>
      <c r="E248" s="1"/>
      <c r="F248" s="1"/>
      <c r="G248" s="1"/>
      <c r="H248" s="1"/>
    </row>
    <row r="249" spans="1:14" x14ac:dyDescent="0.25">
      <c r="A249" s="1"/>
      <c r="B249" s="1"/>
      <c r="C249" s="1"/>
      <c r="D249" s="1"/>
      <c r="E249" s="1"/>
      <c r="F249" s="1"/>
      <c r="G249" s="1"/>
      <c r="H249" s="1"/>
    </row>
    <row r="250" spans="1:14" x14ac:dyDescent="0.25">
      <c r="A250" s="1"/>
      <c r="B250" s="1"/>
      <c r="C250" s="1"/>
      <c r="D250" s="1"/>
      <c r="E250" s="1"/>
      <c r="F250" s="1"/>
      <c r="G250" s="1"/>
      <c r="H250" s="1"/>
    </row>
    <row r="251" spans="1:14" x14ac:dyDescent="0.25">
      <c r="A251" s="1"/>
      <c r="B251" s="1"/>
      <c r="C251" s="1"/>
      <c r="D251" s="1"/>
      <c r="E251" s="1"/>
      <c r="F251" s="1"/>
      <c r="G251" s="1"/>
      <c r="H251" s="1"/>
    </row>
    <row r="252" spans="1:14" x14ac:dyDescent="0.25">
      <c r="A252" s="1"/>
      <c r="B252" s="1"/>
      <c r="C252" s="1"/>
      <c r="D252" s="1"/>
      <c r="E252" s="1"/>
      <c r="F252" s="1"/>
      <c r="G252" s="1"/>
      <c r="H252" s="1"/>
    </row>
    <row r="253" spans="1:14" x14ac:dyDescent="0.25">
      <c r="A253" s="1"/>
      <c r="B253" s="1"/>
      <c r="C253" s="1"/>
      <c r="D253" s="1"/>
      <c r="E253" s="1"/>
      <c r="F253" s="1"/>
      <c r="G253" s="1"/>
      <c r="H253" s="1"/>
    </row>
    <row r="254" spans="1:14" x14ac:dyDescent="0.25">
      <c r="A254" s="1"/>
      <c r="B254" s="1"/>
      <c r="C254" s="1"/>
      <c r="D254" s="1"/>
      <c r="E254" s="1"/>
      <c r="F254" s="1"/>
      <c r="G254" s="1"/>
      <c r="H254" s="1"/>
    </row>
    <row r="255" spans="1:14" x14ac:dyDescent="0.25">
      <c r="A255" s="1"/>
      <c r="B255" s="1"/>
      <c r="C255" s="1"/>
      <c r="D255" s="1"/>
      <c r="E255" s="1"/>
      <c r="F255" s="1"/>
      <c r="G255" s="1"/>
      <c r="H255" s="1"/>
    </row>
    <row r="256" spans="1:14" x14ac:dyDescent="0.25">
      <c r="A256" s="1"/>
      <c r="B256" s="1"/>
      <c r="C256" s="1"/>
      <c r="D256" s="1"/>
      <c r="E256" s="1"/>
      <c r="F256" s="1"/>
      <c r="G256" s="1"/>
      <c r="H256" s="1"/>
    </row>
    <row r="257" spans="1:8" x14ac:dyDescent="0.25">
      <c r="A257" s="1"/>
      <c r="B257" s="1"/>
      <c r="C257" s="1"/>
      <c r="D257" s="1"/>
      <c r="E257" s="1"/>
      <c r="F257" s="1"/>
      <c r="G257" s="1"/>
      <c r="H257" s="1"/>
    </row>
    <row r="258" spans="1:8" x14ac:dyDescent="0.25">
      <c r="A258" s="1"/>
      <c r="B258" s="1"/>
      <c r="C258" s="1"/>
      <c r="D258" s="1"/>
      <c r="E258" s="1"/>
      <c r="F258" s="1"/>
      <c r="G258" s="1"/>
      <c r="H258" s="1"/>
    </row>
    <row r="259" spans="1:8" x14ac:dyDescent="0.25">
      <c r="A259" s="1"/>
      <c r="B259" s="1"/>
      <c r="C259" s="1"/>
      <c r="D259" s="1"/>
      <c r="E259" s="1"/>
      <c r="F259" s="1"/>
      <c r="G259" s="1"/>
      <c r="H259" s="1"/>
    </row>
    <row r="260" spans="1:8" x14ac:dyDescent="0.25">
      <c r="A260" s="1"/>
      <c r="B260" s="1"/>
      <c r="C260" s="1"/>
      <c r="D260" s="1"/>
      <c r="E260" s="1"/>
      <c r="F260" s="1"/>
      <c r="G260" s="1"/>
      <c r="H260" s="1"/>
    </row>
    <row r="261" spans="1:8" x14ac:dyDescent="0.25">
      <c r="A261" s="1"/>
      <c r="B261" s="1"/>
      <c r="C261" s="1"/>
      <c r="D261" s="1"/>
      <c r="E261" s="1"/>
      <c r="F261" s="1"/>
      <c r="G261" s="1"/>
      <c r="H261" s="1"/>
    </row>
    <row r="262" spans="1:8" x14ac:dyDescent="0.25">
      <c r="A262" s="1"/>
      <c r="B262" s="1"/>
      <c r="C262" s="1"/>
      <c r="D262" s="1"/>
      <c r="E262" s="1"/>
      <c r="F262" s="1"/>
      <c r="G262" s="1"/>
      <c r="H262" s="1"/>
    </row>
    <row r="263" spans="1:8" x14ac:dyDescent="0.25">
      <c r="A263" s="1"/>
      <c r="B263" s="1"/>
      <c r="C263" s="1"/>
      <c r="D263" s="1"/>
      <c r="E263" s="1"/>
      <c r="F263" s="1"/>
      <c r="G263" s="1"/>
      <c r="H263" s="1"/>
    </row>
    <row r="264" spans="1:8" x14ac:dyDescent="0.25">
      <c r="A264" s="1"/>
      <c r="B264" s="1"/>
      <c r="C264" s="1"/>
      <c r="D264" s="1"/>
      <c r="E264" s="1"/>
      <c r="F264" s="1"/>
      <c r="G264" s="1"/>
      <c r="H264" s="1"/>
    </row>
    <row r="265" spans="1:8" x14ac:dyDescent="0.25">
      <c r="A265" s="1"/>
      <c r="B265" s="1"/>
      <c r="C265" s="1"/>
      <c r="D265" s="1"/>
      <c r="E265" s="1"/>
      <c r="F265" s="1"/>
      <c r="G265" s="1"/>
      <c r="H265" s="1"/>
    </row>
    <row r="266" spans="1:8" x14ac:dyDescent="0.25">
      <c r="A266" s="1"/>
      <c r="B266" s="1"/>
      <c r="C266" s="1"/>
      <c r="D266" s="1"/>
      <c r="E266" s="1"/>
      <c r="F266" s="1"/>
      <c r="G266" s="1"/>
      <c r="H266" s="1"/>
    </row>
    <row r="267" spans="1:8" x14ac:dyDescent="0.25">
      <c r="A267" s="1"/>
      <c r="B267" s="1"/>
      <c r="C267" s="1"/>
      <c r="D267" s="1"/>
      <c r="E267" s="1"/>
      <c r="F267" s="1"/>
      <c r="G267" s="1"/>
      <c r="H267" s="1"/>
    </row>
    <row r="268" spans="1:8" x14ac:dyDescent="0.25">
      <c r="A268" s="1"/>
      <c r="B268" s="1"/>
      <c r="C268" s="1"/>
      <c r="D268" s="1"/>
      <c r="E268" s="1"/>
      <c r="F268" s="1"/>
      <c r="G268" s="1"/>
      <c r="H268" s="1"/>
    </row>
    <row r="269" spans="1:8" x14ac:dyDescent="0.25">
      <c r="A269" s="1"/>
      <c r="B269" s="1"/>
      <c r="C269" s="1"/>
      <c r="D269" s="1"/>
      <c r="E269" s="1"/>
      <c r="F269" s="1"/>
      <c r="G269" s="1"/>
      <c r="H269" s="1"/>
    </row>
    <row r="270" spans="1:8" x14ac:dyDescent="0.25">
      <c r="A270" s="1"/>
      <c r="B270" s="1"/>
      <c r="C270" s="1"/>
      <c r="D270" s="1"/>
      <c r="E270" s="1"/>
      <c r="F270" s="1"/>
      <c r="G270" s="1"/>
      <c r="H270" s="1"/>
    </row>
    <row r="271" spans="1:8" x14ac:dyDescent="0.25">
      <c r="A271" s="1"/>
      <c r="B271" s="1"/>
      <c r="C271" s="1"/>
      <c r="D271" s="1"/>
      <c r="E271" s="1"/>
      <c r="F271" s="1"/>
      <c r="G271" s="1"/>
      <c r="H271" s="1"/>
    </row>
    <row r="272" spans="1:8" x14ac:dyDescent="0.25">
      <c r="A272" s="1"/>
      <c r="B272" s="1"/>
      <c r="C272" s="1"/>
      <c r="D272" s="1"/>
      <c r="E272" s="1"/>
      <c r="F272" s="1"/>
      <c r="G272" s="1"/>
      <c r="H272" s="1"/>
    </row>
    <row r="273" spans="1:8" x14ac:dyDescent="0.25">
      <c r="A273" s="1"/>
      <c r="B273" s="1"/>
      <c r="C273" s="1"/>
      <c r="D273" s="1"/>
      <c r="E273" s="1"/>
      <c r="F273" s="1"/>
      <c r="G273" s="1"/>
      <c r="H273" s="1"/>
    </row>
    <row r="274" spans="1:8" x14ac:dyDescent="0.25">
      <c r="A274" s="1"/>
      <c r="B274" s="1"/>
      <c r="C274" s="1"/>
      <c r="D274" s="1"/>
      <c r="E274" s="1"/>
      <c r="F274" s="1"/>
      <c r="G274" s="1"/>
      <c r="H274" s="1"/>
    </row>
    <row r="275" spans="1:8" x14ac:dyDescent="0.25">
      <c r="A275" s="1"/>
      <c r="B275" s="1"/>
      <c r="C275" s="1"/>
      <c r="D275" s="1"/>
      <c r="E275" s="1"/>
      <c r="F275" s="1"/>
      <c r="G275" s="1"/>
      <c r="H275" s="1"/>
    </row>
    <row r="276" spans="1:8" x14ac:dyDescent="0.25">
      <c r="A276" s="1"/>
      <c r="B276" s="1"/>
      <c r="C276" s="1"/>
      <c r="D276" s="1"/>
      <c r="E276" s="1"/>
      <c r="F276" s="1"/>
      <c r="G276" s="1"/>
      <c r="H276" s="1"/>
    </row>
    <row r="277" spans="1:8" x14ac:dyDescent="0.25">
      <c r="A277" s="1"/>
      <c r="B277" s="1"/>
      <c r="C277" s="1"/>
      <c r="D277" s="1"/>
      <c r="E277" s="1"/>
      <c r="F277" s="1"/>
      <c r="G277" s="1"/>
      <c r="H277" s="1"/>
    </row>
    <row r="278" spans="1:8" x14ac:dyDescent="0.25">
      <c r="A278" s="1"/>
      <c r="B278" s="1"/>
      <c r="C278" s="1"/>
      <c r="D278" s="1"/>
      <c r="E278" s="1"/>
      <c r="F278" s="1"/>
      <c r="G278" s="1"/>
      <c r="H278" s="1"/>
    </row>
    <row r="279" spans="1:8" x14ac:dyDescent="0.25">
      <c r="A279" s="1"/>
      <c r="B279" s="1"/>
      <c r="C279" s="1"/>
      <c r="D279" s="1"/>
      <c r="E279" s="1"/>
      <c r="F279" s="1"/>
      <c r="G279" s="1"/>
      <c r="H279" s="1"/>
    </row>
    <row r="280" spans="1:8" x14ac:dyDescent="0.25">
      <c r="A280" s="1"/>
      <c r="B280" s="1"/>
      <c r="C280" s="1"/>
      <c r="D280" s="1"/>
      <c r="E280" s="1"/>
      <c r="F280" s="1"/>
      <c r="G280" s="1"/>
      <c r="H280" s="1"/>
    </row>
    <row r="281" spans="1:8" x14ac:dyDescent="0.25">
      <c r="A281" s="1"/>
      <c r="B281" s="1"/>
      <c r="C281" s="1"/>
      <c r="D281" s="1"/>
      <c r="E281" s="1"/>
      <c r="F281" s="1"/>
      <c r="G281" s="1"/>
      <c r="H281" s="1"/>
    </row>
    <row r="282" spans="1:8" x14ac:dyDescent="0.25">
      <c r="A282" s="1"/>
      <c r="B282" s="1"/>
      <c r="C282" s="1"/>
      <c r="D282" s="1"/>
      <c r="E282" s="1"/>
      <c r="F282" s="1"/>
      <c r="G282" s="1"/>
      <c r="H282" s="1"/>
    </row>
    <row r="283" spans="1:8" x14ac:dyDescent="0.25">
      <c r="A283" s="1"/>
      <c r="B283" s="1"/>
      <c r="C283" s="1"/>
      <c r="D283" s="1"/>
      <c r="E283" s="1"/>
      <c r="F283" s="1"/>
      <c r="G283" s="1"/>
      <c r="H283" s="1"/>
    </row>
    <row r="284" spans="1:8" x14ac:dyDescent="0.25">
      <c r="A284" s="1"/>
      <c r="B284" s="1"/>
      <c r="C284" s="1"/>
      <c r="D284" s="1"/>
      <c r="E284" s="1"/>
      <c r="F284" s="1"/>
      <c r="G284" s="1"/>
      <c r="H284" s="1"/>
    </row>
    <row r="285" spans="1:8" x14ac:dyDescent="0.25">
      <c r="A285" s="1"/>
      <c r="B285" s="1"/>
      <c r="C285" s="1"/>
      <c r="D285" s="1"/>
      <c r="E285" s="1"/>
      <c r="F285" s="1"/>
      <c r="G285" s="1"/>
      <c r="H285" s="1"/>
    </row>
    <row r="286" spans="1:8" x14ac:dyDescent="0.25">
      <c r="A286" s="1"/>
      <c r="B286" s="1"/>
      <c r="C286" s="1"/>
      <c r="D286" s="1"/>
      <c r="E286" s="1"/>
      <c r="F286" s="1"/>
      <c r="G286" s="1"/>
      <c r="H286" s="1"/>
    </row>
    <row r="287" spans="1:8" x14ac:dyDescent="0.25">
      <c r="A287" s="1"/>
      <c r="B287" s="1"/>
      <c r="C287" s="1"/>
      <c r="D287" s="1"/>
      <c r="E287" s="1"/>
      <c r="F287" s="1"/>
      <c r="G287" s="1"/>
      <c r="H287" s="1"/>
    </row>
    <row r="288" spans="1:8" x14ac:dyDescent="0.25">
      <c r="A288" s="1"/>
      <c r="B288" s="1"/>
      <c r="C288" s="1"/>
      <c r="D288" s="1"/>
      <c r="E288" s="1"/>
      <c r="F288" s="1"/>
      <c r="G288" s="1"/>
      <c r="H288" s="1"/>
    </row>
    <row r="289" spans="1:8" x14ac:dyDescent="0.25">
      <c r="A289" s="1"/>
      <c r="B289" s="1"/>
      <c r="C289" s="1"/>
      <c r="D289" s="1"/>
      <c r="E289" s="1"/>
      <c r="F289" s="1"/>
      <c r="G289" s="1"/>
      <c r="H289" s="1"/>
    </row>
    <row r="290" spans="1:8" x14ac:dyDescent="0.25">
      <c r="A290" s="1"/>
      <c r="B290" s="1"/>
      <c r="C290" s="1"/>
      <c r="D290" s="1"/>
      <c r="E290" s="1"/>
      <c r="F290" s="1"/>
      <c r="G290" s="1"/>
      <c r="H290" s="1"/>
    </row>
    <row r="291" spans="1:8" x14ac:dyDescent="0.25">
      <c r="A291" s="1"/>
      <c r="B291" s="1"/>
      <c r="C291" s="1"/>
      <c r="D291" s="1"/>
      <c r="E291" s="1"/>
      <c r="F291" s="1"/>
      <c r="G291" s="1"/>
      <c r="H291" s="1"/>
    </row>
    <row r="292" spans="1:8" x14ac:dyDescent="0.25">
      <c r="A292" s="1"/>
      <c r="B292" s="1"/>
      <c r="C292" s="1"/>
      <c r="D292" s="1"/>
      <c r="E292" s="1"/>
      <c r="F292" s="1"/>
      <c r="G292" s="1"/>
      <c r="H292" s="1"/>
    </row>
    <row r="293" spans="1:8" x14ac:dyDescent="0.25">
      <c r="A293" s="1"/>
      <c r="B293" s="1"/>
      <c r="C293" s="1"/>
      <c r="D293" s="1"/>
      <c r="E293" s="1"/>
      <c r="F293" s="1"/>
      <c r="G293" s="1"/>
      <c r="H293" s="1"/>
    </row>
    <row r="294" spans="1:8" x14ac:dyDescent="0.25">
      <c r="A294" s="1"/>
      <c r="B294" s="1"/>
      <c r="C294" s="1"/>
      <c r="D294" s="1"/>
      <c r="E294" s="1"/>
      <c r="F294" s="1"/>
      <c r="G294" s="1"/>
      <c r="H294" s="1"/>
    </row>
    <row r="295" spans="1:8" x14ac:dyDescent="0.25">
      <c r="A295" s="1"/>
      <c r="B295" s="1"/>
      <c r="C295" s="1"/>
      <c r="D295" s="1"/>
      <c r="E295" s="1"/>
      <c r="F295" s="1"/>
      <c r="G295" s="1"/>
      <c r="H295" s="1"/>
    </row>
    <row r="296" spans="1:8" x14ac:dyDescent="0.25">
      <c r="A296" s="1"/>
      <c r="B296" s="1"/>
      <c r="C296" s="1"/>
      <c r="D296" s="1"/>
      <c r="E296" s="1"/>
      <c r="F296" s="1"/>
      <c r="G296" s="1"/>
      <c r="H296" s="1"/>
    </row>
    <row r="297" spans="1:8" x14ac:dyDescent="0.25">
      <c r="A297" s="1"/>
      <c r="B297" s="1"/>
      <c r="C297" s="1"/>
      <c r="D297" s="1"/>
      <c r="E297" s="1"/>
      <c r="F297" s="1"/>
      <c r="G297" s="1"/>
      <c r="H297" s="1"/>
    </row>
    <row r="298" spans="1:8" x14ac:dyDescent="0.25">
      <c r="A298" s="1"/>
      <c r="B298" s="1"/>
      <c r="C298" s="1"/>
      <c r="D298" s="1"/>
      <c r="E298" s="1"/>
      <c r="F298" s="1"/>
      <c r="G298" s="1"/>
      <c r="H298" s="1"/>
    </row>
    <row r="299" spans="1:8" x14ac:dyDescent="0.25">
      <c r="A299" s="1"/>
      <c r="B299" s="1"/>
      <c r="C299" s="1"/>
      <c r="D299" s="1"/>
      <c r="E299" s="1"/>
      <c r="F299" s="1"/>
      <c r="G299" s="1"/>
      <c r="H299" s="1"/>
    </row>
    <row r="300" spans="1:8" x14ac:dyDescent="0.25">
      <c r="A300" s="1"/>
      <c r="B300" s="1"/>
      <c r="C300" s="1"/>
      <c r="D300" s="1"/>
      <c r="E300" s="1"/>
      <c r="F300" s="1"/>
      <c r="G300" s="1"/>
      <c r="H300" s="1"/>
    </row>
    <row r="301" spans="1:8" x14ac:dyDescent="0.25">
      <c r="A301" s="1"/>
      <c r="B301" s="1"/>
      <c r="C301" s="1"/>
      <c r="D301" s="1"/>
      <c r="E301" s="1"/>
      <c r="F301" s="1"/>
      <c r="G301" s="1"/>
      <c r="H301" s="1"/>
    </row>
    <row r="302" spans="1:8" x14ac:dyDescent="0.25">
      <c r="A302" s="1"/>
      <c r="B302" s="1"/>
      <c r="C302" s="1"/>
      <c r="D302" s="1"/>
      <c r="E302" s="1"/>
      <c r="F302" s="1"/>
      <c r="G302" s="1"/>
      <c r="H302" s="1"/>
    </row>
    <row r="303" spans="1:8" x14ac:dyDescent="0.25">
      <c r="A303" s="1"/>
      <c r="B303" s="1"/>
      <c r="C303" s="1"/>
      <c r="D303" s="1"/>
      <c r="E303" s="1"/>
      <c r="F303" s="1"/>
      <c r="G303" s="1"/>
      <c r="H303" s="1"/>
    </row>
    <row r="304" spans="1:8" x14ac:dyDescent="0.25">
      <c r="A304" s="1"/>
      <c r="B304" s="1"/>
      <c r="C304" s="1"/>
      <c r="D304" s="1"/>
      <c r="E304" s="1"/>
      <c r="F304" s="1"/>
      <c r="G304" s="1"/>
      <c r="H304" s="1"/>
    </row>
    <row r="305" spans="1:8" x14ac:dyDescent="0.25">
      <c r="A305" s="1"/>
      <c r="B305" s="1"/>
      <c r="C305" s="1"/>
      <c r="D305" s="1"/>
      <c r="E305" s="1"/>
      <c r="F305" s="1"/>
      <c r="G305" s="1"/>
      <c r="H305" s="1"/>
    </row>
    <row r="306" spans="1:8" x14ac:dyDescent="0.25">
      <c r="A306" s="1"/>
      <c r="B306" s="1"/>
      <c r="C306" s="1"/>
      <c r="D306" s="1"/>
      <c r="E306" s="1"/>
      <c r="F306" s="1"/>
      <c r="G306" s="1"/>
      <c r="H306" s="1"/>
    </row>
    <row r="307" spans="1:8" x14ac:dyDescent="0.25">
      <c r="A307" s="1"/>
      <c r="B307" s="1"/>
      <c r="C307" s="1"/>
      <c r="D307" s="1"/>
      <c r="E307" s="1"/>
      <c r="F307" s="1"/>
      <c r="G307" s="1"/>
      <c r="H307" s="1"/>
    </row>
    <row r="308" spans="1:8" x14ac:dyDescent="0.25">
      <c r="A308" s="1"/>
      <c r="B308" s="1"/>
      <c r="C308" s="1"/>
      <c r="D308" s="1"/>
      <c r="E308" s="1"/>
      <c r="F308" s="1"/>
      <c r="G308" s="1"/>
      <c r="H308" s="1"/>
    </row>
    <row r="309" spans="1:8" x14ac:dyDescent="0.25">
      <c r="A309" s="1"/>
      <c r="B309" s="1"/>
      <c r="C309" s="1"/>
      <c r="D309" s="1"/>
      <c r="E309" s="1"/>
      <c r="F309" s="1"/>
      <c r="G309" s="1"/>
      <c r="H309" s="1"/>
    </row>
    <row r="310" spans="1:8" x14ac:dyDescent="0.25">
      <c r="A310" s="1"/>
      <c r="B310" s="1"/>
      <c r="C310" s="1"/>
      <c r="D310" s="1"/>
      <c r="E310" s="1"/>
      <c r="F310" s="1"/>
      <c r="G310" s="1"/>
      <c r="H310" s="1"/>
    </row>
    <row r="311" spans="1:8" x14ac:dyDescent="0.25">
      <c r="A311" s="1"/>
      <c r="B311" s="1"/>
      <c r="C311" s="1"/>
      <c r="D311" s="1"/>
      <c r="E311" s="1"/>
      <c r="F311" s="1"/>
      <c r="G311" s="1"/>
      <c r="H311" s="1"/>
    </row>
    <row r="312" spans="1:8" x14ac:dyDescent="0.25">
      <c r="A312" s="1"/>
      <c r="B312" s="1"/>
      <c r="C312" s="1"/>
      <c r="D312" s="1"/>
      <c r="E312" s="1"/>
      <c r="F312" s="1"/>
      <c r="G312" s="1"/>
      <c r="H312" s="1"/>
    </row>
    <row r="313" spans="1:8" x14ac:dyDescent="0.25">
      <c r="A313" s="1"/>
      <c r="B313" s="1"/>
      <c r="C313" s="1"/>
      <c r="D313" s="1"/>
      <c r="E313" s="1"/>
      <c r="F313" s="1"/>
      <c r="G313" s="1"/>
      <c r="H313" s="1"/>
    </row>
    <row r="314" spans="1:8" x14ac:dyDescent="0.25">
      <c r="A314" s="1"/>
      <c r="B314" s="1"/>
      <c r="C314" s="1"/>
      <c r="D314" s="1"/>
      <c r="E314" s="1"/>
      <c r="F314" s="1"/>
      <c r="G314" s="1"/>
      <c r="H314" s="1"/>
    </row>
    <row r="315" spans="1:8" x14ac:dyDescent="0.25">
      <c r="A315" s="1"/>
      <c r="B315" s="1"/>
      <c r="C315" s="1"/>
      <c r="D315" s="1"/>
      <c r="E315" s="1"/>
      <c r="F315" s="1"/>
      <c r="G315" s="1"/>
      <c r="H315" s="1"/>
    </row>
    <row r="316" spans="1:8" x14ac:dyDescent="0.25">
      <c r="A316" s="1"/>
      <c r="B316" s="1"/>
      <c r="C316" s="1"/>
      <c r="D316" s="1"/>
      <c r="E316" s="1"/>
      <c r="F316" s="1"/>
      <c r="G316" s="1"/>
      <c r="H316" s="1"/>
    </row>
    <row r="317" spans="1:8" x14ac:dyDescent="0.25">
      <c r="A317" s="1"/>
      <c r="B317" s="1"/>
      <c r="C317" s="1"/>
      <c r="D317" s="1"/>
      <c r="E317" s="1"/>
      <c r="F317" s="1"/>
      <c r="G317" s="1"/>
      <c r="H317" s="1"/>
    </row>
    <row r="318" spans="1:8" x14ac:dyDescent="0.25">
      <c r="A318" s="1"/>
      <c r="B318" s="1"/>
      <c r="C318" s="1"/>
      <c r="D318" s="1"/>
      <c r="E318" s="1"/>
      <c r="F318" s="1"/>
      <c r="G318" s="1"/>
      <c r="H318" s="1"/>
    </row>
    <row r="319" spans="1:8" x14ac:dyDescent="0.25">
      <c r="A319" s="1"/>
      <c r="B319" s="1"/>
      <c r="C319" s="1"/>
      <c r="D319" s="1"/>
      <c r="E319" s="1"/>
      <c r="F319" s="1"/>
      <c r="G319" s="1"/>
      <c r="H319" s="1"/>
    </row>
    <row r="320" spans="1:8" x14ac:dyDescent="0.25">
      <c r="A320" s="1"/>
      <c r="B320" s="1"/>
      <c r="C320" s="1"/>
      <c r="D320" s="1"/>
      <c r="E320" s="1"/>
      <c r="F320" s="1"/>
      <c r="G320" s="1"/>
      <c r="H320" s="1"/>
    </row>
    <row r="321" spans="1:8" x14ac:dyDescent="0.25">
      <c r="A321" s="1"/>
      <c r="B321" s="1"/>
      <c r="C321" s="1"/>
      <c r="D321" s="1"/>
      <c r="E321" s="1"/>
      <c r="F321" s="1"/>
      <c r="G321" s="1"/>
      <c r="H321" s="1"/>
    </row>
    <row r="322" spans="1:8" x14ac:dyDescent="0.25">
      <c r="A322" s="1"/>
      <c r="B322" s="1"/>
      <c r="C322" s="1"/>
      <c r="D322" s="1"/>
      <c r="E322" s="1"/>
      <c r="F322" s="1"/>
      <c r="G322" s="1"/>
      <c r="H322" s="1"/>
    </row>
    <row r="323" spans="1:8" x14ac:dyDescent="0.25">
      <c r="A323" s="1"/>
      <c r="B323" s="1"/>
      <c r="C323" s="1"/>
      <c r="D323" s="1"/>
      <c r="E323" s="1"/>
      <c r="F323" s="1"/>
      <c r="G323" s="1"/>
      <c r="H323" s="1"/>
    </row>
    <row r="324" spans="1:8" x14ac:dyDescent="0.25">
      <c r="A324" s="1"/>
      <c r="B324" s="1"/>
      <c r="C324" s="1"/>
      <c r="D324" s="1"/>
      <c r="E324" s="1"/>
      <c r="F324" s="1"/>
      <c r="G324" s="1"/>
      <c r="H324" s="1"/>
    </row>
    <row r="325" spans="1:8" x14ac:dyDescent="0.25">
      <c r="A325" s="1"/>
      <c r="B325" s="1"/>
      <c r="C325" s="1"/>
      <c r="D325" s="1"/>
      <c r="E325" s="1"/>
      <c r="F325" s="1"/>
      <c r="G325" s="1"/>
      <c r="H325" s="1"/>
    </row>
    <row r="326" spans="1:8" x14ac:dyDescent="0.25">
      <c r="A326" s="1"/>
      <c r="B326" s="1"/>
      <c r="C326" s="1"/>
      <c r="D326" s="1"/>
      <c r="E326" s="1"/>
      <c r="F326" s="1"/>
      <c r="G326" s="1"/>
      <c r="H326" s="1"/>
    </row>
    <row r="327" spans="1:8" x14ac:dyDescent="0.25">
      <c r="A327" s="1"/>
      <c r="B327" s="1"/>
      <c r="C327" s="1"/>
      <c r="D327" s="1"/>
      <c r="E327" s="1"/>
      <c r="F327" s="1"/>
      <c r="G327" s="1"/>
      <c r="H327" s="1"/>
    </row>
    <row r="328" spans="1:8" x14ac:dyDescent="0.25">
      <c r="A328" s="1"/>
      <c r="B328" s="1"/>
      <c r="C328" s="1"/>
      <c r="D328" s="1"/>
      <c r="E328" s="1"/>
      <c r="F328" s="1"/>
      <c r="G328" s="1"/>
      <c r="H328" s="1"/>
    </row>
    <row r="329" spans="1:8" x14ac:dyDescent="0.25">
      <c r="A329" s="1"/>
      <c r="B329" s="1"/>
      <c r="C329" s="1"/>
      <c r="D329" s="1"/>
      <c r="E329" s="1"/>
      <c r="F329" s="1"/>
      <c r="G329" s="1"/>
      <c r="H329" s="1"/>
    </row>
    <row r="330" spans="1:8" x14ac:dyDescent="0.25">
      <c r="A330" s="1"/>
      <c r="B330" s="1"/>
      <c r="C330" s="1"/>
      <c r="D330" s="1"/>
      <c r="E330" s="1"/>
      <c r="F330" s="1"/>
      <c r="G330" s="1"/>
      <c r="H330" s="1"/>
    </row>
    <row r="331" spans="1:8" x14ac:dyDescent="0.25">
      <c r="A331" s="1"/>
      <c r="B331" s="1"/>
      <c r="C331" s="1"/>
      <c r="D331" s="1"/>
      <c r="E331" s="1"/>
      <c r="F331" s="1"/>
      <c r="G331" s="1"/>
      <c r="H331" s="1"/>
    </row>
    <row r="332" spans="1:8" x14ac:dyDescent="0.25">
      <c r="A332" s="1"/>
      <c r="B332" s="1"/>
      <c r="C332" s="1"/>
      <c r="D332" s="1"/>
      <c r="E332" s="1"/>
      <c r="F332" s="1"/>
      <c r="G332" s="1"/>
      <c r="H332" s="1"/>
    </row>
    <row r="333" spans="1:8" x14ac:dyDescent="0.25">
      <c r="A333" s="1"/>
      <c r="B333" s="1"/>
      <c r="C333" s="1"/>
      <c r="D333" s="1"/>
      <c r="E333" s="1"/>
      <c r="F333" s="1"/>
      <c r="G333" s="1"/>
      <c r="H333" s="1"/>
    </row>
    <row r="334" spans="1:8" x14ac:dyDescent="0.25">
      <c r="A334" s="1"/>
      <c r="B334" s="1"/>
      <c r="C334" s="1"/>
      <c r="D334" s="1"/>
      <c r="E334" s="1"/>
      <c r="F334" s="1"/>
      <c r="G334" s="1"/>
      <c r="H334" s="1"/>
    </row>
    <row r="335" spans="1:8" x14ac:dyDescent="0.25">
      <c r="A335" s="1"/>
      <c r="B335" s="1"/>
      <c r="C335" s="1"/>
      <c r="D335" s="1"/>
      <c r="E335" s="1"/>
      <c r="F335" s="1"/>
      <c r="G335" s="1"/>
      <c r="H335" s="1"/>
    </row>
    <row r="336" spans="1:8" x14ac:dyDescent="0.25">
      <c r="A336" s="1"/>
      <c r="B336" s="1"/>
      <c r="C336" s="1"/>
      <c r="D336" s="1"/>
      <c r="E336" s="1"/>
      <c r="F336" s="1"/>
      <c r="G336" s="1"/>
      <c r="H336" s="1"/>
    </row>
    <row r="337" spans="1:8" x14ac:dyDescent="0.25">
      <c r="A337" s="1"/>
      <c r="B337" s="1"/>
      <c r="C337" s="1"/>
      <c r="D337" s="1"/>
      <c r="E337" s="1"/>
      <c r="F337" s="1"/>
      <c r="G337" s="1"/>
      <c r="H337" s="1"/>
    </row>
    <row r="338" spans="1:8" x14ac:dyDescent="0.25">
      <c r="A338" s="1"/>
      <c r="B338" s="1"/>
      <c r="C338" s="1"/>
      <c r="D338" s="1"/>
      <c r="E338" s="1"/>
      <c r="F338" s="1"/>
      <c r="G338" s="1"/>
      <c r="H338" s="1"/>
    </row>
    <row r="339" spans="1:8" x14ac:dyDescent="0.25">
      <c r="A339" s="1"/>
      <c r="B339" s="1"/>
      <c r="C339" s="1"/>
      <c r="D339" s="1"/>
      <c r="E339" s="1"/>
      <c r="F339" s="1"/>
      <c r="G339" s="1"/>
      <c r="H339" s="1"/>
    </row>
    <row r="340" spans="1:8" x14ac:dyDescent="0.25">
      <c r="A340" s="1"/>
      <c r="B340" s="1"/>
      <c r="C340" s="1"/>
      <c r="D340" s="1"/>
      <c r="E340" s="1"/>
      <c r="F340" s="1"/>
      <c r="G340" s="1"/>
      <c r="H340" s="1"/>
    </row>
    <row r="341" spans="1:8" x14ac:dyDescent="0.25">
      <c r="A341" s="1"/>
      <c r="B341" s="1"/>
      <c r="C341" s="1"/>
      <c r="D341" s="1"/>
      <c r="E341" s="1"/>
      <c r="F341" s="1"/>
      <c r="G341" s="1"/>
      <c r="H341" s="1"/>
    </row>
    <row r="342" spans="1:8" x14ac:dyDescent="0.25">
      <c r="A342" s="1"/>
      <c r="B342" s="1"/>
      <c r="C342" s="1"/>
      <c r="D342" s="1"/>
      <c r="E342" s="1"/>
      <c r="F342" s="1"/>
      <c r="G342" s="1"/>
      <c r="H342" s="1"/>
    </row>
    <row r="343" spans="1:8" x14ac:dyDescent="0.25">
      <c r="A343" s="1"/>
      <c r="B343" s="1"/>
      <c r="C343" s="1"/>
      <c r="D343" s="1"/>
      <c r="E343" s="1"/>
      <c r="F343" s="1"/>
      <c r="G343" s="1"/>
      <c r="H343" s="1"/>
    </row>
    <row r="344" spans="1:8" x14ac:dyDescent="0.25">
      <c r="A344" s="1"/>
      <c r="B344" s="1"/>
      <c r="C344" s="1"/>
      <c r="D344" s="1"/>
      <c r="E344" s="1"/>
      <c r="F344" s="1"/>
      <c r="G344" s="1"/>
      <c r="H344" s="1"/>
    </row>
    <row r="345" spans="1:8" x14ac:dyDescent="0.25">
      <c r="A345" s="1"/>
      <c r="B345" s="1"/>
      <c r="C345" s="1"/>
      <c r="D345" s="1"/>
      <c r="E345" s="1"/>
      <c r="F345" s="1"/>
      <c r="G345" s="1"/>
      <c r="H345" s="1"/>
    </row>
    <row r="346" spans="1:8" x14ac:dyDescent="0.25">
      <c r="A346" s="1"/>
      <c r="B346" s="1"/>
      <c r="C346" s="1"/>
      <c r="D346" s="1"/>
      <c r="E346" s="1"/>
      <c r="F346" s="1"/>
      <c r="G346" s="1"/>
      <c r="H346" s="1"/>
    </row>
    <row r="347" spans="1:8" x14ac:dyDescent="0.25">
      <c r="A347" s="1"/>
      <c r="B347" s="1"/>
      <c r="C347" s="1"/>
      <c r="D347" s="1"/>
      <c r="E347" s="1"/>
      <c r="F347" s="1"/>
      <c r="G347" s="1"/>
      <c r="H347" s="1"/>
    </row>
    <row r="348" spans="1:8" x14ac:dyDescent="0.25">
      <c r="A348" s="1"/>
      <c r="B348" s="1"/>
      <c r="C348" s="1"/>
      <c r="D348" s="1"/>
      <c r="E348" s="1"/>
      <c r="F348" s="1"/>
      <c r="G348" s="1"/>
      <c r="H348" s="1"/>
    </row>
    <row r="349" spans="1:8" x14ac:dyDescent="0.25">
      <c r="A349" s="1"/>
      <c r="B349" s="1"/>
      <c r="C349" s="1"/>
      <c r="D349" s="1"/>
      <c r="E349" s="1"/>
      <c r="F349" s="1"/>
      <c r="G349" s="1"/>
      <c r="H349" s="1"/>
    </row>
    <row r="350" spans="1:8" x14ac:dyDescent="0.25">
      <c r="A350" s="1"/>
      <c r="B350" s="1"/>
      <c r="C350" s="1"/>
      <c r="D350" s="1"/>
      <c r="E350" s="1"/>
      <c r="F350" s="1"/>
      <c r="G350" s="1"/>
      <c r="H350" s="1"/>
    </row>
    <row r="351" spans="1:8" x14ac:dyDescent="0.25">
      <c r="A351" s="1"/>
      <c r="B351" s="1"/>
      <c r="C351" s="1"/>
      <c r="D351" s="1"/>
      <c r="E351" s="1"/>
      <c r="F351" s="1"/>
      <c r="G351" s="1"/>
      <c r="H351" s="1"/>
    </row>
    <row r="352" spans="1:8" x14ac:dyDescent="0.25">
      <c r="A352" s="1"/>
      <c r="B352" s="1"/>
      <c r="C352" s="1"/>
      <c r="D352" s="1"/>
      <c r="E352" s="1"/>
      <c r="F352" s="1"/>
      <c r="G352" s="1"/>
      <c r="H352" s="1"/>
    </row>
    <row r="353" spans="1:8" x14ac:dyDescent="0.25">
      <c r="A353" s="1"/>
      <c r="B353" s="1"/>
      <c r="C353" s="1"/>
      <c r="D353" s="1"/>
      <c r="E353" s="1"/>
      <c r="F353" s="1"/>
      <c r="G353" s="1"/>
      <c r="H353" s="1"/>
    </row>
    <row r="354" spans="1:8" x14ac:dyDescent="0.25">
      <c r="A354" s="1"/>
      <c r="B354" s="1"/>
      <c r="C354" s="1"/>
      <c r="D354" s="1"/>
      <c r="E354" s="1"/>
      <c r="F354" s="1"/>
      <c r="G354" s="1"/>
      <c r="H354" s="1"/>
    </row>
    <row r="355" spans="1:8" x14ac:dyDescent="0.25">
      <c r="A355" s="1"/>
      <c r="B355" s="1"/>
      <c r="C355" s="1"/>
      <c r="D355" s="1"/>
      <c r="E355" s="1"/>
      <c r="F355" s="1"/>
      <c r="G355" s="1"/>
      <c r="H355" s="1"/>
    </row>
    <row r="356" spans="1:8" x14ac:dyDescent="0.25">
      <c r="A356" s="1"/>
      <c r="B356" s="1"/>
      <c r="C356" s="1"/>
      <c r="D356" s="1"/>
      <c r="E356" s="1"/>
      <c r="F356" s="1"/>
      <c r="G356" s="1"/>
      <c r="H356" s="1"/>
    </row>
    <row r="357" spans="1:8" x14ac:dyDescent="0.25">
      <c r="A357" s="1"/>
      <c r="B357" s="1"/>
      <c r="C357" s="1"/>
      <c r="D357" s="1"/>
      <c r="E357" s="1"/>
      <c r="F357" s="1"/>
      <c r="G357" s="1"/>
      <c r="H357" s="1"/>
    </row>
    <row r="358" spans="1:8" x14ac:dyDescent="0.25">
      <c r="A358" s="1"/>
      <c r="B358" s="1"/>
      <c r="C358" s="1"/>
      <c r="D358" s="1"/>
      <c r="E358" s="1"/>
      <c r="F358" s="1"/>
      <c r="G358" s="1"/>
      <c r="H358" s="1"/>
    </row>
    <row r="359" spans="1:8" x14ac:dyDescent="0.25">
      <c r="A359" s="1"/>
      <c r="B359" s="1"/>
      <c r="C359" s="1"/>
      <c r="D359" s="1"/>
      <c r="E359" s="1"/>
      <c r="F359" s="1"/>
      <c r="G359" s="1"/>
      <c r="H359" s="1"/>
    </row>
    <row r="360" spans="1:8" x14ac:dyDescent="0.25">
      <c r="A360" s="1"/>
      <c r="B360" s="1"/>
      <c r="C360" s="1"/>
      <c r="D360" s="1"/>
      <c r="E360" s="1"/>
      <c r="F360" s="1"/>
      <c r="G360" s="1"/>
      <c r="H360" s="1"/>
    </row>
    <row r="361" spans="1:8" x14ac:dyDescent="0.25">
      <c r="A361" s="1"/>
      <c r="B361" s="1"/>
      <c r="C361" s="1"/>
      <c r="D361" s="1"/>
      <c r="E361" s="1"/>
      <c r="F361" s="1"/>
      <c r="G361" s="1"/>
      <c r="H361" s="1"/>
    </row>
    <row r="362" spans="1:8" x14ac:dyDescent="0.25">
      <c r="A362" s="1"/>
      <c r="B362" s="1"/>
      <c r="C362" s="1"/>
      <c r="D362" s="1"/>
      <c r="E362" s="1"/>
      <c r="F362" s="1"/>
      <c r="G362" s="1"/>
      <c r="H362" s="1"/>
    </row>
    <row r="363" spans="1:8" x14ac:dyDescent="0.25">
      <c r="A363" s="1"/>
      <c r="B363" s="1"/>
      <c r="C363" s="1"/>
      <c r="D363" s="1"/>
      <c r="E363" s="1"/>
      <c r="F363" s="1"/>
      <c r="G363" s="1"/>
      <c r="H363" s="1"/>
    </row>
    <row r="364" spans="1:8" x14ac:dyDescent="0.25">
      <c r="A364" s="1"/>
      <c r="B364" s="1"/>
      <c r="C364" s="1"/>
      <c r="D364" s="1"/>
      <c r="E364" s="1"/>
      <c r="F364" s="1"/>
      <c r="G364" s="1"/>
      <c r="H364" s="1"/>
    </row>
    <row r="365" spans="1:8" x14ac:dyDescent="0.25">
      <c r="A365" s="1"/>
      <c r="B365" s="1"/>
      <c r="C365" s="1"/>
      <c r="D365" s="1"/>
      <c r="E365" s="1"/>
      <c r="F365" s="1"/>
      <c r="G365" s="1"/>
      <c r="H365" s="1"/>
    </row>
    <row r="366" spans="1:8" x14ac:dyDescent="0.25">
      <c r="A366" s="1"/>
      <c r="B366" s="1"/>
      <c r="C366" s="1"/>
      <c r="D366" s="1"/>
      <c r="E366" s="1"/>
      <c r="F366" s="1"/>
      <c r="G366" s="1"/>
      <c r="H366" s="1"/>
    </row>
    <row r="367" spans="1:8" x14ac:dyDescent="0.25">
      <c r="A367" s="1"/>
      <c r="B367" s="1"/>
      <c r="C367" s="1"/>
      <c r="D367" s="1"/>
      <c r="E367" s="1"/>
      <c r="F367" s="1"/>
      <c r="G367" s="1"/>
      <c r="H367" s="1"/>
    </row>
    <row r="368" spans="1:8" x14ac:dyDescent="0.25">
      <c r="A368" s="1"/>
      <c r="B368" s="1"/>
      <c r="C368" s="1"/>
      <c r="D368" s="1"/>
      <c r="E368" s="1"/>
      <c r="F368" s="1"/>
      <c r="G368" s="1"/>
      <c r="H368" s="1"/>
    </row>
    <row r="369" spans="1:8" x14ac:dyDescent="0.25">
      <c r="A369" s="1"/>
      <c r="B369" s="1"/>
      <c r="C369" s="1"/>
      <c r="D369" s="1"/>
      <c r="E369" s="1"/>
      <c r="F369" s="1"/>
      <c r="G369" s="1"/>
      <c r="H369" s="1"/>
    </row>
    <row r="370" spans="1:8" x14ac:dyDescent="0.25">
      <c r="A370" s="1"/>
      <c r="B370" s="1"/>
      <c r="C370" s="1"/>
      <c r="D370" s="1"/>
      <c r="E370" s="1"/>
      <c r="F370" s="1"/>
      <c r="G370" s="1"/>
      <c r="H370" s="1"/>
    </row>
    <row r="371" spans="1:8" x14ac:dyDescent="0.25">
      <c r="A371" s="1"/>
      <c r="B371" s="1"/>
      <c r="C371" s="1"/>
      <c r="D371" s="1"/>
      <c r="E371" s="1"/>
      <c r="F371" s="1"/>
      <c r="G371" s="1"/>
      <c r="H371" s="1"/>
    </row>
    <row r="372" spans="1:8" x14ac:dyDescent="0.25">
      <c r="A372" s="1"/>
      <c r="B372" s="1"/>
      <c r="C372" s="1"/>
      <c r="D372" s="1"/>
      <c r="E372" s="1"/>
      <c r="F372" s="1"/>
      <c r="G372" s="1"/>
      <c r="H372" s="1"/>
    </row>
    <row r="373" spans="1:8" x14ac:dyDescent="0.25">
      <c r="A373" s="1"/>
      <c r="B373" s="1"/>
      <c r="C373" s="1"/>
      <c r="D373" s="1"/>
      <c r="E373" s="1"/>
      <c r="F373" s="1"/>
      <c r="G373" s="1"/>
      <c r="H373" s="1"/>
    </row>
    <row r="374" spans="1:8" x14ac:dyDescent="0.25">
      <c r="A374" s="1"/>
      <c r="B374" s="1"/>
      <c r="C374" s="1"/>
      <c r="D374" s="1"/>
      <c r="E374" s="1"/>
      <c r="F374" s="1"/>
      <c r="G374" s="1"/>
      <c r="H374" s="1"/>
    </row>
    <row r="375" spans="1:8" x14ac:dyDescent="0.25">
      <c r="A375" s="1"/>
      <c r="B375" s="1"/>
      <c r="C375" s="1"/>
      <c r="D375" s="1"/>
      <c r="E375" s="1"/>
      <c r="F375" s="1"/>
      <c r="G375" s="1"/>
      <c r="H375" s="1"/>
    </row>
    <row r="376" spans="1:8" x14ac:dyDescent="0.25">
      <c r="A376" s="1"/>
      <c r="B376" s="1"/>
      <c r="C376" s="1"/>
      <c r="D376" s="1"/>
      <c r="E376" s="1"/>
      <c r="F376" s="1"/>
      <c r="G376" s="1"/>
      <c r="H376" s="1"/>
    </row>
    <row r="377" spans="1:8" x14ac:dyDescent="0.25">
      <c r="A377" s="1"/>
      <c r="B377" s="1"/>
      <c r="C377" s="1"/>
      <c r="D377" s="1"/>
      <c r="E377" s="1"/>
      <c r="F377" s="1"/>
      <c r="G377" s="1"/>
      <c r="H377" s="1"/>
    </row>
    <row r="378" spans="1:8" x14ac:dyDescent="0.25">
      <c r="A378" s="1"/>
      <c r="B378" s="1"/>
      <c r="C378" s="1"/>
      <c r="D378" s="1"/>
      <c r="E378" s="1"/>
      <c r="F378" s="1"/>
      <c r="G378" s="1"/>
      <c r="H378" s="1"/>
    </row>
    <row r="379" spans="1:8" x14ac:dyDescent="0.25">
      <c r="A379" s="1"/>
      <c r="B379" s="1"/>
      <c r="C379" s="1"/>
      <c r="D379" s="1"/>
      <c r="E379" s="1"/>
      <c r="F379" s="1"/>
      <c r="G379" s="1"/>
      <c r="H379" s="1"/>
    </row>
    <row r="380" spans="1:8" x14ac:dyDescent="0.25">
      <c r="A380" s="1"/>
      <c r="B380" s="1"/>
      <c r="C380" s="1"/>
      <c r="D380" s="1"/>
      <c r="E380" s="1"/>
      <c r="F380" s="1"/>
      <c r="G380" s="1"/>
      <c r="H380" s="1"/>
    </row>
    <row r="381" spans="1:8" x14ac:dyDescent="0.25">
      <c r="A381" s="1"/>
      <c r="B381" s="1"/>
      <c r="C381" s="1"/>
      <c r="D381" s="1"/>
      <c r="E381" s="1"/>
      <c r="F381" s="1"/>
      <c r="G381" s="1"/>
      <c r="H381" s="1"/>
    </row>
    <row r="382" spans="1:8" x14ac:dyDescent="0.25">
      <c r="A382" s="1"/>
      <c r="B382" s="1"/>
      <c r="C382" s="1"/>
      <c r="D382" s="1"/>
      <c r="E382" s="1"/>
      <c r="F382" s="1"/>
      <c r="G382" s="1"/>
      <c r="H382" s="1"/>
    </row>
    <row r="383" spans="1:8" x14ac:dyDescent="0.25">
      <c r="A383" s="1"/>
      <c r="B383" s="1"/>
      <c r="C383" s="1"/>
      <c r="D383" s="1"/>
      <c r="E383" s="1"/>
      <c r="F383" s="1"/>
      <c r="G383" s="1"/>
      <c r="H383" s="1"/>
    </row>
    <row r="384" spans="1:8" x14ac:dyDescent="0.25">
      <c r="A384" s="1"/>
      <c r="B384" s="1"/>
      <c r="C384" s="1"/>
      <c r="D384" s="1"/>
      <c r="E384" s="1"/>
      <c r="F384" s="1"/>
      <c r="G384" s="1"/>
      <c r="H384" s="1"/>
    </row>
    <row r="385" spans="1:8" x14ac:dyDescent="0.25">
      <c r="A385" s="1"/>
      <c r="B385" s="1"/>
      <c r="C385" s="1"/>
      <c r="D385" s="1"/>
      <c r="E385" s="1"/>
      <c r="F385" s="1"/>
      <c r="G385" s="1"/>
      <c r="H385" s="1"/>
    </row>
    <row r="386" spans="1:8" x14ac:dyDescent="0.25">
      <c r="A386" s="1"/>
      <c r="B386" s="1"/>
      <c r="C386" s="1"/>
      <c r="D386" s="1"/>
      <c r="E386" s="1"/>
      <c r="F386" s="1"/>
      <c r="G386" s="1"/>
      <c r="H386" s="1"/>
    </row>
    <row r="387" spans="1:8" x14ac:dyDescent="0.25">
      <c r="A387" s="1"/>
      <c r="B387" s="1"/>
      <c r="C387" s="1"/>
      <c r="D387" s="1"/>
      <c r="E387" s="1"/>
      <c r="F387" s="1"/>
      <c r="G387" s="1"/>
      <c r="H387" s="1"/>
    </row>
    <row r="388" spans="1:8" x14ac:dyDescent="0.25">
      <c r="A388" s="1"/>
      <c r="B388" s="1"/>
      <c r="C388" s="1"/>
      <c r="D388" s="1"/>
      <c r="E388" s="1"/>
      <c r="F388" s="1"/>
      <c r="G388" s="1"/>
      <c r="H388" s="1"/>
    </row>
    <row r="389" spans="1:8" x14ac:dyDescent="0.25">
      <c r="A389" s="1"/>
      <c r="B389" s="1"/>
      <c r="C389" s="1"/>
      <c r="D389" s="1"/>
      <c r="E389" s="1"/>
      <c r="F389" s="1"/>
      <c r="G389" s="1"/>
      <c r="H389" s="1"/>
    </row>
    <row r="390" spans="1:8" x14ac:dyDescent="0.25">
      <c r="A390" s="1"/>
      <c r="B390" s="1"/>
      <c r="C390" s="1"/>
      <c r="D390" s="1"/>
      <c r="E390" s="1"/>
      <c r="F390" s="1"/>
      <c r="G390" s="1"/>
      <c r="H390" s="1"/>
    </row>
    <row r="391" spans="1:8" x14ac:dyDescent="0.25">
      <c r="A391" s="1"/>
      <c r="B391" s="1"/>
      <c r="C391" s="1"/>
      <c r="D391" s="1"/>
      <c r="E391" s="1"/>
      <c r="F391" s="1"/>
      <c r="G391" s="1"/>
      <c r="H391" s="1"/>
    </row>
    <row r="392" spans="1:8" x14ac:dyDescent="0.25">
      <c r="A392" s="1"/>
      <c r="B392" s="1"/>
      <c r="C392" s="1"/>
      <c r="D392" s="1"/>
      <c r="E392" s="1"/>
      <c r="F392" s="1"/>
      <c r="G392" s="1"/>
      <c r="H392" s="1"/>
    </row>
    <row r="393" spans="1:8" x14ac:dyDescent="0.25">
      <c r="A393" s="1"/>
      <c r="B393" s="1"/>
      <c r="C393" s="1"/>
      <c r="D393" s="1"/>
      <c r="E393" s="1"/>
      <c r="F393" s="1"/>
      <c r="G393" s="1"/>
      <c r="H393" s="1"/>
    </row>
    <row r="394" spans="1:8" x14ac:dyDescent="0.25">
      <c r="A394" s="1"/>
      <c r="B394" s="1"/>
      <c r="C394" s="1"/>
      <c r="D394" s="1"/>
      <c r="E394" s="1"/>
      <c r="F394" s="1"/>
      <c r="G394" s="1"/>
      <c r="H394" s="1"/>
    </row>
    <row r="395" spans="1:8" x14ac:dyDescent="0.25">
      <c r="A395" s="1"/>
      <c r="B395" s="1"/>
      <c r="C395" s="1"/>
      <c r="D395" s="1"/>
      <c r="E395" s="1"/>
      <c r="F395" s="1"/>
      <c r="G395" s="1"/>
      <c r="H395" s="1"/>
    </row>
    <row r="396" spans="1:8" x14ac:dyDescent="0.25">
      <c r="B396" s="1"/>
      <c r="C396" s="1"/>
      <c r="D396" s="1"/>
      <c r="E396" s="1"/>
      <c r="F396" s="1"/>
      <c r="G396" s="1"/>
      <c r="H396" s="1"/>
    </row>
    <row r="397" spans="1:8" x14ac:dyDescent="0.25">
      <c r="B397" s="1"/>
      <c r="C397" s="1"/>
      <c r="D397" s="1"/>
      <c r="E397" s="1"/>
      <c r="F397" s="1"/>
      <c r="G397" s="1"/>
      <c r="H397" s="1"/>
    </row>
    <row r="398" spans="1:8" x14ac:dyDescent="0.25">
      <c r="B398" s="1"/>
      <c r="C398" s="1"/>
      <c r="D398" s="1"/>
      <c r="E398" s="1"/>
      <c r="F398" s="1"/>
      <c r="G398" s="1"/>
      <c r="H398" s="1"/>
    </row>
    <row r="399" spans="1:8" x14ac:dyDescent="0.25">
      <c r="B399" s="1"/>
      <c r="C399" s="1"/>
      <c r="D399" s="1"/>
      <c r="E399" s="1"/>
      <c r="F399" s="1"/>
      <c r="G399" s="1"/>
      <c r="H399" s="1"/>
    </row>
    <row r="400" spans="1:8" x14ac:dyDescent="0.25">
      <c r="B400" s="1"/>
      <c r="C400" s="1"/>
      <c r="D400" s="1"/>
      <c r="E400" s="1"/>
      <c r="F400" s="1"/>
      <c r="G400" s="1"/>
      <c r="H400" s="1"/>
    </row>
    <row r="401" spans="2:8" x14ac:dyDescent="0.25">
      <c r="B401" s="1"/>
      <c r="C401" s="1"/>
      <c r="D401" s="1"/>
      <c r="E401" s="1"/>
      <c r="F401" s="1"/>
      <c r="G401" s="1"/>
      <c r="H401" s="1"/>
    </row>
    <row r="402" spans="2:8" x14ac:dyDescent="0.25">
      <c r="B402" s="1"/>
      <c r="C402" s="1"/>
      <c r="D402" s="1"/>
      <c r="E402" s="1"/>
      <c r="F402" s="1"/>
      <c r="G402" s="1"/>
      <c r="H402" s="1"/>
    </row>
    <row r="403" spans="2:8" x14ac:dyDescent="0.25">
      <c r="B403" s="1"/>
      <c r="C403" s="1"/>
      <c r="D403" s="1"/>
      <c r="E403" s="1"/>
      <c r="F403" s="1"/>
      <c r="G403" s="1"/>
      <c r="H403" s="1"/>
    </row>
    <row r="404" spans="2:8" x14ac:dyDescent="0.25">
      <c r="B404" s="1"/>
      <c r="C404" s="1"/>
      <c r="D404" s="1"/>
      <c r="E404" s="1"/>
      <c r="F404" s="1"/>
      <c r="G404" s="1"/>
      <c r="H404" s="1"/>
    </row>
    <row r="405" spans="2:8" x14ac:dyDescent="0.25">
      <c r="B405" s="1"/>
      <c r="C405" s="1"/>
      <c r="D405" s="1"/>
      <c r="E405" s="1"/>
      <c r="F405" s="1"/>
      <c r="G405" s="1"/>
      <c r="H405" s="1"/>
    </row>
    <row r="406" spans="2:8" x14ac:dyDescent="0.25">
      <c r="B406" s="1"/>
      <c r="C406" s="1"/>
      <c r="D406" s="1"/>
      <c r="E406" s="1"/>
      <c r="F406" s="1"/>
      <c r="G406" s="1"/>
      <c r="H406" s="1"/>
    </row>
    <row r="407" spans="2:8" x14ac:dyDescent="0.25">
      <c r="B407" s="1"/>
      <c r="C407" s="1"/>
      <c r="D407" s="1"/>
      <c r="E407" s="1"/>
      <c r="F407" s="1"/>
      <c r="G407" s="1"/>
      <c r="H407" s="1"/>
    </row>
    <row r="408" spans="2:8" x14ac:dyDescent="0.25">
      <c r="B408" s="1"/>
      <c r="C408" s="1"/>
      <c r="D408" s="1"/>
      <c r="E408" s="1"/>
      <c r="F408" s="1"/>
      <c r="G408" s="1"/>
      <c r="H408" s="1"/>
    </row>
    <row r="409" spans="2:8" x14ac:dyDescent="0.25">
      <c r="B409" s="1"/>
      <c r="C409" s="1"/>
      <c r="D409" s="1"/>
      <c r="E409" s="1"/>
      <c r="F409" s="1"/>
      <c r="G409" s="1"/>
      <c r="H409" s="1"/>
    </row>
    <row r="410" spans="2:8" x14ac:dyDescent="0.25">
      <c r="B410" s="1"/>
      <c r="C410" s="1"/>
      <c r="D410" s="1"/>
      <c r="E410" s="1"/>
      <c r="F410" s="1"/>
      <c r="G410" s="1"/>
      <c r="H410" s="1"/>
    </row>
    <row r="411" spans="2:8" x14ac:dyDescent="0.25">
      <c r="B411" s="1"/>
      <c r="C411" s="1"/>
      <c r="D411" s="1"/>
      <c r="E411" s="1"/>
      <c r="F411" s="1"/>
      <c r="G411" s="1"/>
      <c r="H411" s="1"/>
    </row>
    <row r="412" spans="2:8" x14ac:dyDescent="0.25">
      <c r="B412" s="1"/>
      <c r="C412" s="1"/>
      <c r="D412" s="1"/>
      <c r="E412" s="1"/>
      <c r="F412" s="1"/>
      <c r="G412" s="1"/>
      <c r="H412" s="1"/>
    </row>
    <row r="413" spans="2:8" x14ac:dyDescent="0.25">
      <c r="B413" s="1"/>
      <c r="C413" s="1"/>
      <c r="D413" s="1"/>
      <c r="E413" s="1"/>
      <c r="F413" s="1"/>
      <c r="G413" s="1"/>
      <c r="H413" s="1"/>
    </row>
    <row r="414" spans="2:8" x14ac:dyDescent="0.25">
      <c r="B414" s="1"/>
      <c r="C414" s="1"/>
      <c r="D414" s="1"/>
      <c r="E414" s="1"/>
      <c r="F414" s="1"/>
      <c r="G414" s="1"/>
      <c r="H414" s="1"/>
    </row>
    <row r="415" spans="2:8" x14ac:dyDescent="0.25">
      <c r="B415" s="1"/>
      <c r="C415" s="1"/>
      <c r="D415" s="1"/>
      <c r="E415" s="1"/>
      <c r="F415" s="1"/>
      <c r="G415" s="1"/>
      <c r="H415" s="1"/>
    </row>
    <row r="416" spans="2:8" x14ac:dyDescent="0.25">
      <c r="B416" s="1"/>
      <c r="C416" s="1"/>
      <c r="D416" s="1"/>
      <c r="E416" s="1"/>
      <c r="F416" s="1"/>
      <c r="G416" s="1"/>
      <c r="H416" s="1"/>
    </row>
    <row r="417" spans="2:8" x14ac:dyDescent="0.25">
      <c r="B417" s="1"/>
      <c r="C417" s="1"/>
      <c r="D417" s="1"/>
      <c r="E417" s="1"/>
      <c r="F417" s="1"/>
      <c r="G417" s="1"/>
      <c r="H417" s="1"/>
    </row>
    <row r="418" spans="2:8" x14ac:dyDescent="0.25">
      <c r="B418" s="1"/>
      <c r="C418" s="1"/>
      <c r="D418" s="1"/>
      <c r="E418" s="1"/>
      <c r="F418" s="1"/>
      <c r="G418" s="1"/>
      <c r="H418" s="1"/>
    </row>
    <row r="419" spans="2:8" x14ac:dyDescent="0.25">
      <c r="B419" s="1"/>
      <c r="C419" s="1"/>
      <c r="D419" s="1"/>
      <c r="E419" s="1"/>
      <c r="F419" s="1"/>
      <c r="G419" s="1"/>
      <c r="H419" s="1"/>
    </row>
    <row r="420" spans="2:8" x14ac:dyDescent="0.25">
      <c r="B420" s="1"/>
      <c r="C420" s="1"/>
      <c r="D420" s="1"/>
      <c r="E420" s="1"/>
      <c r="F420" s="1"/>
      <c r="G420" s="1"/>
      <c r="H420" s="1"/>
    </row>
    <row r="421" spans="2:8" x14ac:dyDescent="0.25">
      <c r="B421" s="1"/>
      <c r="C421" s="1"/>
      <c r="D421" s="1"/>
      <c r="E421" s="1"/>
      <c r="F421" s="1"/>
      <c r="G421" s="1"/>
      <c r="H421" s="1"/>
    </row>
    <row r="422" spans="2:8" x14ac:dyDescent="0.25">
      <c r="B422" s="1"/>
      <c r="C422" s="1"/>
      <c r="D422" s="1"/>
      <c r="E422" s="1"/>
      <c r="F422" s="1"/>
      <c r="G422" s="1"/>
      <c r="H422" s="1"/>
    </row>
    <row r="423" spans="2:8" x14ac:dyDescent="0.25">
      <c r="B423" s="1"/>
      <c r="C423" s="1"/>
      <c r="D423" s="1"/>
      <c r="E423" s="1"/>
      <c r="F423" s="1"/>
      <c r="G423" s="1"/>
      <c r="H423" s="1"/>
    </row>
    <row r="424" spans="2:8" x14ac:dyDescent="0.25">
      <c r="B424" s="1"/>
      <c r="C424" s="1"/>
      <c r="D424" s="1"/>
      <c r="E424" s="1"/>
      <c r="F424" s="1"/>
      <c r="G424" s="1"/>
      <c r="H424" s="1"/>
    </row>
    <row r="425" spans="2:8" x14ac:dyDescent="0.25">
      <c r="B425" s="1"/>
      <c r="C425" s="1"/>
      <c r="D425" s="1"/>
      <c r="E425" s="1"/>
      <c r="F425" s="1"/>
      <c r="G425" s="1"/>
      <c r="H425" s="1"/>
    </row>
    <row r="426" spans="2:8" x14ac:dyDescent="0.25">
      <c r="B426" s="1"/>
      <c r="C426" s="1"/>
      <c r="D426" s="1"/>
      <c r="E426" s="1"/>
      <c r="F426" s="1"/>
      <c r="G426" s="1"/>
      <c r="H426" s="1"/>
    </row>
    <row r="427" spans="2:8" x14ac:dyDescent="0.25">
      <c r="B427" s="1"/>
      <c r="C427" s="1"/>
      <c r="D427" s="1"/>
      <c r="E427" s="1"/>
      <c r="F427" s="1"/>
      <c r="G427" s="1"/>
      <c r="H427" s="1"/>
    </row>
    <row r="428" spans="2:8" x14ac:dyDescent="0.25">
      <c r="B428" s="1"/>
      <c r="C428" s="1"/>
      <c r="D428" s="1"/>
      <c r="E428" s="1"/>
      <c r="F428" s="1"/>
      <c r="G428" s="1"/>
      <c r="H428" s="1"/>
    </row>
    <row r="429" spans="2:8" x14ac:dyDescent="0.25">
      <c r="B429" s="1"/>
      <c r="C429" s="1"/>
      <c r="D429" s="1"/>
      <c r="E429" s="1"/>
      <c r="F429" s="1"/>
      <c r="G429" s="1"/>
      <c r="H429" s="1"/>
    </row>
    <row r="430" spans="2:8" x14ac:dyDescent="0.25">
      <c r="B430" s="1"/>
      <c r="C430" s="1"/>
      <c r="D430" s="1"/>
      <c r="E430" s="1"/>
      <c r="F430" s="1"/>
      <c r="G430" s="1"/>
      <c r="H430" s="1"/>
    </row>
    <row r="431" spans="2:8" x14ac:dyDescent="0.25">
      <c r="B431" s="1"/>
      <c r="C431" s="1"/>
      <c r="D431" s="1"/>
      <c r="E431" s="1"/>
      <c r="F431" s="1"/>
      <c r="G431" s="1"/>
      <c r="H431" s="1"/>
    </row>
    <row r="432" spans="2:8" x14ac:dyDescent="0.25">
      <c r="B432" s="1"/>
      <c r="C432" s="1"/>
      <c r="D432" s="1"/>
      <c r="E432" s="1"/>
      <c r="F432" s="1"/>
      <c r="G432" s="1"/>
      <c r="H432" s="1"/>
    </row>
    <row r="433" spans="2:8" x14ac:dyDescent="0.25">
      <c r="B433" s="1"/>
      <c r="C433" s="1"/>
      <c r="D433" s="1"/>
      <c r="E433" s="1"/>
      <c r="F433" s="1"/>
      <c r="G433" s="1"/>
      <c r="H433" s="1"/>
    </row>
    <row r="434" spans="2:8" x14ac:dyDescent="0.25">
      <c r="B434" s="1"/>
      <c r="C434" s="1"/>
      <c r="D434" s="1"/>
      <c r="E434" s="1"/>
      <c r="F434" s="1"/>
      <c r="G434" s="1"/>
      <c r="H434" s="1"/>
    </row>
  </sheetData>
  <mergeCells count="3">
    <mergeCell ref="C2:H2"/>
    <mergeCell ref="B1:C1"/>
    <mergeCell ref="D49:H49"/>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17" sqref="D17:G17"/>
    </sheetView>
  </sheetViews>
  <sheetFormatPr defaultRowHeight="15" x14ac:dyDescent="0.25"/>
  <cols>
    <col min="1" max="1" width="2.42578125" customWidth="1"/>
    <col min="2" max="2" width="50.7109375" bestFit="1" customWidth="1"/>
    <col min="4" max="7" width="14.28515625" bestFit="1" customWidth="1"/>
  </cols>
  <sheetData>
    <row r="1" spans="1:12" ht="27" customHeight="1" x14ac:dyDescent="0.4">
      <c r="A1" s="254"/>
      <c r="B1" s="255" t="s">
        <v>348</v>
      </c>
      <c r="C1" s="256"/>
      <c r="D1" s="257"/>
      <c r="E1" s="257"/>
      <c r="F1" s="257"/>
      <c r="G1" s="258"/>
    </row>
    <row r="2" spans="1:12" x14ac:dyDescent="0.25">
      <c r="A2" s="259"/>
      <c r="B2" s="252"/>
      <c r="C2" s="64"/>
      <c r="D2" s="579" t="s">
        <v>163</v>
      </c>
      <c r="E2" s="579"/>
      <c r="F2" s="579"/>
      <c r="G2" s="580"/>
    </row>
    <row r="3" spans="1:12" ht="18" customHeight="1" x14ac:dyDescent="0.25">
      <c r="A3" s="260"/>
      <c r="B3" s="253"/>
      <c r="C3" s="125" t="s">
        <v>1</v>
      </c>
      <c r="D3" s="112">
        <v>42735</v>
      </c>
      <c r="E3" s="112">
        <v>43100</v>
      </c>
      <c r="F3" s="112">
        <v>43465</v>
      </c>
      <c r="G3" s="261">
        <v>43830</v>
      </c>
    </row>
    <row r="4" spans="1:12" x14ac:dyDescent="0.25">
      <c r="A4" s="262"/>
      <c r="B4" s="5"/>
      <c r="C4" s="5"/>
      <c r="D4" s="31"/>
      <c r="E4" s="29"/>
      <c r="F4" s="29"/>
      <c r="G4" s="263"/>
      <c r="I4">
        <f>710*(1-0.279)</f>
        <v>511.90999999999997</v>
      </c>
    </row>
    <row r="5" spans="1:12" x14ac:dyDescent="0.25">
      <c r="A5" s="262"/>
      <c r="B5" s="8" t="s">
        <v>303</v>
      </c>
      <c r="C5" s="5"/>
      <c r="D5" s="183">
        <v>443</v>
      </c>
      <c r="E5" s="184">
        <v>710</v>
      </c>
      <c r="F5" s="184">
        <v>588</v>
      </c>
      <c r="G5" s="264">
        <v>687</v>
      </c>
    </row>
    <row r="6" spans="1:12" x14ac:dyDescent="0.25">
      <c r="A6" s="262"/>
      <c r="B6" s="5" t="s">
        <v>349</v>
      </c>
      <c r="C6" s="5"/>
      <c r="D6" s="185">
        <v>-122</v>
      </c>
      <c r="E6" s="186">
        <v>-192</v>
      </c>
      <c r="F6" s="186">
        <v>-157</v>
      </c>
      <c r="G6" s="265">
        <v>-189</v>
      </c>
    </row>
    <row r="7" spans="1:12" x14ac:dyDescent="0.25">
      <c r="A7" s="262"/>
      <c r="B7" s="5" t="s">
        <v>378</v>
      </c>
      <c r="C7" s="5"/>
      <c r="D7" s="250">
        <f>-'Reorganised Statements'!E99*('Reorganised Statements'!E109/'Reorganised Statements'!E101)</f>
        <v>-39.814371257485028</v>
      </c>
      <c r="E7" s="251">
        <f>-'Reorganised Statements'!F99*('Reorganised Statements'!F109/'Reorganised Statements'!F101)</f>
        <v>-44.666666666666664</v>
      </c>
      <c r="F7" s="251">
        <f>-'Reorganised Statements'!G99*('Reorganised Statements'!G109/'Reorganised Statements'!G101)</f>
        <v>-31.400000000000002</v>
      </c>
      <c r="G7" s="266">
        <f>-'Reorganised Statements'!H99*('Reorganised Statements'!H109/'Reorganised Statements'!H101)</f>
        <v>-34.481927710843372</v>
      </c>
    </row>
    <row r="8" spans="1:12" x14ac:dyDescent="0.25">
      <c r="A8" s="262"/>
      <c r="B8" s="24" t="s">
        <v>350</v>
      </c>
      <c r="C8" s="25"/>
      <c r="D8" s="187">
        <f>SUM(D5:D7)</f>
        <v>281.18562874251495</v>
      </c>
      <c r="E8" s="188">
        <f t="shared" ref="E8:G8" si="0">SUM(E5:E7)</f>
        <v>473.33333333333331</v>
      </c>
      <c r="F8" s="188">
        <f t="shared" si="0"/>
        <v>399.6</v>
      </c>
      <c r="G8" s="267">
        <f t="shared" si="0"/>
        <v>463.51807228915663</v>
      </c>
    </row>
    <row r="9" spans="1:12" x14ac:dyDescent="0.25">
      <c r="A9" s="262"/>
      <c r="B9" s="5"/>
      <c r="C9" s="5"/>
      <c r="D9" s="185"/>
      <c r="E9" s="186"/>
      <c r="F9" s="186"/>
      <c r="G9" s="265"/>
    </row>
    <row r="10" spans="1:12" x14ac:dyDescent="0.25">
      <c r="A10" s="262"/>
      <c r="B10" s="5" t="s">
        <v>372</v>
      </c>
      <c r="C10" s="5"/>
      <c r="D10" s="185">
        <f>'Reorganised Statements'!D10-'Reorganised Statements'!E10</f>
        <v>25</v>
      </c>
      <c r="E10" s="186">
        <f>'Reorganised Statements'!E10-'Reorganised Statements'!F10</f>
        <v>12</v>
      </c>
      <c r="F10" s="186">
        <f>'Reorganised Statements'!F10-'Reorganised Statements'!G10</f>
        <v>-40</v>
      </c>
      <c r="G10" s="265">
        <f>'Reorganised Statements'!G10-'Reorganised Statements'!H10</f>
        <v>3</v>
      </c>
    </row>
    <row r="11" spans="1:12" x14ac:dyDescent="0.25">
      <c r="A11" s="262"/>
      <c r="B11" s="5" t="s">
        <v>351</v>
      </c>
      <c r="C11" s="5"/>
      <c r="D11" s="185">
        <f>'Reorganised Statements'!D11-'Reorganised Statements'!E11</f>
        <v>-336</v>
      </c>
      <c r="E11" s="186">
        <f>'Reorganised Statements'!E11-'Reorganised Statements'!F11</f>
        <v>150</v>
      </c>
      <c r="F11" s="186">
        <f>'Reorganised Statements'!F11-'Reorganised Statements'!G11</f>
        <v>-110</v>
      </c>
      <c r="G11" s="265">
        <f>'Reorganised Statements'!G11-'Reorganised Statements'!H11</f>
        <v>-71</v>
      </c>
    </row>
    <row r="12" spans="1:12" x14ac:dyDescent="0.25">
      <c r="A12" s="262"/>
      <c r="B12" s="5" t="s">
        <v>371</v>
      </c>
      <c r="C12" s="5"/>
      <c r="D12" s="185">
        <f>'Reorganised Statements'!D12-'Reorganised Statements'!E12</f>
        <v>214</v>
      </c>
      <c r="E12" s="186">
        <f>'Reorganised Statements'!E12-'Reorganised Statements'!F12</f>
        <v>-3</v>
      </c>
      <c r="F12" s="186">
        <f>'Reorganised Statements'!F12-'Reorganised Statements'!G12</f>
        <v>32</v>
      </c>
      <c r="G12" s="265">
        <f>'Reorganised Statements'!G12-'Reorganised Statements'!H12</f>
        <v>68</v>
      </c>
    </row>
    <row r="13" spans="1:12" x14ac:dyDescent="0.25">
      <c r="A13" s="262"/>
      <c r="B13" s="24" t="s">
        <v>373</v>
      </c>
      <c r="C13" s="25"/>
      <c r="D13" s="187">
        <f>SUM(D10:D12)</f>
        <v>-97</v>
      </c>
      <c r="E13" s="188">
        <f t="shared" ref="E13:F13" si="1">SUM(E10:E12)</f>
        <v>159</v>
      </c>
      <c r="F13" s="188">
        <f t="shared" si="1"/>
        <v>-118</v>
      </c>
      <c r="G13" s="267">
        <f>SUM(G10:G12)</f>
        <v>0</v>
      </c>
      <c r="H13" s="249"/>
      <c r="I13" s="249"/>
      <c r="J13" s="249"/>
      <c r="K13" s="249"/>
      <c r="L13" s="249"/>
    </row>
    <row r="14" spans="1:12" x14ac:dyDescent="0.25">
      <c r="A14" s="262"/>
      <c r="B14" s="5"/>
      <c r="C14" s="5"/>
      <c r="D14" s="185"/>
      <c r="E14" s="186"/>
      <c r="F14" s="186"/>
      <c r="G14" s="265"/>
    </row>
    <row r="15" spans="1:12" x14ac:dyDescent="0.25">
      <c r="A15" s="262"/>
      <c r="B15" s="5" t="s">
        <v>352</v>
      </c>
      <c r="C15" s="5"/>
      <c r="D15" s="185">
        <f>'Reorganised Statements'!D15-'Reorganised Statements'!E15</f>
        <v>-59</v>
      </c>
      <c r="E15" s="186">
        <f>'Reorganised Statements'!E15-'Reorganised Statements'!F15</f>
        <v>132</v>
      </c>
      <c r="F15" s="186">
        <f>'Reorganised Statements'!F15-'Reorganised Statements'!G15</f>
        <v>53</v>
      </c>
      <c r="G15" s="265">
        <f>'Reorganised Statements'!G15-'Reorganised Statements'!H15</f>
        <v>-155</v>
      </c>
    </row>
    <row r="16" spans="1:12" x14ac:dyDescent="0.25">
      <c r="A16" s="262"/>
      <c r="B16" s="5" t="s">
        <v>353</v>
      </c>
      <c r="C16" s="5"/>
      <c r="D16" s="185">
        <f>'Reorganised Statements'!D21-'Reorganised Statements'!E21</f>
        <v>210</v>
      </c>
      <c r="E16" s="186">
        <f>'Reorganised Statements'!E21-'Reorganised Statements'!F21</f>
        <v>-220</v>
      </c>
      <c r="F16" s="186">
        <f>'Reorganised Statements'!F21-'Reorganised Statements'!G21</f>
        <v>90</v>
      </c>
      <c r="G16" s="265">
        <f>'Reorganised Statements'!G21-'Reorganised Statements'!H21</f>
        <v>236</v>
      </c>
    </row>
    <row r="17" spans="1:8" x14ac:dyDescent="0.25">
      <c r="A17" s="262"/>
      <c r="B17" s="24" t="s">
        <v>374</v>
      </c>
      <c r="C17" s="25"/>
      <c r="D17" s="187">
        <f>SUM(D13,D15:D16)</f>
        <v>54</v>
      </c>
      <c r="E17" s="188">
        <f t="shared" ref="E17:G17" si="2">SUM(E13,E15:E16)</f>
        <v>71</v>
      </c>
      <c r="F17" s="188">
        <f t="shared" si="2"/>
        <v>25</v>
      </c>
      <c r="G17" s="267">
        <f t="shared" si="2"/>
        <v>81</v>
      </c>
    </row>
    <row r="18" spans="1:8" x14ac:dyDescent="0.25">
      <c r="A18" s="262"/>
      <c r="B18" s="5"/>
      <c r="C18" s="5"/>
      <c r="D18" s="185"/>
      <c r="E18" s="186"/>
      <c r="F18" s="186"/>
      <c r="G18" s="265"/>
    </row>
    <row r="19" spans="1:8" x14ac:dyDescent="0.25">
      <c r="A19" s="262"/>
      <c r="B19" s="5" t="s">
        <v>354</v>
      </c>
      <c r="C19" s="5"/>
      <c r="D19" s="185">
        <f>('Reorganised Statements'!D5+'Reorganised Statements'!D6)-('Reorganised Statements'!E5+'Reorganised Statements'!E6)+'Reorganised Statements'!E72</f>
        <v>-1066</v>
      </c>
      <c r="E19" s="186">
        <f>('Reorganised Statements'!E5+'Reorganised Statements'!E6)-('Reorganised Statements'!F5+'Reorganised Statements'!F6)+'Reorganised Statements'!F72</f>
        <v>-80</v>
      </c>
      <c r="F19" s="186">
        <f>('Reorganised Statements'!F5+'Reorganised Statements'!F6)-('Reorganised Statements'!G5+'Reorganised Statements'!G6)+'Reorganised Statements'!G72</f>
        <v>-1076</v>
      </c>
      <c r="G19" s="265">
        <f>('Reorganised Statements'!G5+'Reorganised Statements'!G6)-('Reorganised Statements'!H5+'Reorganised Statements'!H6)+'Reorganised Statements'!H72</f>
        <v>-837</v>
      </c>
    </row>
    <row r="20" spans="1:8" x14ac:dyDescent="0.25">
      <c r="A20" s="262"/>
      <c r="B20" s="5" t="s">
        <v>355</v>
      </c>
      <c r="C20" s="5"/>
      <c r="D20" s="185">
        <v>648</v>
      </c>
      <c r="E20" s="186">
        <v>444</v>
      </c>
      <c r="F20" s="186">
        <v>623</v>
      </c>
      <c r="G20" s="265">
        <v>511</v>
      </c>
    </row>
    <row r="21" spans="1:8" x14ac:dyDescent="0.25">
      <c r="A21" s="262"/>
      <c r="B21" s="5" t="s">
        <v>356</v>
      </c>
      <c r="C21" s="5"/>
      <c r="D21" s="185">
        <f>'Reorganised Statements'!D30-'Reorganised Statements'!E30</f>
        <v>95</v>
      </c>
      <c r="E21" s="185">
        <f>'Reorganised Statements'!E30-'Reorganised Statements'!F30</f>
        <v>-46</v>
      </c>
      <c r="F21" s="185">
        <f>'Reorganised Statements'!F30-'Reorganised Statements'!G30</f>
        <v>17</v>
      </c>
      <c r="G21" s="268">
        <f>'Reorganised Statements'!G30-'Reorganised Statements'!H30</f>
        <v>34</v>
      </c>
      <c r="H21" s="249"/>
    </row>
    <row r="22" spans="1:8" x14ac:dyDescent="0.25">
      <c r="A22" s="262"/>
      <c r="B22" s="5" t="s">
        <v>357</v>
      </c>
      <c r="C22" s="5"/>
      <c r="D22" s="185">
        <f>'Reorganised Statements'!D29-'Reorganised Statements'!E29</f>
        <v>33</v>
      </c>
      <c r="E22" s="185">
        <f>'Reorganised Statements'!E29-'Reorganised Statements'!F29</f>
        <v>-46</v>
      </c>
      <c r="F22" s="185">
        <f>'Reorganised Statements'!F29-'Reorganised Statements'!G29</f>
        <v>-5</v>
      </c>
      <c r="G22" s="268">
        <f>'Reorganised Statements'!G29-'Reorganised Statements'!H29</f>
        <v>-7</v>
      </c>
      <c r="H22" s="249"/>
    </row>
    <row r="23" spans="1:8" x14ac:dyDescent="0.25">
      <c r="A23" s="262"/>
      <c r="B23" s="5" t="s">
        <v>370</v>
      </c>
      <c r="C23" s="5"/>
      <c r="D23" s="185">
        <f>'Reorganised Statements'!D28-'Reorganised Statements'!E28</f>
        <v>-33</v>
      </c>
      <c r="E23" s="185">
        <f>'Reorganised Statements'!E28-'Reorganised Statements'!F28</f>
        <v>40</v>
      </c>
      <c r="F23" s="185">
        <f>'Reorganised Statements'!F28-'Reorganised Statements'!G28</f>
        <v>37</v>
      </c>
      <c r="G23" s="268">
        <f>'Reorganised Statements'!G28-'Reorganised Statements'!H28</f>
        <v>-13</v>
      </c>
    </row>
    <row r="24" spans="1:8" x14ac:dyDescent="0.25">
      <c r="A24" s="262"/>
      <c r="B24" s="5" t="s">
        <v>358</v>
      </c>
      <c r="C24" s="5"/>
      <c r="D24" s="185">
        <v>20</v>
      </c>
      <c r="E24" s="186">
        <v>-91</v>
      </c>
      <c r="F24" s="186">
        <v>11</v>
      </c>
      <c r="G24" s="265">
        <v>-3</v>
      </c>
    </row>
    <row r="25" spans="1:8" x14ac:dyDescent="0.25">
      <c r="A25" s="262"/>
      <c r="B25" s="18" t="s">
        <v>359</v>
      </c>
      <c r="C25" s="20"/>
      <c r="D25" s="189">
        <f>D8+D17+SUM(D19:D24)</f>
        <v>32.18562874251495</v>
      </c>
      <c r="E25" s="189">
        <f t="shared" ref="E25:G25" si="3">E8+E17+SUM(E19:E24)</f>
        <v>765.33333333333326</v>
      </c>
      <c r="F25" s="189">
        <f t="shared" si="3"/>
        <v>31.600000000000023</v>
      </c>
      <c r="G25" s="269">
        <f t="shared" si="3"/>
        <v>229.51807228915663</v>
      </c>
    </row>
    <row r="26" spans="1:8" x14ac:dyDescent="0.25">
      <c r="A26" s="262"/>
      <c r="B26" s="5" t="s">
        <v>360</v>
      </c>
      <c r="C26" s="5"/>
      <c r="D26" s="193">
        <f>-D25/D5</f>
        <v>-7.2653789486489734E-2</v>
      </c>
      <c r="E26" s="193">
        <f t="shared" ref="E26:G26" si="4">E25/E5</f>
        <v>1.0779342723004695</v>
      </c>
      <c r="F26" s="193">
        <f t="shared" si="4"/>
        <v>5.3741496598639492E-2</v>
      </c>
      <c r="G26" s="270">
        <f t="shared" si="4"/>
        <v>0.33408744146893249</v>
      </c>
    </row>
    <row r="27" spans="1:8" x14ac:dyDescent="0.25">
      <c r="A27" s="262"/>
      <c r="B27" s="5"/>
      <c r="C27" s="5"/>
      <c r="D27" s="185"/>
      <c r="E27" s="186"/>
      <c r="F27" s="186"/>
      <c r="G27" s="265"/>
    </row>
    <row r="28" spans="1:8" x14ac:dyDescent="0.25">
      <c r="A28" s="262"/>
      <c r="B28" s="5" t="s">
        <v>361</v>
      </c>
      <c r="C28" s="5"/>
      <c r="D28" s="185">
        <f>('Reorganised Statements'!D7-'Reorganised Statements'!E7)+'Reorganised Statements'!E99</f>
        <v>-108</v>
      </c>
      <c r="E28" s="185">
        <f>('Reorganised Statements'!E7-'Reorganised Statements'!F7)+'Reorganised Statements'!F99</f>
        <v>-105</v>
      </c>
      <c r="F28" s="185">
        <f>('Reorganised Statements'!F7-'Reorganised Statements'!G7)+'Reorganised Statements'!G99</f>
        <v>-36</v>
      </c>
      <c r="G28" s="185">
        <f>('Reorganised Statements'!G7-'Reorganised Statements'!H7)+'Reorganised Statements'!H99</f>
        <v>-126</v>
      </c>
    </row>
    <row r="29" spans="1:8" x14ac:dyDescent="0.25">
      <c r="A29" s="262"/>
      <c r="B29" s="5" t="s">
        <v>362</v>
      </c>
      <c r="C29" s="5"/>
      <c r="D29" s="185">
        <f>'Reorganised Statements'!D39-'Reorganised Statements'!E39</f>
        <v>14</v>
      </c>
      <c r="E29" s="185">
        <f>'Reorganised Statements'!E39-'Reorganised Statements'!F39</f>
        <v>143</v>
      </c>
      <c r="F29" s="185">
        <f>'Reorganised Statements'!F39-'Reorganised Statements'!G39</f>
        <v>-260</v>
      </c>
      <c r="G29" s="268">
        <f>'Reorganised Statements'!G39-'Reorganised Statements'!H39</f>
        <v>-67</v>
      </c>
    </row>
    <row r="30" spans="1:8" x14ac:dyDescent="0.25">
      <c r="A30" s="262"/>
      <c r="B30" s="5" t="s">
        <v>379</v>
      </c>
      <c r="C30" s="5"/>
      <c r="D30" s="185">
        <f>-D7</f>
        <v>39.814371257485028</v>
      </c>
      <c r="E30" s="185">
        <f t="shared" ref="E30:G30" si="5">-E7</f>
        <v>44.666666666666664</v>
      </c>
      <c r="F30" s="185">
        <f t="shared" si="5"/>
        <v>31.400000000000002</v>
      </c>
      <c r="G30" s="268">
        <f t="shared" si="5"/>
        <v>34.481927710843372</v>
      </c>
    </row>
    <row r="31" spans="1:8" x14ac:dyDescent="0.25">
      <c r="A31" s="262"/>
      <c r="B31" s="18" t="s">
        <v>363</v>
      </c>
      <c r="C31" s="20"/>
      <c r="D31" s="189">
        <f>D25+D28+D29+D30</f>
        <v>-22.000000000000021</v>
      </c>
      <c r="E31" s="190">
        <f t="shared" ref="E31:G31" si="6">E25+E28+E29+E30</f>
        <v>847.99999999999989</v>
      </c>
      <c r="F31" s="190">
        <f t="shared" si="6"/>
        <v>-232.99999999999997</v>
      </c>
      <c r="G31" s="271">
        <f t="shared" si="6"/>
        <v>71</v>
      </c>
    </row>
    <row r="32" spans="1:8" x14ac:dyDescent="0.25">
      <c r="A32" s="262"/>
      <c r="B32" s="5" t="s">
        <v>364</v>
      </c>
      <c r="C32" s="5"/>
      <c r="D32" s="185"/>
      <c r="E32" s="186"/>
      <c r="F32" s="186"/>
      <c r="G32" s="265"/>
    </row>
    <row r="33" spans="1:8" x14ac:dyDescent="0.25">
      <c r="A33" s="262"/>
      <c r="B33" s="5"/>
      <c r="C33" s="5"/>
      <c r="D33" s="191"/>
      <c r="E33" s="192"/>
      <c r="F33" s="192"/>
      <c r="G33" s="272"/>
    </row>
    <row r="34" spans="1:8" x14ac:dyDescent="0.25">
      <c r="A34" s="262"/>
      <c r="B34" s="5" t="s">
        <v>365</v>
      </c>
      <c r="C34" s="5"/>
      <c r="D34" s="192">
        <f>('Reorganised Statements'!D35-'Reorganised Statements'!E35)-'Reorganised Statements'!E114</f>
        <v>-212</v>
      </c>
      <c r="E34" s="192">
        <f>('Reorganised Statements'!E35-'Reorganised Statements'!F35)-'Reorganised Statements'!F114</f>
        <v>-559</v>
      </c>
      <c r="F34" s="192">
        <f>('Reorganised Statements'!F35-'Reorganised Statements'!G35)-'Reorganised Statements'!G114</f>
        <v>166</v>
      </c>
      <c r="G34" s="272">
        <f>('Reorganised Statements'!G35-'Reorganised Statements'!H35)-'Reorganised Statements'!H114</f>
        <v>-261</v>
      </c>
    </row>
    <row r="35" spans="1:8" x14ac:dyDescent="0.25">
      <c r="A35" s="262"/>
      <c r="B35" s="8" t="s">
        <v>366</v>
      </c>
      <c r="C35" s="5"/>
      <c r="D35" s="191">
        <f>D31+D34</f>
        <v>-234.00000000000003</v>
      </c>
      <c r="E35" s="191">
        <f t="shared" ref="E35:G35" si="7">E31+E34</f>
        <v>288.99999999999989</v>
      </c>
      <c r="F35" s="191">
        <f t="shared" si="7"/>
        <v>-66.999999999999972</v>
      </c>
      <c r="G35" s="273">
        <f t="shared" si="7"/>
        <v>-190</v>
      </c>
    </row>
    <row r="36" spans="1:8" x14ac:dyDescent="0.25">
      <c r="A36" s="262"/>
      <c r="B36" s="5"/>
      <c r="C36" s="5"/>
      <c r="D36" s="191"/>
      <c r="E36" s="192"/>
      <c r="F36" s="192"/>
      <c r="G36" s="272"/>
    </row>
    <row r="37" spans="1:8" x14ac:dyDescent="0.25">
      <c r="A37" s="262"/>
      <c r="B37" s="180" t="s">
        <v>367</v>
      </c>
      <c r="C37" s="5"/>
      <c r="D37" s="191">
        <v>636</v>
      </c>
      <c r="E37" s="192">
        <v>402</v>
      </c>
      <c r="F37" s="192">
        <v>691</v>
      </c>
      <c r="G37" s="272">
        <v>624</v>
      </c>
      <c r="H37" s="249"/>
    </row>
    <row r="38" spans="1:8" x14ac:dyDescent="0.25">
      <c r="A38" s="262"/>
      <c r="B38" s="180" t="s">
        <v>368</v>
      </c>
      <c r="C38" s="5"/>
      <c r="D38" s="191">
        <v>402</v>
      </c>
      <c r="E38" s="192">
        <v>691</v>
      </c>
      <c r="F38" s="192">
        <v>624</v>
      </c>
      <c r="G38" s="272">
        <v>434</v>
      </c>
      <c r="H38" s="249"/>
    </row>
    <row r="39" spans="1:8" ht="15.75" thickBot="1" x14ac:dyDescent="0.3">
      <c r="A39" s="274"/>
      <c r="B39" s="275" t="s">
        <v>369</v>
      </c>
      <c r="C39" s="275"/>
      <c r="D39" s="276">
        <f>D38-D37</f>
        <v>-234</v>
      </c>
      <c r="E39" s="276">
        <f t="shared" ref="E39:G39" si="8">E38-E37</f>
        <v>289</v>
      </c>
      <c r="F39" s="276">
        <f t="shared" si="8"/>
        <v>-67</v>
      </c>
      <c r="G39" s="277">
        <f t="shared" si="8"/>
        <v>-190</v>
      </c>
      <c r="H39" s="249"/>
    </row>
    <row r="40" spans="1:8" ht="15.75" thickBot="1" x14ac:dyDescent="0.3">
      <c r="A40" s="1"/>
      <c r="B40" s="1"/>
      <c r="C40" s="1"/>
      <c r="D40" s="1"/>
      <c r="E40" s="1"/>
      <c r="F40" s="1"/>
      <c r="G40" s="1"/>
    </row>
    <row r="41" spans="1:8" ht="15.75" thickBot="1" x14ac:dyDescent="0.3">
      <c r="A41" s="1"/>
      <c r="B41" s="278" t="s">
        <v>380</v>
      </c>
      <c r="C41" s="279"/>
      <c r="D41" s="279" t="str">
        <f>IF(D35=D39,"Correct","Incorrect")</f>
        <v>Correct</v>
      </c>
      <c r="E41" s="279" t="str">
        <f t="shared" ref="E41:G41" si="9">IF(E35=E39,"Correct","Incorrect")</f>
        <v>Correct</v>
      </c>
      <c r="F41" s="279" t="str">
        <f t="shared" si="9"/>
        <v>Correct</v>
      </c>
      <c r="G41" s="280"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Y401"/>
  <sheetViews>
    <sheetView tabSelected="1" workbookViewId="0">
      <selection activeCell="P35" sqref="P35"/>
    </sheetView>
  </sheetViews>
  <sheetFormatPr defaultRowHeight="15" x14ac:dyDescent="0.25"/>
  <cols>
    <col min="1" max="1" width="2.28515625" customWidth="1"/>
    <col min="2" max="2" width="10.140625" bestFit="1" customWidth="1"/>
    <col min="4" max="4" width="17.140625" customWidth="1"/>
    <col min="5" max="5" width="12.140625" bestFit="1" customWidth="1"/>
    <col min="6" max="6" width="14.42578125" bestFit="1" customWidth="1"/>
    <col min="7" max="7" width="18" bestFit="1" customWidth="1"/>
    <col min="8" max="11" width="14.42578125" bestFit="1" customWidth="1"/>
    <col min="12" max="14" width="15.140625" bestFit="1" customWidth="1"/>
    <col min="15" max="15" width="14.28515625" bestFit="1" customWidth="1"/>
  </cols>
  <sheetData>
    <row r="1" spans="1:25" ht="41.25" customHeight="1" x14ac:dyDescent="0.4">
      <c r="A1" s="62"/>
      <c r="B1" s="536" t="s">
        <v>555</v>
      </c>
      <c r="C1" s="535"/>
      <c r="D1" s="535"/>
      <c r="E1" s="535"/>
      <c r="F1" s="535"/>
      <c r="G1" s="535"/>
      <c r="H1" s="535"/>
      <c r="I1" s="535"/>
      <c r="J1" s="499"/>
      <c r="K1" s="499"/>
      <c r="L1" s="499"/>
      <c r="M1" s="499"/>
      <c r="N1" s="499"/>
      <c r="O1" s="130"/>
      <c r="P1" s="130"/>
      <c r="Q1" s="130"/>
      <c r="R1" s="130"/>
      <c r="S1" s="130"/>
      <c r="T1" s="130"/>
      <c r="U1" s="130"/>
      <c r="V1" s="130"/>
      <c r="W1" s="130"/>
      <c r="X1" s="130"/>
      <c r="Y1" s="130"/>
    </row>
    <row r="2" spans="1:25" x14ac:dyDescent="0.25">
      <c r="A2" s="62"/>
      <c r="B2" s="499"/>
      <c r="C2" s="499"/>
      <c r="D2" s="499"/>
      <c r="E2" s="499"/>
      <c r="F2" s="499"/>
      <c r="G2" s="499"/>
      <c r="H2" s="499"/>
      <c r="I2" s="499"/>
      <c r="J2" s="499"/>
      <c r="K2" s="499"/>
      <c r="L2" s="499"/>
      <c r="M2" s="499"/>
      <c r="N2" s="499"/>
      <c r="O2" s="130"/>
      <c r="P2" s="130"/>
      <c r="Q2" s="130"/>
      <c r="R2" s="130"/>
      <c r="S2" s="130"/>
      <c r="T2" s="130"/>
      <c r="U2" s="130"/>
      <c r="V2" s="130"/>
      <c r="W2" s="130"/>
      <c r="X2" s="130"/>
      <c r="Y2" s="130"/>
    </row>
    <row r="3" spans="1:25" x14ac:dyDescent="0.25">
      <c r="A3" s="1"/>
      <c r="B3" s="130"/>
      <c r="C3" s="130"/>
      <c r="D3" s="130"/>
      <c r="E3" s="130"/>
      <c r="F3" s="130"/>
      <c r="G3" s="130"/>
      <c r="H3" s="130"/>
      <c r="I3" s="130"/>
      <c r="J3" s="130"/>
      <c r="K3" s="130"/>
      <c r="L3" s="130"/>
      <c r="M3" s="130"/>
      <c r="N3" s="130"/>
      <c r="O3" s="130"/>
      <c r="P3" s="130"/>
      <c r="Q3" s="130"/>
      <c r="R3" s="130"/>
      <c r="S3" s="130"/>
      <c r="T3" s="130"/>
      <c r="U3" s="130"/>
      <c r="V3" s="130"/>
      <c r="W3" s="130"/>
      <c r="X3" s="130"/>
      <c r="Y3" s="130"/>
    </row>
    <row r="4" spans="1:25" ht="24" x14ac:dyDescent="0.4">
      <c r="A4" s="1"/>
      <c r="B4" s="5"/>
      <c r="C4" s="534"/>
      <c r="D4" s="5"/>
      <c r="E4" s="5"/>
      <c r="F4" s="5"/>
      <c r="G4" s="5"/>
      <c r="H4" s="5"/>
      <c r="I4" s="130"/>
      <c r="J4" s="130"/>
      <c r="K4" s="130"/>
      <c r="L4" s="130"/>
      <c r="M4" s="130"/>
      <c r="N4" s="130"/>
      <c r="O4" s="130"/>
      <c r="P4" s="1"/>
      <c r="Q4" s="1"/>
      <c r="R4" s="1"/>
      <c r="S4" s="1"/>
      <c r="T4" s="1"/>
      <c r="U4" s="1"/>
      <c r="V4" s="1"/>
      <c r="W4" s="1"/>
      <c r="X4" s="1"/>
      <c r="Y4" s="130"/>
    </row>
    <row r="5" spans="1:25" x14ac:dyDescent="0.25">
      <c r="A5" s="1"/>
      <c r="B5" s="5"/>
      <c r="C5" s="5"/>
      <c r="D5" s="5"/>
      <c r="E5" s="584"/>
      <c r="F5" s="584"/>
      <c r="G5" s="584"/>
      <c r="H5" s="584"/>
      <c r="I5" s="130"/>
      <c r="J5" s="130"/>
      <c r="K5" s="130"/>
      <c r="L5" s="130"/>
      <c r="M5" s="130"/>
      <c r="N5" s="130"/>
      <c r="O5" s="130"/>
      <c r="P5" s="1"/>
      <c r="Q5" s="1"/>
      <c r="R5" s="1"/>
      <c r="S5" s="1"/>
      <c r="T5" s="1"/>
      <c r="U5" s="1"/>
      <c r="V5" s="1"/>
      <c r="W5" s="1"/>
      <c r="X5" s="1"/>
      <c r="Y5" s="130"/>
    </row>
    <row r="6" spans="1:25" x14ac:dyDescent="0.25">
      <c r="A6" s="1"/>
      <c r="B6" s="5"/>
      <c r="C6" s="5"/>
      <c r="D6" s="531"/>
      <c r="E6" s="532"/>
      <c r="F6" s="532"/>
      <c r="G6" s="532"/>
      <c r="H6" s="532"/>
      <c r="I6" s="130"/>
      <c r="J6" s="130"/>
      <c r="K6" s="130"/>
      <c r="L6" s="130"/>
      <c r="M6" s="130"/>
      <c r="N6" s="130"/>
      <c r="O6" s="130"/>
      <c r="P6" s="1"/>
      <c r="Q6" s="1"/>
      <c r="R6" s="1"/>
      <c r="S6" s="1"/>
      <c r="T6" s="1"/>
      <c r="U6" s="1"/>
      <c r="V6" s="1"/>
      <c r="W6" s="1"/>
      <c r="X6" s="1"/>
      <c r="Y6" s="130"/>
    </row>
    <row r="7" spans="1:25" ht="18.75" x14ac:dyDescent="0.3">
      <c r="A7" s="1"/>
      <c r="B7" s="533" t="s">
        <v>556</v>
      </c>
      <c r="C7" s="130"/>
      <c r="D7" s="130"/>
      <c r="E7" s="130"/>
      <c r="F7" s="130"/>
      <c r="G7" s="130"/>
      <c r="H7" s="130"/>
      <c r="I7" s="130"/>
      <c r="J7" s="130"/>
      <c r="K7" s="130"/>
      <c r="L7" s="130"/>
      <c r="M7" s="130"/>
      <c r="N7" s="130"/>
      <c r="O7" s="130"/>
      <c r="P7" s="1"/>
      <c r="Q7" s="1"/>
      <c r="R7" s="1"/>
      <c r="S7" s="1"/>
      <c r="T7" s="1"/>
      <c r="U7" s="1"/>
      <c r="V7" s="1"/>
      <c r="W7" s="1"/>
      <c r="X7" s="1"/>
      <c r="Y7" s="130"/>
    </row>
    <row r="8" spans="1:25" x14ac:dyDescent="0.25">
      <c r="A8" s="1"/>
      <c r="B8" s="585" t="s">
        <v>569</v>
      </c>
      <c r="C8" s="585"/>
      <c r="D8" s="585"/>
      <c r="E8" s="585"/>
      <c r="F8" s="585"/>
      <c r="G8" s="585"/>
      <c r="H8" s="585"/>
      <c r="I8" s="585"/>
      <c r="J8" s="585"/>
      <c r="K8" s="585"/>
      <c r="L8" s="585"/>
      <c r="M8" s="585"/>
      <c r="N8" s="130"/>
      <c r="O8" s="130"/>
      <c r="P8" s="1"/>
      <c r="Q8" s="1"/>
      <c r="R8" s="1"/>
      <c r="S8" s="1"/>
      <c r="T8" s="1"/>
      <c r="U8" s="1"/>
      <c r="V8" s="1"/>
      <c r="W8" s="1"/>
      <c r="X8" s="1"/>
      <c r="Y8" s="130"/>
    </row>
    <row r="9" spans="1:25" x14ac:dyDescent="0.25">
      <c r="A9" s="1"/>
      <c r="B9" s="585"/>
      <c r="C9" s="585"/>
      <c r="D9" s="585"/>
      <c r="E9" s="585"/>
      <c r="F9" s="585"/>
      <c r="G9" s="585"/>
      <c r="H9" s="585"/>
      <c r="I9" s="585"/>
      <c r="J9" s="585"/>
      <c r="K9" s="585"/>
      <c r="L9" s="585"/>
      <c r="M9" s="585"/>
      <c r="N9" s="130"/>
      <c r="O9" s="130"/>
      <c r="P9" s="1"/>
      <c r="Q9" s="1"/>
      <c r="R9" s="1"/>
      <c r="S9" s="1"/>
      <c r="T9" s="1"/>
      <c r="U9" s="1"/>
      <c r="V9" s="1"/>
      <c r="W9" s="1"/>
      <c r="X9" s="1"/>
      <c r="Y9" s="130"/>
    </row>
    <row r="10" spans="1:25" x14ac:dyDescent="0.25">
      <c r="A10" s="1"/>
      <c r="B10" s="583" t="s">
        <v>575</v>
      </c>
      <c r="C10" s="583"/>
      <c r="D10" s="583"/>
      <c r="E10" s="583"/>
      <c r="F10" s="583"/>
      <c r="G10" s="583"/>
      <c r="H10" s="583"/>
      <c r="I10" s="583"/>
      <c r="J10" s="543">
        <f>'Ratio '!J39</f>
        <v>1.1597653602856097</v>
      </c>
      <c r="K10" s="1"/>
      <c r="L10" s="1"/>
      <c r="M10" s="1"/>
      <c r="N10" s="1"/>
      <c r="O10" s="130"/>
      <c r="P10" s="1"/>
      <c r="Q10" s="1"/>
      <c r="R10" s="1"/>
      <c r="S10" s="1"/>
      <c r="T10" s="1"/>
      <c r="U10" s="1"/>
      <c r="V10" s="1"/>
      <c r="W10" s="1"/>
      <c r="X10" s="1"/>
      <c r="Y10" s="130"/>
    </row>
    <row r="11" spans="1:25" x14ac:dyDescent="0.25">
      <c r="A11" s="1"/>
      <c r="B11" s="130" t="s">
        <v>574</v>
      </c>
      <c r="C11" s="130"/>
      <c r="D11" s="130"/>
      <c r="E11" s="542">
        <f>'Ratio '!H9*J10</f>
        <v>8.2561525814054362E-2</v>
      </c>
      <c r="F11" s="130" t="s">
        <v>579</v>
      </c>
      <c r="G11" s="130"/>
      <c r="H11" s="130"/>
      <c r="I11" s="1"/>
      <c r="J11" s="1"/>
      <c r="K11" s="1"/>
      <c r="L11" s="130"/>
      <c r="M11" s="130"/>
      <c r="N11" s="130"/>
      <c r="O11" s="130"/>
      <c r="P11" s="1"/>
      <c r="Q11" s="1"/>
      <c r="R11" s="1"/>
      <c r="S11" s="1"/>
      <c r="T11" s="1"/>
      <c r="U11" s="1"/>
      <c r="V11" s="1"/>
      <c r="W11" s="1"/>
      <c r="X11" s="1"/>
      <c r="Y11" s="130"/>
    </row>
    <row r="12" spans="1:25" x14ac:dyDescent="0.25">
      <c r="B12" s="130" t="s">
        <v>560</v>
      </c>
      <c r="C12" s="130"/>
      <c r="D12" s="1"/>
      <c r="E12" s="1"/>
      <c r="F12" s="1"/>
      <c r="G12" s="130"/>
      <c r="H12" s="130"/>
      <c r="I12" s="130"/>
      <c r="J12" s="130"/>
      <c r="K12" s="130"/>
      <c r="L12" s="130"/>
      <c r="M12" s="130"/>
      <c r="N12" s="130"/>
      <c r="O12" s="130"/>
      <c r="P12" s="130"/>
      <c r="Q12" s="130"/>
      <c r="R12" s="130"/>
      <c r="S12" s="130"/>
      <c r="T12" s="130"/>
      <c r="U12" s="130"/>
      <c r="V12" s="130"/>
      <c r="W12" s="130"/>
      <c r="X12" s="130"/>
      <c r="Y12" s="130"/>
    </row>
    <row r="13" spans="1:25" x14ac:dyDescent="0.25">
      <c r="A13" s="1"/>
      <c r="B13" s="130" t="s">
        <v>562</v>
      </c>
      <c r="C13" s="519">
        <f>'WACC '!F60</f>
        <v>4.0835501670253002E-2</v>
      </c>
      <c r="D13" s="130" t="s">
        <v>578</v>
      </c>
      <c r="E13" s="540" t="s">
        <v>561</v>
      </c>
      <c r="F13" s="542">
        <f>'WACC '!F57</f>
        <v>6.0546861768634365E-2</v>
      </c>
      <c r="G13" s="130"/>
      <c r="H13" s="130"/>
      <c r="I13" s="130"/>
      <c r="J13" s="130"/>
      <c r="K13" s="130"/>
      <c r="L13" s="130"/>
      <c r="M13" s="130"/>
      <c r="N13" s="130"/>
      <c r="O13" s="130"/>
      <c r="P13" s="130"/>
      <c r="Q13" s="130"/>
      <c r="R13" s="130"/>
      <c r="S13" s="130"/>
      <c r="T13" s="130"/>
      <c r="U13" s="130"/>
      <c r="V13" s="130"/>
      <c r="W13" s="130"/>
      <c r="X13" s="130"/>
      <c r="Y13" s="130"/>
    </row>
    <row r="14" spans="1:25" x14ac:dyDescent="0.25">
      <c r="A14" s="1"/>
      <c r="B14" s="540" t="s">
        <v>561</v>
      </c>
      <c r="C14" s="549">
        <v>7.6797343881065003E-2</v>
      </c>
      <c r="D14" s="130" t="s">
        <v>567</v>
      </c>
      <c r="E14" s="1"/>
      <c r="F14" s="1"/>
      <c r="G14" s="130"/>
      <c r="H14" s="130"/>
      <c r="I14" s="130"/>
      <c r="J14" s="130"/>
      <c r="K14" s="130"/>
      <c r="L14" s="130"/>
      <c r="M14" s="130"/>
      <c r="N14" s="130"/>
      <c r="O14" s="130"/>
      <c r="P14" s="130"/>
      <c r="Q14" s="130"/>
      <c r="R14" s="130"/>
      <c r="S14" s="130"/>
      <c r="T14" s="130"/>
      <c r="U14" s="130"/>
      <c r="V14" s="130"/>
      <c r="W14" s="130"/>
      <c r="X14" s="130"/>
      <c r="Y14" s="130"/>
    </row>
    <row r="15" spans="1:25" x14ac:dyDescent="0.25">
      <c r="A15" s="1"/>
      <c r="B15" s="541" t="s">
        <v>561</v>
      </c>
      <c r="C15" s="519">
        <f>'WACC '!F63</f>
        <v>4.4954889784730473E-2</v>
      </c>
      <c r="D15" s="130" t="s">
        <v>563</v>
      </c>
      <c r="E15" s="130"/>
      <c r="F15" s="130"/>
      <c r="G15" s="130"/>
      <c r="H15" s="130"/>
      <c r="I15" s="130"/>
      <c r="J15" s="130"/>
      <c r="K15" s="130"/>
      <c r="L15" s="130"/>
      <c r="M15" s="130"/>
      <c r="N15" s="130"/>
      <c r="O15" s="130"/>
      <c r="P15" s="130"/>
      <c r="Q15" s="130"/>
      <c r="R15" s="130"/>
      <c r="S15" s="130"/>
      <c r="T15" s="130"/>
      <c r="U15" s="130"/>
      <c r="V15" s="130"/>
      <c r="W15" s="130"/>
      <c r="X15" s="130"/>
      <c r="Y15" s="130"/>
    </row>
    <row r="16" spans="1:25" x14ac:dyDescent="0.25">
      <c r="A16" s="1"/>
      <c r="B16" s="583" t="s">
        <v>582</v>
      </c>
      <c r="C16" s="583"/>
      <c r="D16" s="583"/>
      <c r="E16" s="583"/>
      <c r="F16" s="583"/>
      <c r="G16" s="583"/>
      <c r="H16" s="543">
        <f>AVERAGE(F33:I33)</f>
        <v>0.12827935173853447</v>
      </c>
      <c r="I16" s="130"/>
      <c r="J16" s="130"/>
      <c r="K16" s="130"/>
      <c r="L16" s="130"/>
      <c r="M16" s="130"/>
      <c r="N16" s="130"/>
      <c r="O16" s="130"/>
      <c r="P16" s="130"/>
      <c r="Q16" s="130"/>
      <c r="R16" s="130"/>
      <c r="S16" s="130"/>
      <c r="T16" s="130"/>
      <c r="U16" s="130"/>
      <c r="V16" s="130"/>
      <c r="W16" s="130"/>
      <c r="X16" s="130"/>
      <c r="Y16" s="130"/>
    </row>
    <row r="17" spans="1:25" x14ac:dyDescent="0.25">
      <c r="A17" s="1"/>
      <c r="B17" s="544" t="s">
        <v>583</v>
      </c>
      <c r="C17" s="544"/>
      <c r="D17" s="544"/>
      <c r="E17" s="544"/>
      <c r="F17" s="544"/>
      <c r="G17" s="544"/>
      <c r="H17" s="544"/>
      <c r="K17" s="543">
        <f>AVERAGE(F32,H32:I32)</f>
        <v>0.59912998234232473</v>
      </c>
      <c r="L17" s="1"/>
      <c r="M17" s="1"/>
      <c r="N17" s="130"/>
      <c r="O17" s="130"/>
      <c r="P17" s="130"/>
      <c r="Q17" s="130"/>
      <c r="R17" s="130"/>
      <c r="S17" s="130"/>
      <c r="T17" s="130"/>
      <c r="U17" s="130"/>
      <c r="V17" s="130"/>
      <c r="W17" s="130"/>
      <c r="X17" s="130"/>
      <c r="Y17" s="130"/>
    </row>
    <row r="18" spans="1:25" x14ac:dyDescent="0.25">
      <c r="A18" s="1"/>
      <c r="B18" s="130" t="s">
        <v>581</v>
      </c>
      <c r="C18" s="1"/>
      <c r="D18" s="1"/>
      <c r="E18" s="1"/>
      <c r="F18" s="1"/>
      <c r="G18" s="1"/>
      <c r="H18" s="1"/>
      <c r="I18" s="542">
        <f>I27/H27-1</f>
        <v>0.12781028641823222</v>
      </c>
      <c r="J18" s="1"/>
      <c r="K18" s="1"/>
      <c r="L18" s="1"/>
      <c r="M18" s="1"/>
      <c r="N18" s="130"/>
      <c r="O18" s="130"/>
      <c r="P18" s="130"/>
      <c r="Q18" s="130"/>
      <c r="R18" s="130"/>
      <c r="S18" s="130"/>
      <c r="T18" s="130"/>
      <c r="U18" s="130"/>
      <c r="V18" s="130"/>
      <c r="W18" s="130"/>
      <c r="X18" s="130"/>
      <c r="Y18" s="130"/>
    </row>
    <row r="19" spans="1:25" x14ac:dyDescent="0.25">
      <c r="A19" s="1"/>
      <c r="B19" s="1" t="s">
        <v>584</v>
      </c>
      <c r="C19" s="130"/>
      <c r="D19" s="130"/>
      <c r="E19" s="130"/>
      <c r="F19" s="537">
        <f>AVERAGE(G35:I35)</f>
        <v>0.29511823035850493</v>
      </c>
      <c r="G19" s="130"/>
      <c r="H19" s="130"/>
      <c r="I19" s="1"/>
      <c r="J19" s="1"/>
      <c r="K19" s="130"/>
      <c r="L19" s="130"/>
      <c r="M19" s="130"/>
      <c r="N19" s="130"/>
      <c r="O19" s="130"/>
      <c r="P19" s="130"/>
      <c r="Q19" s="130"/>
      <c r="R19" s="130"/>
      <c r="S19" s="130"/>
      <c r="T19" s="130"/>
      <c r="U19" s="130"/>
      <c r="V19" s="130"/>
      <c r="W19" s="130"/>
      <c r="X19" s="130"/>
      <c r="Y19" s="130"/>
    </row>
    <row r="20" spans="1:25" x14ac:dyDescent="0.25">
      <c r="A20" s="1"/>
      <c r="B20" s="1" t="s">
        <v>585</v>
      </c>
      <c r="C20" s="1"/>
      <c r="D20" s="1"/>
      <c r="E20" s="1"/>
      <c r="F20" s="1"/>
      <c r="G20" s="550">
        <f>AVERAGE(G37:I37)</f>
        <v>-0.63421168203776901</v>
      </c>
      <c r="H20" s="1"/>
      <c r="I20" s="130"/>
      <c r="J20" s="130"/>
      <c r="K20" s="130"/>
      <c r="L20" s="130"/>
      <c r="M20" s="130"/>
      <c r="N20" s="130"/>
      <c r="O20" s="130"/>
      <c r="P20" s="130"/>
      <c r="Q20" s="130"/>
      <c r="R20" s="130"/>
      <c r="S20" s="130"/>
      <c r="T20" s="130"/>
      <c r="U20" s="130"/>
      <c r="V20" s="130"/>
      <c r="W20" s="130"/>
      <c r="X20" s="130"/>
      <c r="Y20" s="130"/>
    </row>
    <row r="21" spans="1:25" x14ac:dyDescent="0.25">
      <c r="A21" s="1"/>
      <c r="B21" s="130" t="s">
        <v>586</v>
      </c>
      <c r="G21" s="550">
        <f>AVERAGE(G39:I39)</f>
        <v>0.26192328692328681</v>
      </c>
      <c r="H21" s="1"/>
      <c r="I21" s="1"/>
      <c r="J21" s="130"/>
      <c r="K21" s="130"/>
      <c r="L21" s="130"/>
      <c r="M21" s="130"/>
      <c r="N21" s="130"/>
      <c r="O21" s="130"/>
      <c r="P21" s="130"/>
      <c r="Q21" s="130"/>
      <c r="R21" s="130"/>
      <c r="S21" s="130"/>
      <c r="T21" s="130"/>
      <c r="U21" s="130"/>
      <c r="V21" s="130"/>
      <c r="W21" s="130"/>
      <c r="X21" s="130"/>
      <c r="Y21" s="130"/>
    </row>
    <row r="22" spans="1:25" x14ac:dyDescent="0.25">
      <c r="A22" s="1"/>
      <c r="B22" s="130" t="s">
        <v>587</v>
      </c>
      <c r="C22" s="130"/>
      <c r="D22" s="130"/>
      <c r="E22" s="130"/>
      <c r="F22" s="130"/>
      <c r="G22" s="537">
        <f>AVERAGE(G41:I41)</f>
        <v>-1.9006160506160503</v>
      </c>
      <c r="H22" s="130"/>
      <c r="I22" s="130"/>
      <c r="J22" s="130"/>
      <c r="K22" s="130"/>
      <c r="L22" s="130"/>
      <c r="M22" s="130"/>
      <c r="N22" s="130"/>
      <c r="O22" s="130"/>
      <c r="P22" s="130"/>
      <c r="Q22" s="130"/>
      <c r="R22" s="130"/>
      <c r="S22" s="130"/>
      <c r="T22" s="130"/>
      <c r="U22" s="130"/>
      <c r="V22" s="130"/>
      <c r="W22" s="130"/>
      <c r="X22" s="130"/>
      <c r="Y22" s="130"/>
    </row>
    <row r="23" spans="1:25" x14ac:dyDescent="0.25">
      <c r="A23" s="1"/>
      <c r="B23" s="1" t="s">
        <v>580</v>
      </c>
      <c r="C23" s="1"/>
      <c r="D23" s="1"/>
      <c r="E23" s="1"/>
      <c r="F23" s="1"/>
      <c r="G23" s="550">
        <f>AVERAGE(G43:I43)</f>
        <v>0.635642496957051</v>
      </c>
      <c r="H23" s="1"/>
      <c r="I23" s="1"/>
      <c r="J23" s="1"/>
      <c r="K23" s="1"/>
      <c r="L23" s="1"/>
      <c r="M23" s="1"/>
      <c r="N23" s="1"/>
      <c r="O23" s="166"/>
      <c r="P23" s="130"/>
      <c r="Q23" s="130"/>
      <c r="R23" s="130"/>
      <c r="S23" s="130"/>
      <c r="T23" s="130"/>
      <c r="U23" s="130"/>
      <c r="V23" s="130"/>
      <c r="W23" s="130"/>
      <c r="X23" s="130"/>
      <c r="Y23" s="130"/>
    </row>
    <row r="24" spans="1:25" x14ac:dyDescent="0.25">
      <c r="A24" s="1"/>
      <c r="C24" s="1"/>
      <c r="D24" s="1"/>
      <c r="E24" s="1"/>
      <c r="F24" s="1"/>
      <c r="G24" s="1"/>
      <c r="H24" s="1"/>
      <c r="I24" s="1"/>
      <c r="J24" s="1"/>
      <c r="K24" s="1"/>
      <c r="L24" s="1"/>
      <c r="M24" s="1"/>
      <c r="N24" s="1"/>
      <c r="O24" s="130"/>
      <c r="P24" s="130"/>
      <c r="Q24" s="1"/>
      <c r="R24" s="130"/>
      <c r="S24" s="130"/>
      <c r="T24" s="130"/>
      <c r="U24" s="130"/>
      <c r="V24" s="130"/>
      <c r="W24" s="130"/>
      <c r="X24" s="130"/>
      <c r="Y24" s="130"/>
    </row>
    <row r="25" spans="1:25" x14ac:dyDescent="0.25">
      <c r="A25" s="1"/>
      <c r="B25" s="130"/>
      <c r="C25" s="130"/>
      <c r="D25" s="130"/>
      <c r="E25" s="17"/>
      <c r="F25" s="572" t="s">
        <v>158</v>
      </c>
      <c r="G25" s="572"/>
      <c r="H25" s="572"/>
      <c r="I25" s="572"/>
      <c r="J25" s="581" t="s">
        <v>572</v>
      </c>
      <c r="K25" s="582"/>
      <c r="L25" s="582"/>
      <c r="M25" s="582"/>
      <c r="N25" s="582"/>
      <c r="O25" s="130"/>
      <c r="P25" s="130"/>
      <c r="Q25" s="130"/>
      <c r="R25" s="130"/>
      <c r="S25" s="130"/>
      <c r="T25" s="130"/>
      <c r="U25" s="130"/>
      <c r="V25" s="130"/>
      <c r="W25" s="130"/>
      <c r="X25" s="130"/>
      <c r="Y25" s="130"/>
    </row>
    <row r="26" spans="1:25" x14ac:dyDescent="0.25">
      <c r="A26" s="1"/>
      <c r="B26" s="502"/>
      <c r="C26" s="545"/>
      <c r="D26" s="125"/>
      <c r="E26" s="126" t="s">
        <v>1</v>
      </c>
      <c r="F26" s="128">
        <v>42735</v>
      </c>
      <c r="G26" s="128">
        <v>43100</v>
      </c>
      <c r="H26" s="128">
        <v>43465</v>
      </c>
      <c r="I26" s="128">
        <v>43830</v>
      </c>
      <c r="J26" s="554">
        <v>44196</v>
      </c>
      <c r="K26" s="112">
        <v>44561</v>
      </c>
      <c r="L26" s="112">
        <v>44926</v>
      </c>
      <c r="M26" s="112">
        <v>45291</v>
      </c>
      <c r="N26" s="112">
        <v>45657</v>
      </c>
      <c r="O26" s="130"/>
      <c r="P26" s="546"/>
      <c r="Q26" s="130"/>
      <c r="R26" s="130"/>
      <c r="S26" s="130"/>
      <c r="T26" s="130"/>
      <c r="U26" s="130"/>
      <c r="V26" s="130"/>
      <c r="W26" s="130"/>
      <c r="X26" s="130"/>
      <c r="Y26" s="130"/>
    </row>
    <row r="27" spans="1:25" x14ac:dyDescent="0.25">
      <c r="A27" s="1"/>
      <c r="B27" s="130" t="s">
        <v>463</v>
      </c>
      <c r="C27" s="130"/>
      <c r="D27" s="130"/>
      <c r="E27" s="130"/>
      <c r="F27" s="566">
        <v>4860</v>
      </c>
      <c r="G27" s="566">
        <v>5796</v>
      </c>
      <c r="H27" s="566">
        <v>6494</v>
      </c>
      <c r="I27" s="566">
        <v>7324</v>
      </c>
      <c r="J27" s="567">
        <f>I27*(1+$I$18)</f>
        <v>8260.0825377271321</v>
      </c>
      <c r="K27" s="221">
        <f>J27*(1+$I$18)</f>
        <v>9315.8060527122761</v>
      </c>
      <c r="L27" s="221">
        <f>K27*(1+$I$18)</f>
        <v>10506.461892526133</v>
      </c>
      <c r="M27" s="221">
        <f>L27*(1+$I$18)</f>
        <v>11849.29579625214</v>
      </c>
      <c r="N27" s="221">
        <f>M27*(1+$I$18)</f>
        <v>13363.75768582548</v>
      </c>
      <c r="O27" s="130"/>
      <c r="P27" s="130"/>
      <c r="Q27" s="130"/>
      <c r="R27" s="130"/>
      <c r="S27" s="130"/>
      <c r="T27" s="130"/>
      <c r="U27" s="130"/>
      <c r="V27" s="130"/>
      <c r="W27" s="130"/>
      <c r="X27" s="130"/>
      <c r="Y27" s="130"/>
    </row>
    <row r="28" spans="1:25" x14ac:dyDescent="0.25">
      <c r="A28" s="1"/>
      <c r="B28" s="130"/>
      <c r="C28" s="130"/>
      <c r="D28" s="130"/>
      <c r="E28" s="130"/>
      <c r="F28" s="566"/>
      <c r="G28" s="566"/>
      <c r="H28" s="566"/>
      <c r="I28" s="566"/>
      <c r="J28" s="567">
        <f>'Cash flows'!G5</f>
        <v>687</v>
      </c>
      <c r="K28" s="221">
        <f>J28*(1+$E$11)</f>
        <v>743.71976823425541</v>
      </c>
      <c r="L28" s="221">
        <f t="shared" ref="L28:N28" si="0">K28*(1+$E$11)</f>
        <v>805.12240707775049</v>
      </c>
      <c r="M28" s="221">
        <f t="shared" si="0"/>
        <v>871.59454147317376</v>
      </c>
      <c r="N28" s="221">
        <f t="shared" si="0"/>
        <v>943.55471670840006</v>
      </c>
      <c r="O28" s="130"/>
      <c r="P28" s="130"/>
      <c r="Q28" s="130"/>
      <c r="R28" s="130"/>
      <c r="S28" s="130"/>
      <c r="T28" s="130"/>
      <c r="U28" s="130"/>
      <c r="V28" s="130"/>
      <c r="W28" s="130"/>
      <c r="X28" s="130"/>
      <c r="Y28" s="130"/>
    </row>
    <row r="29" spans="1:25" x14ac:dyDescent="0.25">
      <c r="A29" s="1"/>
      <c r="B29" s="130" t="s">
        <v>565</v>
      </c>
      <c r="C29" s="130"/>
      <c r="D29" s="130"/>
      <c r="E29" s="130"/>
      <c r="F29" s="185">
        <v>281.18562874251495</v>
      </c>
      <c r="G29" s="186">
        <v>473.33333333333331</v>
      </c>
      <c r="H29" s="186">
        <v>399.6</v>
      </c>
      <c r="I29" s="547">
        <v>463.51807228915663</v>
      </c>
      <c r="J29" s="567">
        <f>'Cash flows'!G5*(1-0.279)</f>
        <v>495.327</v>
      </c>
      <c r="K29" s="221">
        <f>J29*(1+$E$11)</f>
        <v>536.22195289689807</v>
      </c>
      <c r="L29" s="221">
        <f>K29*(1+$E$11)</f>
        <v>580.49325550305798</v>
      </c>
      <c r="M29" s="221">
        <f>L29*(1+$E$11)</f>
        <v>628.41966440215822</v>
      </c>
      <c r="N29" s="221">
        <f>M29*(1+$E$11)</f>
        <v>680.30295074675644</v>
      </c>
      <c r="O29" s="130"/>
      <c r="P29" s="130"/>
      <c r="Q29" s="130"/>
      <c r="R29" s="130"/>
      <c r="S29" s="130"/>
      <c r="T29" s="130"/>
      <c r="U29" s="130"/>
      <c r="V29" s="130"/>
      <c r="W29" s="130"/>
      <c r="X29" s="130"/>
      <c r="Y29" s="130"/>
    </row>
    <row r="30" spans="1:25" x14ac:dyDescent="0.25">
      <c r="A30" s="1"/>
      <c r="B30" s="130" t="s">
        <v>570</v>
      </c>
      <c r="C30" s="130"/>
      <c r="D30" s="130"/>
      <c r="E30" s="5"/>
      <c r="F30" s="566">
        <f>'Cash flows'!D19</f>
        <v>-1066</v>
      </c>
      <c r="G30" s="566">
        <f>'Cash flows'!E19</f>
        <v>-80</v>
      </c>
      <c r="H30" s="566">
        <f>'Cash flows'!F19</f>
        <v>-1076</v>
      </c>
      <c r="I30" s="566">
        <f>'Cash flows'!G19</f>
        <v>-837</v>
      </c>
      <c r="J30" s="567">
        <f>-J27*J33</f>
        <v>-1059.5980332464253</v>
      </c>
      <c r="K30" s="221">
        <f t="shared" ref="K30:N30" si="1">-K27*K33</f>
        <v>-1195.0255613638465</v>
      </c>
      <c r="L30" s="221">
        <f t="shared" si="1"/>
        <v>-1347.7621206388683</v>
      </c>
      <c r="M30" s="221">
        <f t="shared" si="1"/>
        <v>-1520.019983301366</v>
      </c>
      <c r="N30" s="221">
        <f t="shared" si="1"/>
        <v>-1714.2941727285502</v>
      </c>
      <c r="O30" s="130"/>
      <c r="P30" s="130"/>
      <c r="Q30" s="130"/>
      <c r="R30" s="130"/>
      <c r="S30" s="130"/>
      <c r="T30" s="130"/>
      <c r="U30" s="130"/>
      <c r="V30" s="130"/>
      <c r="W30" s="130"/>
      <c r="X30" s="130"/>
      <c r="Y30" s="130"/>
    </row>
    <row r="31" spans="1:25" x14ac:dyDescent="0.25">
      <c r="A31" s="1"/>
      <c r="B31" s="130" t="s">
        <v>568</v>
      </c>
      <c r="C31" s="130"/>
      <c r="D31" s="130"/>
      <c r="E31" s="130"/>
      <c r="F31" s="566">
        <f>'Cash flows'!D20</f>
        <v>648</v>
      </c>
      <c r="G31" s="566">
        <f>'Cash flows'!E20</f>
        <v>444</v>
      </c>
      <c r="H31" s="566">
        <f>'Cash flows'!F20</f>
        <v>623</v>
      </c>
      <c r="I31" s="566">
        <f>'Cash flows'!G20</f>
        <v>511</v>
      </c>
      <c r="J31" s="567">
        <f>-J30*J32</f>
        <v>634.83695094889276</v>
      </c>
      <c r="K31" s="221">
        <f t="shared" ref="K31:N31" si="2">-K30*K32</f>
        <v>715.97564347854802</v>
      </c>
      <c r="L31" s="221">
        <f t="shared" si="2"/>
        <v>807.48469554001929</v>
      </c>
      <c r="M31" s="221">
        <f t="shared" si="2"/>
        <v>910.68954575532814</v>
      </c>
      <c r="N31" s="221">
        <f t="shared" si="2"/>
        <v>1027.0850374364065</v>
      </c>
      <c r="O31" s="130"/>
      <c r="P31" s="130"/>
      <c r="Q31" s="130"/>
      <c r="R31" s="130"/>
      <c r="S31" s="130"/>
      <c r="T31" s="130"/>
      <c r="U31" s="130"/>
      <c r="V31" s="130"/>
      <c r="W31" s="130"/>
      <c r="X31" s="130"/>
      <c r="Y31" s="130"/>
    </row>
    <row r="32" spans="1:25" x14ac:dyDescent="0.25">
      <c r="A32" s="1"/>
      <c r="B32" s="553" t="s">
        <v>571</v>
      </c>
      <c r="C32" s="551"/>
      <c r="D32" s="551"/>
      <c r="E32" s="551"/>
      <c r="F32" s="552">
        <f>-F31/F30</f>
        <v>0.60787992495309573</v>
      </c>
      <c r="G32" s="552">
        <f t="shared" ref="G32:I32" si="3">-G31/G30</f>
        <v>5.55</v>
      </c>
      <c r="H32" s="552">
        <f t="shared" si="3"/>
        <v>0.57899628252788105</v>
      </c>
      <c r="I32" s="552">
        <f t="shared" si="3"/>
        <v>0.61051373954599764</v>
      </c>
      <c r="J32" s="561">
        <v>0.59912998234232473</v>
      </c>
      <c r="K32" s="562">
        <v>0.59912998234232473</v>
      </c>
      <c r="L32" s="562">
        <v>0.59912998234232473</v>
      </c>
      <c r="M32" s="562">
        <v>0.59912998234232473</v>
      </c>
      <c r="N32" s="562">
        <v>0.59912998234232473</v>
      </c>
      <c r="O32" s="130"/>
      <c r="P32" s="130"/>
      <c r="Q32" s="130"/>
      <c r="R32" s="130"/>
      <c r="S32" s="130"/>
      <c r="T32" s="130"/>
      <c r="U32" s="130"/>
      <c r="V32" s="130"/>
      <c r="W32" s="130"/>
      <c r="X32" s="130"/>
      <c r="Y32" s="130"/>
    </row>
    <row r="33" spans="1:25" x14ac:dyDescent="0.25">
      <c r="A33" s="1"/>
      <c r="B33" s="553" t="s">
        <v>573</v>
      </c>
      <c r="C33" s="551"/>
      <c r="D33" s="551"/>
      <c r="E33" s="551"/>
      <c r="F33" s="552">
        <f>-F30/F27</f>
        <v>0.21934156378600822</v>
      </c>
      <c r="G33" s="552">
        <f>-G30/G27</f>
        <v>1.3802622498274672E-2</v>
      </c>
      <c r="H33" s="552">
        <f>-H30/H27</f>
        <v>0.16569140745303357</v>
      </c>
      <c r="I33" s="552">
        <f>-I30/I27</f>
        <v>0.1142818132168214</v>
      </c>
      <c r="J33" s="563">
        <v>0.12827935173853447</v>
      </c>
      <c r="K33" s="564">
        <v>0.12827935173853447</v>
      </c>
      <c r="L33" s="564">
        <v>0.12827935173853447</v>
      </c>
      <c r="M33" s="564">
        <v>0.12827935173853447</v>
      </c>
      <c r="N33" s="564">
        <v>0.12827935173853447</v>
      </c>
      <c r="O33" s="1"/>
      <c r="P33" s="1"/>
      <c r="Q33" s="1"/>
      <c r="R33" s="1"/>
      <c r="S33" s="1"/>
      <c r="T33" s="1"/>
      <c r="U33" s="1"/>
      <c r="V33" s="1"/>
      <c r="W33" s="1"/>
    </row>
    <row r="34" spans="1:25" x14ac:dyDescent="0.25">
      <c r="A34" s="1"/>
      <c r="B34" s="130" t="s">
        <v>356</v>
      </c>
      <c r="C34" s="130"/>
      <c r="D34" s="130"/>
      <c r="E34" s="130"/>
      <c r="F34" s="566">
        <v>95</v>
      </c>
      <c r="G34" s="566">
        <v>-46</v>
      </c>
      <c r="H34" s="566">
        <v>17</v>
      </c>
      <c r="I34" s="566">
        <v>34</v>
      </c>
      <c r="J34" s="556">
        <f>I34*(1+$F$19)</f>
        <v>44.034019832189166</v>
      </c>
      <c r="K34" s="556">
        <f t="shared" ref="K34:N34" si="4">J34*(1+$F$19)</f>
        <v>57.029261840636146</v>
      </c>
      <c r="L34" s="556">
        <f t="shared" si="4"/>
        <v>73.8596366736965</v>
      </c>
      <c r="M34" s="556">
        <f t="shared" si="4"/>
        <v>95.656961943759939</v>
      </c>
      <c r="N34" s="556">
        <f t="shared" si="4"/>
        <v>123.88707527407323</v>
      </c>
      <c r="O34" s="130" t="s">
        <v>597</v>
      </c>
      <c r="P34" s="130" t="s">
        <v>599</v>
      </c>
      <c r="Q34" s="130"/>
      <c r="R34" s="130"/>
      <c r="S34" s="130"/>
      <c r="T34" s="130"/>
      <c r="U34" s="130"/>
      <c r="V34" s="130"/>
      <c r="W34" s="130"/>
      <c r="X34" s="130"/>
      <c r="Y34" s="130"/>
    </row>
    <row r="35" spans="1:25" x14ac:dyDescent="0.25">
      <c r="A35" s="1"/>
      <c r="B35" s="551" t="s">
        <v>577</v>
      </c>
      <c r="C35" s="551"/>
      <c r="D35" s="551"/>
      <c r="E35" s="551"/>
      <c r="F35" s="558"/>
      <c r="G35" s="552">
        <f>G34/F34-1</f>
        <v>-1.4842105263157894</v>
      </c>
      <c r="H35" s="552">
        <f>-(H34/G34-1)</f>
        <v>1.3695652173913042</v>
      </c>
      <c r="I35" s="552">
        <f t="shared" ref="I35" si="5">I34/H34-1</f>
        <v>1</v>
      </c>
      <c r="J35" s="556"/>
      <c r="K35" s="557"/>
      <c r="L35" s="557"/>
      <c r="M35" s="557"/>
      <c r="N35" s="557"/>
      <c r="O35" s="1"/>
      <c r="P35" s="1"/>
      <c r="Q35" s="1"/>
      <c r="R35" s="1"/>
      <c r="S35" s="1"/>
      <c r="T35" s="1"/>
      <c r="U35" s="1"/>
      <c r="V35" s="1"/>
      <c r="W35" s="1"/>
    </row>
    <row r="36" spans="1:25" x14ac:dyDescent="0.25">
      <c r="A36" s="1"/>
      <c r="B36" s="130" t="s">
        <v>357</v>
      </c>
      <c r="C36" s="130"/>
      <c r="D36" s="130"/>
      <c r="E36" s="130"/>
      <c r="F36" s="566">
        <v>33</v>
      </c>
      <c r="G36" s="566">
        <v>-46</v>
      </c>
      <c r="H36" s="566">
        <v>-5</v>
      </c>
      <c r="I36" s="566">
        <v>-7</v>
      </c>
      <c r="J36" s="556">
        <f>I36*(1-$G$20)</f>
        <v>-11.439481774264383</v>
      </c>
      <c r="K36" s="556">
        <f t="shared" ref="K36:N36" si="6">J36*(1-$G$20)</f>
        <v>-18.694534751961001</v>
      </c>
      <c r="L36" s="556">
        <f t="shared" si="6"/>
        <v>-30.550827081915713</v>
      </c>
      <c r="M36" s="556">
        <f t="shared" si="6"/>
        <v>-49.926518513182501</v>
      </c>
      <c r="N36" s="556">
        <f t="shared" si="6"/>
        <v>-81.590499797717783</v>
      </c>
      <c r="O36" s="130"/>
      <c r="P36" s="130"/>
      <c r="Q36" s="130"/>
      <c r="R36" s="130"/>
      <c r="S36" s="130"/>
      <c r="T36" s="130"/>
      <c r="U36" s="130"/>
      <c r="V36" s="130"/>
      <c r="W36" s="130"/>
      <c r="X36" s="130"/>
      <c r="Y36" s="130"/>
    </row>
    <row r="37" spans="1:25" x14ac:dyDescent="0.25">
      <c r="A37" s="1"/>
      <c r="B37" s="551" t="s">
        <v>577</v>
      </c>
      <c r="C37" s="551"/>
      <c r="D37" s="551"/>
      <c r="E37" s="551"/>
      <c r="F37" s="558"/>
      <c r="G37" s="552">
        <f>G36/F36-1</f>
        <v>-2.393939393939394</v>
      </c>
      <c r="H37" s="552">
        <f>-(H36/G36-1)</f>
        <v>0.89130434782608692</v>
      </c>
      <c r="I37" s="552">
        <f>-(I36/H36-1)</f>
        <v>-0.39999999999999991</v>
      </c>
      <c r="J37" s="556"/>
      <c r="K37" s="557"/>
      <c r="L37" s="557"/>
      <c r="M37" s="557"/>
      <c r="N37" s="557"/>
      <c r="O37" s="1"/>
      <c r="P37" s="1"/>
      <c r="Q37" s="1"/>
      <c r="R37" s="1"/>
      <c r="S37" s="1"/>
      <c r="T37" s="1"/>
      <c r="U37" s="1"/>
      <c r="V37" s="1"/>
      <c r="W37" s="1"/>
    </row>
    <row r="38" spans="1:25" x14ac:dyDescent="0.25">
      <c r="A38" s="1"/>
      <c r="B38" s="130" t="s">
        <v>370</v>
      </c>
      <c r="C38" s="130"/>
      <c r="D38" s="130"/>
      <c r="E38" s="130"/>
      <c r="F38" s="566">
        <v>-33</v>
      </c>
      <c r="G38" s="566">
        <v>40</v>
      </c>
      <c r="H38" s="566">
        <v>37</v>
      </c>
      <c r="I38" s="566">
        <v>-13</v>
      </c>
      <c r="J38" s="556">
        <f>I38*(1+$G$21)</f>
        <v>-16.405002730002728</v>
      </c>
      <c r="K38" s="556">
        <f t="shared" ref="K38:N38" si="7">J38*(1+$G$21)</f>
        <v>-20.701854967030535</v>
      </c>
      <c r="L38" s="556">
        <f t="shared" si="7"/>
        <v>-26.124152865404344</v>
      </c>
      <c r="M38" s="556">
        <f t="shared" si="7"/>
        <v>-32.966676851997448</v>
      </c>
      <c r="N38" s="556">
        <f t="shared" si="7"/>
        <v>-41.601417212010453</v>
      </c>
      <c r="O38" s="514"/>
      <c r="P38" s="130"/>
      <c r="Q38" s="130"/>
      <c r="R38" s="130"/>
      <c r="S38" s="130"/>
      <c r="T38" s="130"/>
      <c r="U38" s="130"/>
      <c r="V38" s="130"/>
      <c r="W38" s="130"/>
      <c r="X38" s="130"/>
      <c r="Y38" s="130"/>
    </row>
    <row r="39" spans="1:25" x14ac:dyDescent="0.25">
      <c r="A39" s="1"/>
      <c r="B39" s="551" t="s">
        <v>577</v>
      </c>
      <c r="C39" s="551"/>
      <c r="D39" s="551"/>
      <c r="E39" s="551"/>
      <c r="F39" s="558"/>
      <c r="G39" s="552">
        <f>-(G38/F38 -1)</f>
        <v>2.2121212121212119</v>
      </c>
      <c r="H39" s="552">
        <f t="shared" ref="H39:I39" si="8">H38/G38 -1</f>
        <v>-7.4999999999999956E-2</v>
      </c>
      <c r="I39" s="552">
        <f t="shared" si="8"/>
        <v>-1.3513513513513513</v>
      </c>
      <c r="J39" s="556"/>
      <c r="K39" s="557"/>
      <c r="L39" s="557"/>
      <c r="M39" s="557"/>
      <c r="N39" s="557"/>
      <c r="O39" s="1"/>
      <c r="P39" s="1"/>
      <c r="Q39" s="1"/>
      <c r="R39" s="1"/>
      <c r="S39" s="1"/>
      <c r="T39" s="1"/>
      <c r="U39" s="1"/>
      <c r="V39" s="1"/>
      <c r="W39" s="1"/>
    </row>
    <row r="40" spans="1:25" x14ac:dyDescent="0.25">
      <c r="A40" s="1"/>
      <c r="B40" s="130" t="s">
        <v>358</v>
      </c>
      <c r="C40" s="130"/>
      <c r="D40" s="130"/>
      <c r="E40" s="130"/>
      <c r="F40" s="566">
        <v>20</v>
      </c>
      <c r="G40" s="566">
        <v>-91</v>
      </c>
      <c r="H40" s="566">
        <v>11</v>
      </c>
      <c r="I40" s="566">
        <v>-3</v>
      </c>
      <c r="J40" s="556">
        <f>I40*(1+$G$22)</f>
        <v>2.701848151848151</v>
      </c>
      <c r="K40" s="556">
        <f t="shared" ref="K40:N40" si="9">J40*(1+$G$22)</f>
        <v>-2.4333278118817563</v>
      </c>
      <c r="L40" s="556">
        <f t="shared" si="9"/>
        <v>2.191494083791143</v>
      </c>
      <c r="M40" s="556">
        <f t="shared" si="9"/>
        <v>-1.9736947466924188</v>
      </c>
      <c r="N40" s="556">
        <f t="shared" si="9"/>
        <v>1.7775411678877722</v>
      </c>
      <c r="O40" s="130"/>
      <c r="P40" s="130"/>
      <c r="Q40" s="130"/>
      <c r="R40" s="130"/>
      <c r="S40" s="130"/>
      <c r="T40" s="130"/>
      <c r="U40" s="130"/>
      <c r="V40" s="130"/>
      <c r="W40" s="130"/>
      <c r="X40" s="130"/>
      <c r="Y40" s="130"/>
    </row>
    <row r="41" spans="1:25" x14ac:dyDescent="0.25">
      <c r="A41" s="1"/>
      <c r="B41" s="551" t="s">
        <v>577</v>
      </c>
      <c r="C41" s="551"/>
      <c r="D41" s="551"/>
      <c r="E41" s="551"/>
      <c r="F41" s="558"/>
      <c r="G41" s="552">
        <f>G40/F40 -1</f>
        <v>-5.55</v>
      </c>
      <c r="H41" s="552">
        <f>-(H40/G40 -1)</f>
        <v>1.1208791208791209</v>
      </c>
      <c r="I41" s="552">
        <f t="shared" ref="I41" si="10">I40/H40 -1</f>
        <v>-1.2727272727272727</v>
      </c>
      <c r="J41" s="556"/>
      <c r="K41" s="557"/>
      <c r="L41" s="557"/>
      <c r="M41" s="557"/>
      <c r="N41" s="557"/>
      <c r="O41" s="1"/>
      <c r="P41" s="1"/>
      <c r="Q41" s="1"/>
      <c r="R41" s="1"/>
      <c r="S41" s="1"/>
      <c r="T41" s="1"/>
      <c r="U41" s="1"/>
      <c r="V41" s="1"/>
      <c r="W41" s="1"/>
    </row>
    <row r="42" spans="1:25" x14ac:dyDescent="0.25">
      <c r="A42" s="1"/>
      <c r="B42" s="130" t="s">
        <v>576</v>
      </c>
      <c r="C42" s="130"/>
      <c r="D42" s="130"/>
      <c r="E42" s="130"/>
      <c r="F42" s="566">
        <v>54</v>
      </c>
      <c r="G42" s="566">
        <v>71</v>
      </c>
      <c r="H42" s="566">
        <v>25</v>
      </c>
      <c r="I42" s="566">
        <v>81</v>
      </c>
      <c r="J42" s="556">
        <f>I42*(1+$G$23)</f>
        <v>132.48704225352111</v>
      </c>
      <c r="K42" s="556">
        <f t="shared" ref="K42:N42" si="11">J42*(1+$G$23)</f>
        <v>216.70143660600357</v>
      </c>
      <c r="L42" s="556">
        <f t="shared" si="11"/>
        <v>354.44607886442373</v>
      </c>
      <c r="M42" s="556">
        <f t="shared" si="11"/>
        <v>579.74706947044183</v>
      </c>
      <c r="N42" s="556">
        <f t="shared" si="11"/>
        <v>948.25894431216636</v>
      </c>
      <c r="O42" s="514" t="s">
        <v>598</v>
      </c>
      <c r="P42" s="130"/>
      <c r="Q42" s="130"/>
      <c r="R42" s="130"/>
      <c r="S42" s="130"/>
      <c r="T42" s="130"/>
      <c r="U42" s="130"/>
      <c r="V42" s="130"/>
      <c r="W42" s="130"/>
      <c r="X42" s="130"/>
      <c r="Y42" s="130"/>
    </row>
    <row r="43" spans="1:25" x14ac:dyDescent="0.25">
      <c r="A43" s="1"/>
      <c r="B43" s="551" t="s">
        <v>577</v>
      </c>
      <c r="C43" s="551"/>
      <c r="D43" s="551"/>
      <c r="E43" s="551"/>
      <c r="F43" s="558"/>
      <c r="G43" s="552">
        <f>G42/F42-1</f>
        <v>0.31481481481481488</v>
      </c>
      <c r="H43" s="552">
        <f t="shared" ref="H43:I43" si="12">H42/G42-1</f>
        <v>-0.647887323943662</v>
      </c>
      <c r="I43" s="552">
        <f t="shared" si="12"/>
        <v>2.2400000000000002</v>
      </c>
      <c r="J43" s="556"/>
      <c r="K43" s="557"/>
      <c r="L43" s="557"/>
      <c r="M43" s="557"/>
      <c r="N43" s="557"/>
      <c r="O43" s="130"/>
      <c r="P43" s="130"/>
      <c r="Q43" s="130"/>
      <c r="R43" s="130"/>
      <c r="S43" s="130"/>
      <c r="T43" s="130"/>
      <c r="U43" s="130"/>
      <c r="V43" s="130"/>
      <c r="W43" s="130"/>
      <c r="X43" s="130"/>
      <c r="Y43" s="130"/>
    </row>
    <row r="44" spans="1:25" x14ac:dyDescent="0.25">
      <c r="A44" s="1"/>
      <c r="B44" s="565" t="s">
        <v>359</v>
      </c>
      <c r="C44" s="565"/>
      <c r="D44" s="565"/>
      <c r="E44" s="565"/>
      <c r="F44" s="568">
        <f t="shared" ref="F44:N44" si="13">F29+F30+F31+F34+F36+F38+F40+F42</f>
        <v>32.18562874251495</v>
      </c>
      <c r="G44" s="568">
        <f t="shared" si="13"/>
        <v>765.33333333333326</v>
      </c>
      <c r="H44" s="568">
        <f t="shared" si="13"/>
        <v>31.600000000000023</v>
      </c>
      <c r="I44" s="568">
        <f t="shared" si="13"/>
        <v>229.51807228915663</v>
      </c>
      <c r="J44" s="569">
        <f t="shared" si="13"/>
        <v>221.94434343575875</v>
      </c>
      <c r="K44" s="570">
        <f t="shared" si="13"/>
        <v>289.07301592736604</v>
      </c>
      <c r="L44" s="570">
        <f t="shared" si="13"/>
        <v>414.0380600788003</v>
      </c>
      <c r="M44" s="570">
        <f t="shared" si="13"/>
        <v>609.62636815844974</v>
      </c>
      <c r="N44" s="570">
        <f t="shared" si="13"/>
        <v>943.82545919901179</v>
      </c>
      <c r="O44" s="130"/>
      <c r="P44" s="130"/>
      <c r="Q44" s="130"/>
      <c r="R44" s="130"/>
      <c r="S44" s="130"/>
      <c r="T44" s="130"/>
      <c r="U44" s="130"/>
      <c r="V44" s="130"/>
      <c r="W44" s="130"/>
      <c r="X44" s="130"/>
      <c r="Y44" s="130"/>
    </row>
    <row r="45" spans="1:25" x14ac:dyDescent="0.25">
      <c r="A45" s="1"/>
      <c r="B45" s="551" t="s">
        <v>588</v>
      </c>
      <c r="C45" s="551"/>
      <c r="D45" s="551"/>
      <c r="E45" s="551"/>
      <c r="F45" s="558"/>
      <c r="G45" s="558"/>
      <c r="H45" s="558"/>
      <c r="I45" s="558"/>
      <c r="J45" s="559">
        <v>1.0407999999999999</v>
      </c>
      <c r="K45" s="560">
        <f>1.0408^2</f>
        <v>1.0832646399999999</v>
      </c>
      <c r="L45" s="560">
        <f>1.0408^3</f>
        <v>1.1274618373119998</v>
      </c>
      <c r="M45" s="560">
        <f>1.0408^4</f>
        <v>1.1734622802743293</v>
      </c>
      <c r="N45" s="560">
        <f>1.0408^5</f>
        <v>1.2213395413095218</v>
      </c>
      <c r="O45" s="130"/>
      <c r="P45" s="130"/>
      <c r="Q45" s="130"/>
      <c r="R45" s="130"/>
      <c r="S45" s="130"/>
      <c r="T45" s="130"/>
      <c r="U45" s="130"/>
      <c r="V45" s="130"/>
      <c r="W45" s="130"/>
      <c r="X45" s="130"/>
      <c r="Y45" s="130"/>
    </row>
    <row r="46" spans="1:25" x14ac:dyDescent="0.25">
      <c r="A46" s="1"/>
      <c r="B46" s="130" t="s">
        <v>564</v>
      </c>
      <c r="C46" s="130"/>
      <c r="D46" s="130"/>
      <c r="E46" s="130"/>
      <c r="F46" s="130"/>
      <c r="G46" s="130"/>
      <c r="H46" s="130"/>
      <c r="I46" s="130"/>
      <c r="J46" s="555">
        <f>J44/J45</f>
        <v>213.24398869692425</v>
      </c>
      <c r="K46" s="555">
        <f t="shared" ref="K46:N46" si="14">K44/K45</f>
        <v>266.85355106520052</v>
      </c>
      <c r="L46" s="555">
        <f t="shared" si="14"/>
        <v>367.23022134914578</v>
      </c>
      <c r="M46" s="555">
        <f t="shared" si="14"/>
        <v>519.51083422633121</v>
      </c>
      <c r="N46" s="555">
        <f t="shared" si="14"/>
        <v>772.7789261510693</v>
      </c>
      <c r="O46" s="130"/>
      <c r="P46" s="130"/>
      <c r="Q46" s="130"/>
      <c r="R46" s="130"/>
      <c r="S46" s="130"/>
      <c r="T46" s="130"/>
      <c r="U46" s="130"/>
      <c r="V46" s="130"/>
      <c r="W46" s="130"/>
      <c r="X46" s="130"/>
      <c r="Y46" s="130"/>
    </row>
    <row r="47" spans="1:25" x14ac:dyDescent="0.25">
      <c r="A47" s="1"/>
      <c r="C47" s="130"/>
      <c r="D47" s="130"/>
      <c r="E47" s="130"/>
      <c r="F47" s="130"/>
      <c r="G47" s="130"/>
      <c r="H47" s="130"/>
      <c r="I47" s="130"/>
      <c r="J47" s="555"/>
      <c r="K47" s="5"/>
      <c r="L47" s="5"/>
      <c r="M47" s="5"/>
      <c r="N47" s="5"/>
      <c r="O47" s="130"/>
      <c r="P47" s="130"/>
      <c r="Q47" s="130"/>
      <c r="R47" s="130"/>
      <c r="S47" s="130"/>
      <c r="T47" s="130"/>
      <c r="U47" s="130"/>
      <c r="V47" s="130"/>
      <c r="W47" s="130"/>
      <c r="X47" s="130"/>
      <c r="Y47" s="130"/>
    </row>
    <row r="48" spans="1:25" x14ac:dyDescent="0.25">
      <c r="A48" s="1"/>
      <c r="B48" s="130" t="s">
        <v>591</v>
      </c>
      <c r="C48" s="130"/>
      <c r="D48" s="571">
        <f>N29*(-(1-J10))/-(C15-C14)</f>
        <v>3413.3313249222965</v>
      </c>
      <c r="F48" s="130" t="s">
        <v>590</v>
      </c>
      <c r="G48" s="571">
        <f>D48/N45</f>
        <v>2794.7439753424492</v>
      </c>
      <c r="H48" s="130"/>
      <c r="I48" s="130"/>
      <c r="J48" s="555"/>
      <c r="K48" s="5"/>
      <c r="L48" s="5"/>
      <c r="M48" s="5"/>
      <c r="N48" s="5"/>
      <c r="O48" s="130"/>
      <c r="P48" s="130"/>
      <c r="Q48" s="130"/>
      <c r="R48" s="130"/>
      <c r="S48" s="130"/>
      <c r="T48" s="130"/>
      <c r="U48" s="130"/>
      <c r="V48" s="130"/>
      <c r="W48" s="130"/>
      <c r="X48" s="130"/>
      <c r="Y48" s="130"/>
    </row>
    <row r="49" spans="1:25" x14ac:dyDescent="0.25">
      <c r="A49" s="1"/>
      <c r="B49" s="130"/>
      <c r="C49" s="130"/>
      <c r="D49" s="130"/>
      <c r="E49" s="130"/>
      <c r="F49" s="130"/>
      <c r="G49" s="130"/>
      <c r="H49" s="130"/>
      <c r="I49" s="130"/>
      <c r="J49" s="555"/>
      <c r="K49" s="5"/>
      <c r="L49" s="5"/>
      <c r="M49" s="5"/>
      <c r="N49" s="5"/>
      <c r="O49" s="130"/>
      <c r="P49" s="130"/>
      <c r="Q49" s="130"/>
      <c r="R49" s="130"/>
      <c r="S49" s="130"/>
      <c r="T49" s="130"/>
      <c r="U49" s="130"/>
      <c r="V49" s="130"/>
      <c r="W49" s="130"/>
      <c r="X49" s="130"/>
      <c r="Y49" s="130"/>
    </row>
    <row r="50" spans="1:25" x14ac:dyDescent="0.25">
      <c r="A50" s="1"/>
      <c r="B50" s="130" t="s">
        <v>589</v>
      </c>
      <c r="C50" s="130"/>
      <c r="E50" s="571">
        <f>SUM(J46:M46,G48)</f>
        <v>4161.5825706800515</v>
      </c>
      <c r="F50" s="130"/>
      <c r="G50" s="130"/>
      <c r="H50" s="130"/>
      <c r="I50" s="130"/>
      <c r="J50" s="548"/>
      <c r="K50" s="5"/>
      <c r="L50" s="5"/>
      <c r="M50" s="5"/>
      <c r="N50" s="5"/>
      <c r="O50" s="130"/>
      <c r="P50" s="130"/>
      <c r="Q50" s="130"/>
      <c r="R50" s="130"/>
      <c r="S50" s="130"/>
      <c r="T50" s="130"/>
      <c r="U50" s="130"/>
      <c r="V50" s="130"/>
      <c r="W50" s="130"/>
      <c r="X50" s="130"/>
      <c r="Y50" s="130"/>
    </row>
    <row r="51" spans="1:25" x14ac:dyDescent="0.25">
      <c r="A51" s="1"/>
      <c r="B51" s="130" t="s">
        <v>592</v>
      </c>
      <c r="C51" s="130"/>
      <c r="D51" s="130"/>
      <c r="E51" s="130">
        <f>'Reorganised Statements'!H41</f>
        <v>434</v>
      </c>
      <c r="F51" s="130"/>
      <c r="G51" s="130"/>
      <c r="H51" s="130"/>
      <c r="I51" s="130"/>
      <c r="J51" s="548"/>
      <c r="K51" s="5"/>
      <c r="L51" s="5"/>
      <c r="M51" s="5"/>
      <c r="N51" s="5"/>
      <c r="O51" s="130"/>
      <c r="P51" s="130"/>
      <c r="Q51" s="130"/>
      <c r="R51" s="130"/>
      <c r="S51" s="130"/>
      <c r="T51" s="130"/>
      <c r="U51" s="130"/>
      <c r="V51" s="130"/>
      <c r="W51" s="130"/>
      <c r="X51" s="130"/>
      <c r="Y51" s="130"/>
    </row>
    <row r="52" spans="1:25" x14ac:dyDescent="0.25">
      <c r="A52" s="1"/>
      <c r="B52" s="130" t="s">
        <v>593</v>
      </c>
      <c r="C52" s="130"/>
      <c r="D52" s="130"/>
      <c r="E52" s="130">
        <f>'Reorganised Statements'!H8+'Reorganised Statements'!H39</f>
        <v>3702</v>
      </c>
      <c r="F52" s="514"/>
      <c r="G52" s="130"/>
      <c r="H52" s="130"/>
      <c r="I52" s="130"/>
      <c r="J52" s="548"/>
      <c r="K52" s="5"/>
      <c r="L52" s="5"/>
      <c r="M52" s="5"/>
      <c r="N52" s="5"/>
      <c r="O52" s="130"/>
      <c r="P52" s="130"/>
      <c r="Q52" s="130"/>
      <c r="R52" s="130"/>
      <c r="S52" s="130"/>
      <c r="T52" s="130"/>
      <c r="U52" s="130"/>
      <c r="V52" s="130"/>
      <c r="W52" s="130"/>
      <c r="X52" s="130"/>
      <c r="Y52" s="130"/>
    </row>
    <row r="53" spans="1:25" x14ac:dyDescent="0.25">
      <c r="A53" s="1"/>
      <c r="B53" s="130" t="s">
        <v>594</v>
      </c>
      <c r="C53" s="130"/>
      <c r="D53" s="130"/>
      <c r="E53" s="130">
        <f>'Balance sheet'!J109</f>
        <v>362</v>
      </c>
      <c r="F53" s="130"/>
      <c r="G53" s="130"/>
      <c r="H53" s="130"/>
      <c r="I53" s="130"/>
      <c r="J53" s="548"/>
      <c r="K53" s="5"/>
      <c r="L53" s="5"/>
      <c r="M53" s="5"/>
      <c r="N53" s="5"/>
      <c r="O53" s="130"/>
      <c r="P53" s="130"/>
      <c r="Q53" s="130"/>
      <c r="R53" s="130"/>
      <c r="S53" s="130"/>
      <c r="T53" s="130"/>
      <c r="U53" s="130"/>
      <c r="V53" s="130"/>
      <c r="W53" s="130"/>
      <c r="X53" s="130"/>
      <c r="Y53" s="130"/>
    </row>
    <row r="54" spans="1:25" x14ac:dyDescent="0.25">
      <c r="A54" s="1"/>
      <c r="B54" s="130" t="s">
        <v>595</v>
      </c>
      <c r="C54" s="130"/>
      <c r="D54" s="130"/>
      <c r="E54" s="571">
        <f>E50+E51+E52-E53</f>
        <v>7935.5825706800515</v>
      </c>
      <c r="F54" s="130"/>
      <c r="G54" s="130"/>
      <c r="H54" s="130"/>
      <c r="I54" s="130"/>
      <c r="J54" s="548"/>
      <c r="K54" s="5"/>
      <c r="L54" s="5"/>
      <c r="M54" s="5"/>
      <c r="N54" s="5"/>
      <c r="O54" s="130"/>
      <c r="P54" s="130"/>
      <c r="Q54" s="130"/>
      <c r="R54" s="130"/>
      <c r="S54" s="130"/>
      <c r="T54" s="130"/>
      <c r="U54" s="130"/>
      <c r="V54" s="130"/>
      <c r="W54" s="130"/>
      <c r="X54" s="130"/>
      <c r="Y54" s="130"/>
    </row>
    <row r="55" spans="1:25" x14ac:dyDescent="0.25">
      <c r="A55" s="1"/>
      <c r="B55" s="130" t="s">
        <v>596</v>
      </c>
      <c r="C55" s="130"/>
      <c r="D55" s="130"/>
      <c r="E55" s="571">
        <f>E54/'Forecasts Simo '!L5</f>
        <v>2.5523040573384641</v>
      </c>
      <c r="F55" s="130"/>
      <c r="G55" s="130"/>
      <c r="H55" s="130"/>
      <c r="I55" s="130"/>
      <c r="J55" s="548"/>
      <c r="K55" s="5"/>
      <c r="L55" s="5"/>
      <c r="M55" s="5"/>
      <c r="N55" s="5"/>
      <c r="O55" s="130"/>
      <c r="P55" s="130"/>
      <c r="Q55" s="130"/>
      <c r="R55" s="130"/>
      <c r="S55" s="130"/>
      <c r="T55" s="130"/>
      <c r="U55" s="130"/>
      <c r="V55" s="130"/>
      <c r="W55" s="130"/>
      <c r="X55" s="130"/>
      <c r="Y55" s="130"/>
    </row>
    <row r="56" spans="1:25" x14ac:dyDescent="0.25">
      <c r="A56" s="1"/>
      <c r="B56" s="130"/>
      <c r="C56" s="130"/>
      <c r="D56" s="130"/>
      <c r="E56" s="130"/>
      <c r="F56" s="130"/>
      <c r="G56" s="130"/>
      <c r="H56" s="130"/>
      <c r="I56" s="130"/>
      <c r="J56" s="548"/>
      <c r="K56" s="5"/>
      <c r="L56" s="5"/>
      <c r="M56" s="5"/>
      <c r="N56" s="5"/>
      <c r="O56" s="130"/>
      <c r="P56" s="130"/>
      <c r="Q56" s="130"/>
      <c r="R56" s="130"/>
      <c r="S56" s="130"/>
      <c r="T56" s="130"/>
      <c r="U56" s="130"/>
      <c r="V56" s="130"/>
      <c r="W56" s="130"/>
      <c r="X56" s="130"/>
      <c r="Y56" s="130"/>
    </row>
    <row r="57" spans="1:25" x14ac:dyDescent="0.25">
      <c r="A57" s="1"/>
      <c r="B57" s="130"/>
      <c r="C57" s="130"/>
      <c r="D57" s="130"/>
      <c r="E57" s="130"/>
      <c r="F57" s="130"/>
      <c r="G57" s="130"/>
      <c r="H57" s="130"/>
      <c r="I57" s="130"/>
      <c r="J57" s="548"/>
      <c r="K57" s="5"/>
      <c r="L57" s="5"/>
      <c r="M57" s="5"/>
      <c r="N57" s="5"/>
      <c r="O57" s="130"/>
      <c r="P57" s="130"/>
      <c r="Q57" s="130"/>
      <c r="R57" s="130"/>
      <c r="S57" s="130"/>
      <c r="T57" s="130"/>
      <c r="U57" s="130"/>
      <c r="V57" s="130"/>
      <c r="W57" s="130"/>
      <c r="X57" s="130"/>
      <c r="Y57" s="130"/>
    </row>
    <row r="58" spans="1:25" x14ac:dyDescent="0.25">
      <c r="A58" s="1"/>
      <c r="B58" s="130"/>
      <c r="C58" s="130"/>
      <c r="D58" s="130"/>
      <c r="E58" s="130"/>
      <c r="F58" s="130"/>
      <c r="G58" s="130"/>
      <c r="H58" s="130"/>
      <c r="I58" s="130"/>
      <c r="J58" s="548"/>
      <c r="K58" s="5"/>
      <c r="L58" s="5"/>
      <c r="M58" s="5"/>
      <c r="N58" s="5"/>
      <c r="O58" s="130"/>
      <c r="P58" s="130"/>
      <c r="Q58" s="130"/>
      <c r="R58" s="130"/>
      <c r="S58" s="130"/>
      <c r="T58" s="130"/>
      <c r="U58" s="130"/>
      <c r="V58" s="130"/>
      <c r="W58" s="130"/>
      <c r="X58" s="130"/>
      <c r="Y58" s="130"/>
    </row>
    <row r="59" spans="1:25" x14ac:dyDescent="0.25">
      <c r="A59" s="1"/>
      <c r="B59" s="130"/>
      <c r="C59" s="130"/>
      <c r="D59" s="130"/>
      <c r="E59" s="130"/>
      <c r="F59" s="130"/>
      <c r="G59" s="130"/>
      <c r="H59" s="130"/>
      <c r="I59" s="130"/>
      <c r="J59" s="548"/>
      <c r="K59" s="5"/>
      <c r="L59" s="5"/>
      <c r="M59" s="5"/>
      <c r="N59" s="5"/>
      <c r="O59" s="130"/>
      <c r="P59" s="130"/>
      <c r="Q59" s="130"/>
      <c r="R59" s="130"/>
      <c r="S59" s="130"/>
      <c r="T59" s="130"/>
      <c r="U59" s="130"/>
      <c r="V59" s="130"/>
      <c r="W59" s="130"/>
      <c r="X59" s="130"/>
      <c r="Y59" s="130"/>
    </row>
    <row r="60" spans="1:25" x14ac:dyDescent="0.25">
      <c r="A60" s="1"/>
      <c r="B60" s="130"/>
      <c r="C60" s="130"/>
      <c r="D60" s="130"/>
      <c r="E60" s="130"/>
      <c r="F60" s="130"/>
      <c r="G60" s="130"/>
      <c r="H60" s="130"/>
      <c r="I60" s="130"/>
      <c r="J60" s="548"/>
      <c r="K60" s="5"/>
      <c r="L60" s="5"/>
      <c r="M60" s="5"/>
      <c r="N60" s="5"/>
      <c r="O60" s="130"/>
      <c r="P60" s="130"/>
      <c r="Q60" s="130"/>
      <c r="R60" s="130"/>
      <c r="S60" s="130"/>
      <c r="T60" s="130"/>
      <c r="U60" s="130"/>
      <c r="V60" s="130"/>
      <c r="W60" s="130"/>
      <c r="X60" s="130"/>
      <c r="Y60" s="130"/>
    </row>
    <row r="61" spans="1:25" x14ac:dyDescent="0.25">
      <c r="A61" s="1"/>
      <c r="B61" s="130"/>
      <c r="C61" s="130"/>
      <c r="D61" s="130"/>
      <c r="E61" s="130"/>
      <c r="F61" s="130"/>
      <c r="G61" s="130"/>
      <c r="H61" s="130"/>
      <c r="I61" s="130"/>
      <c r="J61" s="548"/>
      <c r="K61" s="5"/>
      <c r="L61" s="5"/>
      <c r="M61" s="5"/>
      <c r="N61" s="5"/>
      <c r="O61" s="130"/>
      <c r="P61" s="130"/>
      <c r="Q61" s="130"/>
      <c r="R61" s="130"/>
      <c r="S61" s="130"/>
      <c r="T61" s="130"/>
      <c r="U61" s="130"/>
      <c r="V61" s="130"/>
      <c r="W61" s="130"/>
      <c r="X61" s="130"/>
      <c r="Y61" s="130"/>
    </row>
    <row r="62" spans="1:25" x14ac:dyDescent="0.25">
      <c r="A62" s="1"/>
      <c r="B62" s="130"/>
      <c r="C62" s="130"/>
      <c r="D62" s="130"/>
      <c r="E62" s="130"/>
      <c r="F62" s="130"/>
      <c r="G62" s="130"/>
      <c r="H62" s="130"/>
      <c r="I62" s="130"/>
      <c r="J62" s="548"/>
      <c r="K62" s="5"/>
      <c r="L62" s="5"/>
      <c r="M62" s="5"/>
      <c r="N62" s="5"/>
      <c r="O62" s="130"/>
      <c r="P62" s="130"/>
      <c r="Q62" s="130"/>
      <c r="R62" s="130"/>
      <c r="S62" s="130"/>
      <c r="T62" s="130"/>
      <c r="U62" s="130"/>
      <c r="V62" s="130"/>
      <c r="W62" s="130"/>
      <c r="X62" s="130"/>
      <c r="Y62" s="130"/>
    </row>
    <row r="63" spans="1:25" x14ac:dyDescent="0.25">
      <c r="A63" s="1"/>
      <c r="B63" s="130"/>
      <c r="C63" s="130"/>
      <c r="D63" s="130"/>
      <c r="E63" s="130"/>
      <c r="F63" s="130"/>
      <c r="G63" s="130"/>
      <c r="H63" s="130"/>
      <c r="I63" s="130"/>
      <c r="J63" s="548"/>
      <c r="K63" s="5"/>
      <c r="L63" s="5"/>
      <c r="M63" s="5"/>
      <c r="N63" s="5"/>
      <c r="O63" s="130"/>
      <c r="P63" s="130"/>
      <c r="Q63" s="130"/>
      <c r="R63" s="130"/>
      <c r="S63" s="130"/>
      <c r="T63" s="130"/>
      <c r="U63" s="130"/>
      <c r="V63" s="130"/>
      <c r="W63" s="130"/>
      <c r="X63" s="130"/>
      <c r="Y63" s="130"/>
    </row>
    <row r="64" spans="1:25" x14ac:dyDescent="0.25">
      <c r="A64" s="1"/>
      <c r="B64" s="130"/>
      <c r="C64" s="130"/>
      <c r="D64" s="130"/>
      <c r="E64" s="130"/>
      <c r="F64" s="130"/>
      <c r="G64" s="130"/>
      <c r="H64" s="130"/>
      <c r="I64" s="130"/>
      <c r="J64" s="548"/>
      <c r="K64" s="5"/>
      <c r="L64" s="5"/>
      <c r="M64" s="5"/>
      <c r="N64" s="5"/>
      <c r="O64" s="130"/>
      <c r="P64" s="130"/>
      <c r="Q64" s="130"/>
      <c r="R64" s="130"/>
      <c r="S64" s="130"/>
      <c r="T64" s="130"/>
      <c r="U64" s="130"/>
      <c r="V64" s="130"/>
      <c r="W64" s="130"/>
      <c r="X64" s="130"/>
      <c r="Y64" s="130"/>
    </row>
    <row r="65" spans="1:25" x14ac:dyDescent="0.25">
      <c r="A65" s="1"/>
      <c r="B65" s="130"/>
      <c r="C65" s="130"/>
      <c r="D65" s="130"/>
      <c r="E65" s="130"/>
      <c r="F65" s="130"/>
      <c r="G65" s="130"/>
      <c r="H65" s="130"/>
      <c r="I65" s="130"/>
      <c r="J65" s="548"/>
      <c r="K65" s="5"/>
      <c r="L65" s="5"/>
      <c r="M65" s="5"/>
      <c r="N65" s="5"/>
      <c r="O65" s="130"/>
      <c r="P65" s="130"/>
      <c r="Q65" s="130"/>
      <c r="R65" s="130"/>
      <c r="S65" s="130"/>
      <c r="T65" s="130"/>
      <c r="U65" s="130"/>
      <c r="V65" s="130"/>
      <c r="W65" s="130"/>
      <c r="X65" s="130"/>
      <c r="Y65" s="130"/>
    </row>
    <row r="66" spans="1:25" x14ac:dyDescent="0.25">
      <c r="A66" s="1"/>
      <c r="B66" s="130"/>
      <c r="C66" s="130"/>
      <c r="D66" s="130"/>
      <c r="E66" s="130"/>
      <c r="F66" s="130"/>
      <c r="G66" s="130"/>
      <c r="H66" s="130"/>
      <c r="I66" s="130"/>
      <c r="J66" s="548"/>
      <c r="K66" s="5"/>
      <c r="L66" s="5"/>
      <c r="M66" s="5"/>
      <c r="N66" s="5"/>
      <c r="O66" s="130"/>
      <c r="P66" s="130"/>
      <c r="Q66" s="130"/>
      <c r="R66" s="130"/>
      <c r="S66" s="130"/>
      <c r="T66" s="130"/>
      <c r="U66" s="130"/>
      <c r="V66" s="130"/>
      <c r="W66" s="130"/>
      <c r="X66" s="130"/>
      <c r="Y66" s="130"/>
    </row>
    <row r="67" spans="1:25" x14ac:dyDescent="0.25">
      <c r="A67" s="1"/>
      <c r="B67" s="130"/>
      <c r="C67" s="130"/>
      <c r="D67" s="130"/>
      <c r="E67" s="130"/>
      <c r="F67" s="130"/>
      <c r="G67" s="130"/>
      <c r="H67" s="130"/>
      <c r="I67" s="130"/>
      <c r="J67" s="548"/>
      <c r="K67" s="5"/>
      <c r="L67" s="5"/>
      <c r="M67" s="5"/>
      <c r="N67" s="5"/>
      <c r="O67" s="130"/>
      <c r="P67" s="130"/>
      <c r="Q67" s="130"/>
      <c r="R67" s="130"/>
      <c r="S67" s="130"/>
      <c r="T67" s="130"/>
      <c r="U67" s="130"/>
      <c r="V67" s="130"/>
      <c r="W67" s="130"/>
      <c r="X67" s="130"/>
      <c r="Y67" s="130"/>
    </row>
    <row r="68" spans="1:25" x14ac:dyDescent="0.25">
      <c r="A68" s="1"/>
      <c r="B68" s="130"/>
      <c r="C68" s="130"/>
      <c r="D68" s="130"/>
      <c r="E68" s="130"/>
      <c r="F68" s="130"/>
      <c r="G68" s="130"/>
      <c r="H68" s="130"/>
      <c r="I68" s="130"/>
      <c r="J68" s="548"/>
      <c r="K68" s="5"/>
      <c r="L68" s="5"/>
      <c r="M68" s="5"/>
      <c r="N68" s="5"/>
      <c r="O68" s="130"/>
      <c r="P68" s="130"/>
      <c r="Q68" s="130"/>
      <c r="R68" s="130"/>
      <c r="S68" s="130"/>
      <c r="T68" s="130"/>
      <c r="U68" s="130"/>
      <c r="V68" s="130"/>
      <c r="W68" s="130"/>
      <c r="X68" s="130"/>
      <c r="Y68" s="130"/>
    </row>
    <row r="69" spans="1:25" x14ac:dyDescent="0.25">
      <c r="A69" s="1"/>
      <c r="B69" s="130"/>
      <c r="C69" s="130"/>
      <c r="D69" s="130"/>
      <c r="E69" s="130"/>
      <c r="F69" s="130"/>
      <c r="G69" s="130"/>
      <c r="H69" s="130"/>
      <c r="I69" s="130"/>
      <c r="J69" s="548"/>
      <c r="K69" s="5"/>
      <c r="L69" s="5"/>
      <c r="M69" s="5"/>
      <c r="N69" s="5"/>
      <c r="O69" s="130"/>
      <c r="P69" s="130"/>
      <c r="Q69" s="130"/>
      <c r="R69" s="130"/>
      <c r="S69" s="130"/>
      <c r="T69" s="130"/>
      <c r="U69" s="130"/>
      <c r="V69" s="130"/>
      <c r="W69" s="130"/>
      <c r="X69" s="130"/>
      <c r="Y69" s="130"/>
    </row>
    <row r="70" spans="1:25" x14ac:dyDescent="0.25">
      <c r="A70" s="1"/>
      <c r="B70" s="130"/>
      <c r="C70" s="130"/>
      <c r="D70" s="130"/>
      <c r="E70" s="130"/>
      <c r="F70" s="130"/>
      <c r="G70" s="130"/>
      <c r="H70" s="130"/>
      <c r="I70" s="130"/>
      <c r="J70" s="548"/>
      <c r="K70" s="5"/>
      <c r="L70" s="5"/>
      <c r="M70" s="5"/>
      <c r="N70" s="5"/>
      <c r="O70" s="130"/>
      <c r="P70" s="130"/>
      <c r="Q70" s="130"/>
      <c r="R70" s="130"/>
      <c r="S70" s="130"/>
      <c r="T70" s="130"/>
      <c r="U70" s="130"/>
      <c r="V70" s="130"/>
      <c r="W70" s="130"/>
      <c r="X70" s="130"/>
      <c r="Y70" s="130"/>
    </row>
    <row r="71" spans="1:25" x14ac:dyDescent="0.25">
      <c r="A71" s="1"/>
      <c r="B71" s="130"/>
      <c r="C71" s="130"/>
      <c r="D71" s="130"/>
      <c r="E71" s="130"/>
      <c r="F71" s="130"/>
      <c r="G71" s="130"/>
      <c r="H71" s="130"/>
      <c r="I71" s="130"/>
      <c r="J71" s="548"/>
      <c r="K71" s="5"/>
      <c r="L71" s="5"/>
      <c r="M71" s="5"/>
      <c r="N71" s="5"/>
      <c r="O71" s="130"/>
      <c r="P71" s="130"/>
      <c r="Q71" s="130"/>
      <c r="R71" s="130"/>
      <c r="S71" s="130"/>
      <c r="T71" s="130"/>
      <c r="U71" s="130"/>
      <c r="V71" s="130"/>
      <c r="W71" s="130"/>
      <c r="X71" s="130"/>
      <c r="Y71" s="130"/>
    </row>
    <row r="72" spans="1:25" x14ac:dyDescent="0.25">
      <c r="A72" s="1"/>
      <c r="B72" s="130"/>
      <c r="C72" s="130"/>
      <c r="D72" s="130"/>
      <c r="E72" s="130"/>
      <c r="F72" s="130"/>
      <c r="G72" s="130"/>
      <c r="H72" s="130"/>
      <c r="I72" s="130"/>
      <c r="J72" s="548"/>
      <c r="K72" s="5"/>
      <c r="L72" s="5"/>
      <c r="M72" s="5"/>
      <c r="N72" s="5"/>
      <c r="O72" s="130"/>
      <c r="P72" s="130"/>
      <c r="Q72" s="130"/>
      <c r="R72" s="130"/>
      <c r="S72" s="130"/>
      <c r="T72" s="130"/>
      <c r="U72" s="130"/>
      <c r="V72" s="130"/>
      <c r="W72" s="130"/>
      <c r="X72" s="130"/>
      <c r="Y72" s="130"/>
    </row>
    <row r="73" spans="1:25" x14ac:dyDescent="0.25">
      <c r="A73" s="1"/>
      <c r="B73" s="130"/>
      <c r="C73" s="130"/>
      <c r="D73" s="130"/>
      <c r="E73" s="130"/>
      <c r="F73" s="130"/>
      <c r="G73" s="130"/>
      <c r="H73" s="130"/>
      <c r="I73" s="130"/>
      <c r="J73" s="548"/>
      <c r="K73" s="5"/>
      <c r="L73" s="5"/>
      <c r="M73" s="5"/>
      <c r="N73" s="5"/>
      <c r="O73" s="130"/>
      <c r="P73" s="130"/>
      <c r="Q73" s="130"/>
      <c r="R73" s="130"/>
      <c r="S73" s="130"/>
      <c r="T73" s="130"/>
      <c r="U73" s="130"/>
      <c r="V73" s="130"/>
      <c r="W73" s="130"/>
      <c r="X73" s="130"/>
      <c r="Y73" s="130"/>
    </row>
    <row r="74" spans="1:25" x14ac:dyDescent="0.25">
      <c r="A74" s="1"/>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row>
    <row r="75" spans="1:25" x14ac:dyDescent="0.25">
      <c r="A75" s="1"/>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row>
    <row r="76" spans="1:25" x14ac:dyDescent="0.25">
      <c r="A76" s="1"/>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row>
    <row r="77" spans="1:25" x14ac:dyDescent="0.25">
      <c r="A77" s="1"/>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row>
    <row r="78" spans="1:25" x14ac:dyDescent="0.25">
      <c r="A78" s="1"/>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row>
    <row r="79" spans="1:25" x14ac:dyDescent="0.25">
      <c r="A79" s="1"/>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row>
    <row r="80" spans="1:25" x14ac:dyDescent="0.25">
      <c r="A80" s="1"/>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row>
    <row r="81" spans="1:25" x14ac:dyDescent="0.25">
      <c r="A81" s="1"/>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row>
    <row r="82" spans="1:25" x14ac:dyDescent="0.25">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row>
    <row r="83" spans="1:25" x14ac:dyDescent="0.25">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row>
    <row r="84" spans="1:25" x14ac:dyDescent="0.25">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row>
    <row r="85" spans="1:25" x14ac:dyDescent="0.25">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row>
    <row r="86" spans="1:25" x14ac:dyDescent="0.25">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row>
    <row r="87" spans="1:25" x14ac:dyDescent="0.25">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row>
    <row r="88" spans="1:25" x14ac:dyDescent="0.25">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row>
    <row r="89" spans="1:25" x14ac:dyDescent="0.25">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row>
    <row r="90" spans="1:25" x14ac:dyDescent="0.25">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row>
    <row r="91" spans="1:25" x14ac:dyDescent="0.25">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row>
    <row r="92" spans="1:25" x14ac:dyDescent="0.25">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row>
    <row r="93" spans="1:25" x14ac:dyDescent="0.25">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row>
    <row r="94" spans="1:25" x14ac:dyDescent="0.25">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row>
    <row r="95" spans="1:25" x14ac:dyDescent="0.25">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row>
    <row r="96" spans="1:25" x14ac:dyDescent="0.25">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row>
    <row r="97" spans="2:25" x14ac:dyDescent="0.25">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row>
    <row r="98" spans="2:25" x14ac:dyDescent="0.25">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row>
    <row r="99" spans="2:25" x14ac:dyDescent="0.25">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row>
    <row r="100" spans="2:25" x14ac:dyDescent="0.25">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row>
    <row r="101" spans="2:25" x14ac:dyDescent="0.25">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row>
    <row r="102" spans="2:25" x14ac:dyDescent="0.25">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row>
    <row r="103" spans="2:25" x14ac:dyDescent="0.25">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row>
    <row r="104" spans="2:25" x14ac:dyDescent="0.25">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row>
    <row r="105" spans="2:25" x14ac:dyDescent="0.25">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row>
    <row r="106" spans="2:25" x14ac:dyDescent="0.25">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row>
    <row r="107" spans="2:25" x14ac:dyDescent="0.25">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row>
    <row r="108" spans="2:25" x14ac:dyDescent="0.25">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row>
    <row r="109" spans="2:25" x14ac:dyDescent="0.25">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row>
    <row r="110" spans="2:25" x14ac:dyDescent="0.25">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row>
    <row r="111" spans="2:25" x14ac:dyDescent="0.25">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row>
    <row r="112" spans="2:25" x14ac:dyDescent="0.25">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row>
    <row r="113" spans="2:25" x14ac:dyDescent="0.25">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row>
    <row r="114" spans="2:25" x14ac:dyDescent="0.25">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row>
    <row r="115" spans="2:25" x14ac:dyDescent="0.25">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row>
    <row r="116" spans="2:25" x14ac:dyDescent="0.25">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row>
    <row r="117" spans="2:25" x14ac:dyDescent="0.25">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row>
    <row r="118" spans="2:25" x14ac:dyDescent="0.25">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row>
    <row r="119" spans="2:25" x14ac:dyDescent="0.25">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row>
    <row r="120" spans="2:25" x14ac:dyDescent="0.25">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row>
    <row r="121" spans="2:25" x14ac:dyDescent="0.25">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row>
    <row r="122" spans="2:25" x14ac:dyDescent="0.25">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row>
    <row r="123" spans="2:25" x14ac:dyDescent="0.25">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row>
    <row r="124" spans="2:25" x14ac:dyDescent="0.25">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row>
    <row r="125" spans="2:25" x14ac:dyDescent="0.25">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row>
    <row r="126" spans="2:25" x14ac:dyDescent="0.25">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row>
    <row r="127" spans="2:25" x14ac:dyDescent="0.25">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row>
    <row r="128" spans="2:25" x14ac:dyDescent="0.25">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row>
    <row r="129" spans="2:25" x14ac:dyDescent="0.25">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row>
    <row r="130" spans="2:25" x14ac:dyDescent="0.25">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row>
    <row r="131" spans="2:25" x14ac:dyDescent="0.25">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row>
    <row r="132" spans="2:25" x14ac:dyDescent="0.25">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row>
    <row r="133" spans="2:25" x14ac:dyDescent="0.25">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row>
    <row r="134" spans="2:25" x14ac:dyDescent="0.25">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row>
    <row r="135" spans="2:25" x14ac:dyDescent="0.25">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row>
    <row r="136" spans="2:25" x14ac:dyDescent="0.25">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row>
    <row r="137" spans="2:25" x14ac:dyDescent="0.25">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row>
    <row r="138" spans="2:25" x14ac:dyDescent="0.25">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row>
    <row r="139" spans="2:25" x14ac:dyDescent="0.25">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row>
    <row r="140" spans="2:25" x14ac:dyDescent="0.25">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row>
    <row r="141" spans="2:25" x14ac:dyDescent="0.25">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row>
    <row r="142" spans="2:25" x14ac:dyDescent="0.25">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row>
    <row r="143" spans="2:25" x14ac:dyDescent="0.25">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row>
    <row r="144" spans="2:25" x14ac:dyDescent="0.25">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row>
    <row r="145" spans="2:25" x14ac:dyDescent="0.25">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row>
    <row r="146" spans="2:25" x14ac:dyDescent="0.25">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row>
    <row r="147" spans="2:25" x14ac:dyDescent="0.25">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row>
    <row r="148" spans="2:25" x14ac:dyDescent="0.25">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row>
    <row r="149" spans="2:25" x14ac:dyDescent="0.25">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row>
    <row r="150" spans="2:25" x14ac:dyDescent="0.25">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row>
    <row r="151" spans="2:25" x14ac:dyDescent="0.25">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row>
    <row r="152" spans="2:25" x14ac:dyDescent="0.25">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row>
    <row r="153" spans="2:25" x14ac:dyDescent="0.25">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row>
    <row r="154" spans="2:25" x14ac:dyDescent="0.25">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row>
    <row r="155" spans="2:25" x14ac:dyDescent="0.25">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row>
    <row r="156" spans="2:25" x14ac:dyDescent="0.25">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row>
    <row r="157" spans="2:25" x14ac:dyDescent="0.25">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row>
    <row r="158" spans="2:25" x14ac:dyDescent="0.25">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row>
    <row r="159" spans="2:25" x14ac:dyDescent="0.25">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row>
    <row r="160" spans="2:25" x14ac:dyDescent="0.25">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row>
    <row r="161" spans="2:25" x14ac:dyDescent="0.25">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row>
    <row r="162" spans="2:25" x14ac:dyDescent="0.25">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row>
    <row r="163" spans="2:25" x14ac:dyDescent="0.25">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row>
    <row r="164" spans="2:25" x14ac:dyDescent="0.25">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row>
    <row r="165" spans="2:25" x14ac:dyDescent="0.25">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row>
    <row r="166" spans="2:25" x14ac:dyDescent="0.25">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row>
    <row r="167" spans="2:25" x14ac:dyDescent="0.25">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row>
    <row r="168" spans="2:25" x14ac:dyDescent="0.25">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row>
    <row r="169" spans="2:25" x14ac:dyDescent="0.25">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row>
    <row r="170" spans="2:25" x14ac:dyDescent="0.25">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row>
    <row r="171" spans="2:25" x14ac:dyDescent="0.25">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row>
    <row r="172" spans="2:25" x14ac:dyDescent="0.25">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row>
    <row r="173" spans="2:25" x14ac:dyDescent="0.25">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row>
    <row r="174" spans="2:25" x14ac:dyDescent="0.25">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row>
    <row r="175" spans="2:25" x14ac:dyDescent="0.25">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row>
    <row r="176" spans="2:25" x14ac:dyDescent="0.25">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row>
    <row r="177" spans="2:25" x14ac:dyDescent="0.25">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row>
    <row r="178" spans="2:25" x14ac:dyDescent="0.25">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row>
    <row r="179" spans="2:25" x14ac:dyDescent="0.25">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row>
    <row r="180" spans="2:25" x14ac:dyDescent="0.25">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row>
    <row r="181" spans="2:25" x14ac:dyDescent="0.25">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row>
    <row r="182" spans="2:25" x14ac:dyDescent="0.25">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row>
    <row r="183" spans="2:25" x14ac:dyDescent="0.25">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row>
    <row r="184" spans="2:25" x14ac:dyDescent="0.25">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row>
    <row r="185" spans="2:25" x14ac:dyDescent="0.25">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row>
    <row r="186" spans="2:25" x14ac:dyDescent="0.25">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row>
    <row r="187" spans="2:25" x14ac:dyDescent="0.25">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row>
    <row r="188" spans="2:25" x14ac:dyDescent="0.25">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row>
    <row r="189" spans="2:25" x14ac:dyDescent="0.25">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row>
    <row r="190" spans="2:25" x14ac:dyDescent="0.25">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row>
    <row r="191" spans="2:25" x14ac:dyDescent="0.25">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row>
    <row r="192" spans="2:25" x14ac:dyDescent="0.25">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row>
    <row r="193" spans="2:25" x14ac:dyDescent="0.25">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row>
    <row r="194" spans="2:25" x14ac:dyDescent="0.25">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row>
    <row r="195" spans="2:25" x14ac:dyDescent="0.25">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row>
    <row r="196" spans="2:25" x14ac:dyDescent="0.25">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row>
    <row r="197" spans="2:25" x14ac:dyDescent="0.25">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row>
    <row r="198" spans="2:25" x14ac:dyDescent="0.25">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row>
    <row r="199" spans="2:25" x14ac:dyDescent="0.25">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row>
    <row r="200" spans="2:25" x14ac:dyDescent="0.25">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row>
    <row r="201" spans="2:25" x14ac:dyDescent="0.25">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row>
    <row r="202" spans="2:25" x14ac:dyDescent="0.25">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row>
    <row r="203" spans="2:25" x14ac:dyDescent="0.25">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row>
    <row r="204" spans="2:25" x14ac:dyDescent="0.25">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row>
    <row r="205" spans="2:25" x14ac:dyDescent="0.25">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row>
    <row r="206" spans="2:25" x14ac:dyDescent="0.25">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row>
    <row r="207" spans="2:25" x14ac:dyDescent="0.25">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row>
    <row r="208" spans="2:25" x14ac:dyDescent="0.25">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row>
    <row r="209" spans="2:25" x14ac:dyDescent="0.25">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row>
    <row r="210" spans="2:25" x14ac:dyDescent="0.25">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row>
    <row r="211" spans="2:25" x14ac:dyDescent="0.25">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row>
    <row r="212" spans="2:25" x14ac:dyDescent="0.25">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row>
    <row r="213" spans="2:25" x14ac:dyDescent="0.25">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row>
    <row r="214" spans="2:25" x14ac:dyDescent="0.25">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row>
    <row r="215" spans="2:25" x14ac:dyDescent="0.25">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row>
    <row r="216" spans="2:25" x14ac:dyDescent="0.25">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row>
    <row r="217" spans="2:25" x14ac:dyDescent="0.25">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row>
    <row r="218" spans="2:25" x14ac:dyDescent="0.25">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row>
    <row r="219" spans="2:25" x14ac:dyDescent="0.25">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row>
    <row r="220" spans="2:25" x14ac:dyDescent="0.25">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row>
    <row r="221" spans="2:25" x14ac:dyDescent="0.25">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row>
    <row r="222" spans="2:25" x14ac:dyDescent="0.25">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row>
    <row r="223" spans="2:25" x14ac:dyDescent="0.25">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row>
    <row r="224" spans="2:25" x14ac:dyDescent="0.25">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row>
    <row r="225" spans="2:25" x14ac:dyDescent="0.25">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row>
    <row r="226" spans="2:25" x14ac:dyDescent="0.25">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row>
    <row r="227" spans="2:25" x14ac:dyDescent="0.25">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row>
    <row r="228" spans="2:25" x14ac:dyDescent="0.25">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row>
    <row r="229" spans="2:25" x14ac:dyDescent="0.25">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row>
    <row r="230" spans="2:25" x14ac:dyDescent="0.25">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row>
    <row r="231" spans="2:25" x14ac:dyDescent="0.25">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row>
    <row r="232" spans="2:25" x14ac:dyDescent="0.25">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row>
    <row r="233" spans="2:25" x14ac:dyDescent="0.25">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row>
    <row r="234" spans="2:25" x14ac:dyDescent="0.25">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row>
    <row r="235" spans="2:25" x14ac:dyDescent="0.25">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row>
    <row r="236" spans="2:25" x14ac:dyDescent="0.25">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row>
    <row r="237" spans="2:25" x14ac:dyDescent="0.25">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row>
    <row r="238" spans="2:25" x14ac:dyDescent="0.25">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row>
    <row r="239" spans="2:25" x14ac:dyDescent="0.25">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row>
    <row r="240" spans="2:25" x14ac:dyDescent="0.25">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row>
    <row r="241" spans="2:25" x14ac:dyDescent="0.25">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row>
    <row r="242" spans="2:25" x14ac:dyDescent="0.25">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row>
    <row r="243" spans="2:25" x14ac:dyDescent="0.25">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row>
    <row r="244" spans="2:25" x14ac:dyDescent="0.25">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row>
    <row r="245" spans="2:25" x14ac:dyDescent="0.25">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row>
    <row r="246" spans="2:25" x14ac:dyDescent="0.25">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row>
    <row r="247" spans="2:25" x14ac:dyDescent="0.25">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row>
    <row r="248" spans="2:25" x14ac:dyDescent="0.25">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row>
    <row r="249" spans="2:25" x14ac:dyDescent="0.25">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row>
    <row r="250" spans="2:25" x14ac:dyDescent="0.25">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row>
    <row r="251" spans="2:25" x14ac:dyDescent="0.25">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row>
    <row r="252" spans="2:25" x14ac:dyDescent="0.25">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row>
    <row r="253" spans="2:25" x14ac:dyDescent="0.25">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row>
    <row r="254" spans="2:25" x14ac:dyDescent="0.25">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row>
    <row r="255" spans="2:25" x14ac:dyDescent="0.25">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row>
    <row r="256" spans="2:25" x14ac:dyDescent="0.25">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row>
    <row r="257" spans="2:25" x14ac:dyDescent="0.25">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row>
    <row r="258" spans="2:25" x14ac:dyDescent="0.25">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row>
    <row r="259" spans="2:25" x14ac:dyDescent="0.25">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row>
    <row r="260" spans="2:25" x14ac:dyDescent="0.25">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row>
    <row r="261" spans="2:25" x14ac:dyDescent="0.25">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row>
    <row r="262" spans="2:25" x14ac:dyDescent="0.25">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row>
    <row r="263" spans="2:25" x14ac:dyDescent="0.25">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row>
    <row r="264" spans="2:25" x14ac:dyDescent="0.25">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row>
    <row r="265" spans="2:25" x14ac:dyDescent="0.25">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row>
    <row r="266" spans="2:25" x14ac:dyDescent="0.25">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row>
    <row r="267" spans="2:25" x14ac:dyDescent="0.25">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row>
    <row r="268" spans="2:25" x14ac:dyDescent="0.25">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row>
    <row r="269" spans="2:25" x14ac:dyDescent="0.25">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row>
    <row r="270" spans="2:25" x14ac:dyDescent="0.25">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row>
    <row r="271" spans="2:25" x14ac:dyDescent="0.25">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row>
    <row r="272" spans="2:25" x14ac:dyDescent="0.25">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row>
    <row r="273" spans="2:25" x14ac:dyDescent="0.25">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row>
    <row r="274" spans="2:25" x14ac:dyDescent="0.25">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row>
    <row r="275" spans="2:25" x14ac:dyDescent="0.25">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row>
    <row r="276" spans="2:25" x14ac:dyDescent="0.25">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row>
    <row r="277" spans="2:25" x14ac:dyDescent="0.25">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row>
    <row r="278" spans="2:25" x14ac:dyDescent="0.25">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row>
    <row r="279" spans="2:25" x14ac:dyDescent="0.25">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row>
    <row r="280" spans="2:25" x14ac:dyDescent="0.25">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row>
    <row r="281" spans="2:25" x14ac:dyDescent="0.25">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row>
    <row r="282" spans="2:25" x14ac:dyDescent="0.25">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row>
    <row r="283" spans="2:25" x14ac:dyDescent="0.25">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row>
    <row r="284" spans="2:25" x14ac:dyDescent="0.25">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row>
    <row r="285" spans="2:25" x14ac:dyDescent="0.25">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row>
    <row r="286" spans="2:25" x14ac:dyDescent="0.25">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row>
    <row r="287" spans="2:25" x14ac:dyDescent="0.25">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row>
    <row r="288" spans="2:25" x14ac:dyDescent="0.25">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row>
    <row r="289" spans="2:25" x14ac:dyDescent="0.25">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row>
    <row r="290" spans="2:25" x14ac:dyDescent="0.25">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row>
    <row r="291" spans="2:25" x14ac:dyDescent="0.25">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row>
    <row r="292" spans="2:25" x14ac:dyDescent="0.25">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row>
    <row r="293" spans="2:25" x14ac:dyDescent="0.25">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row>
    <row r="294" spans="2:25" x14ac:dyDescent="0.25">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row>
    <row r="295" spans="2:25" x14ac:dyDescent="0.25">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row>
    <row r="296" spans="2:25" x14ac:dyDescent="0.25">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row>
    <row r="297" spans="2:25" x14ac:dyDescent="0.25">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row>
    <row r="298" spans="2:25" x14ac:dyDescent="0.25">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row>
    <row r="299" spans="2:25" x14ac:dyDescent="0.25">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row>
    <row r="300" spans="2:25" x14ac:dyDescent="0.25">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row>
    <row r="301" spans="2:25" x14ac:dyDescent="0.25">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row>
    <row r="302" spans="2:25" x14ac:dyDescent="0.25">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row>
    <row r="303" spans="2:25" x14ac:dyDescent="0.25">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row>
    <row r="304" spans="2:25" x14ac:dyDescent="0.25">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row>
    <row r="305" spans="2:25" x14ac:dyDescent="0.25">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row>
    <row r="306" spans="2:25" x14ac:dyDescent="0.25">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row>
    <row r="307" spans="2:25" x14ac:dyDescent="0.25">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row>
    <row r="308" spans="2:25" x14ac:dyDescent="0.25">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row>
    <row r="309" spans="2:25" x14ac:dyDescent="0.25">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row>
    <row r="310" spans="2:25" x14ac:dyDescent="0.25">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row>
    <row r="311" spans="2:25" x14ac:dyDescent="0.25">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row>
    <row r="312" spans="2:25" x14ac:dyDescent="0.25">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row>
    <row r="313" spans="2:25" x14ac:dyDescent="0.25">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row>
    <row r="314" spans="2:25" x14ac:dyDescent="0.25">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row>
    <row r="315" spans="2:25" x14ac:dyDescent="0.25">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row>
    <row r="316" spans="2:25" x14ac:dyDescent="0.25">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row>
    <row r="317" spans="2:25" x14ac:dyDescent="0.25">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row>
    <row r="318" spans="2:25" x14ac:dyDescent="0.25">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row>
    <row r="319" spans="2:25" x14ac:dyDescent="0.25">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row>
    <row r="320" spans="2:25" x14ac:dyDescent="0.25">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row>
    <row r="321" spans="2:25" x14ac:dyDescent="0.25">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row>
    <row r="322" spans="2:25" x14ac:dyDescent="0.25">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row>
    <row r="323" spans="2:25" x14ac:dyDescent="0.25">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row>
    <row r="324" spans="2:25" x14ac:dyDescent="0.25">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row>
    <row r="325" spans="2:25" x14ac:dyDescent="0.25">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row>
    <row r="326" spans="2:25" x14ac:dyDescent="0.25">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row>
    <row r="327" spans="2:25" x14ac:dyDescent="0.25">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row>
    <row r="328" spans="2:25" x14ac:dyDescent="0.25">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row>
    <row r="329" spans="2:25" x14ac:dyDescent="0.25">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row>
    <row r="330" spans="2:25" x14ac:dyDescent="0.25">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row>
    <row r="331" spans="2:25" x14ac:dyDescent="0.25">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row>
    <row r="332" spans="2:25" x14ac:dyDescent="0.25">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row>
    <row r="333" spans="2:25" x14ac:dyDescent="0.25">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row>
    <row r="334" spans="2:25" x14ac:dyDescent="0.25">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row>
    <row r="335" spans="2:25" x14ac:dyDescent="0.25">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row>
    <row r="336" spans="2:25" x14ac:dyDescent="0.25">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row>
    <row r="337" spans="2:25" x14ac:dyDescent="0.25">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row>
    <row r="338" spans="2:25" x14ac:dyDescent="0.25">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row>
    <row r="339" spans="2:25" x14ac:dyDescent="0.25">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row>
    <row r="340" spans="2:25" x14ac:dyDescent="0.25">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row>
    <row r="341" spans="2:25" x14ac:dyDescent="0.25">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row>
    <row r="342" spans="2:25" x14ac:dyDescent="0.25">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row>
    <row r="343" spans="2:25" x14ac:dyDescent="0.25">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row>
    <row r="344" spans="2:25" x14ac:dyDescent="0.25">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row>
    <row r="345" spans="2:25" x14ac:dyDescent="0.25">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row>
    <row r="346" spans="2:25" x14ac:dyDescent="0.25">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row>
    <row r="347" spans="2:25" x14ac:dyDescent="0.25">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row>
    <row r="348" spans="2:25" x14ac:dyDescent="0.25">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row>
    <row r="349" spans="2:25" x14ac:dyDescent="0.25">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row>
    <row r="350" spans="2:25" x14ac:dyDescent="0.25">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row>
    <row r="351" spans="2:25" x14ac:dyDescent="0.25">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row>
    <row r="352" spans="2:25" x14ac:dyDescent="0.25">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row>
    <row r="353" spans="2:25" x14ac:dyDescent="0.25">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row>
    <row r="354" spans="2:25" x14ac:dyDescent="0.25">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row>
    <row r="355" spans="2:25" x14ac:dyDescent="0.25">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row>
    <row r="356" spans="2:25" x14ac:dyDescent="0.25">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row>
    <row r="357" spans="2:25" x14ac:dyDescent="0.25">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row>
    <row r="358" spans="2:25" x14ac:dyDescent="0.25">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row>
    <row r="359" spans="2:25" x14ac:dyDescent="0.25">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row>
    <row r="360" spans="2:25" x14ac:dyDescent="0.25">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row>
    <row r="361" spans="2:25" x14ac:dyDescent="0.25">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row>
    <row r="362" spans="2:25" x14ac:dyDescent="0.25">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row>
    <row r="363" spans="2:25" x14ac:dyDescent="0.25">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row>
    <row r="364" spans="2:25" x14ac:dyDescent="0.25">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row>
    <row r="365" spans="2:25" x14ac:dyDescent="0.25">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row>
    <row r="366" spans="2:25" x14ac:dyDescent="0.25">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row>
    <row r="367" spans="2:25" x14ac:dyDescent="0.25">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row>
    <row r="368" spans="2:25" x14ac:dyDescent="0.25">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row>
    <row r="369" spans="2:25" x14ac:dyDescent="0.25">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row>
    <row r="370" spans="2:25" x14ac:dyDescent="0.25">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row>
    <row r="371" spans="2:25" x14ac:dyDescent="0.25">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row>
    <row r="372" spans="2:25" x14ac:dyDescent="0.25">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row>
    <row r="373" spans="2:25" x14ac:dyDescent="0.25">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row>
    <row r="374" spans="2:25" x14ac:dyDescent="0.25">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row>
    <row r="375" spans="2:25" x14ac:dyDescent="0.25">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row>
    <row r="376" spans="2:25" x14ac:dyDescent="0.25">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row>
    <row r="377" spans="2:25" x14ac:dyDescent="0.25">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row>
    <row r="378" spans="2:25" x14ac:dyDescent="0.25">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row>
    <row r="379" spans="2:25" x14ac:dyDescent="0.25">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row>
    <row r="380" spans="2:25" x14ac:dyDescent="0.25">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row>
    <row r="381" spans="2:25" x14ac:dyDescent="0.25">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row>
    <row r="382" spans="2:25" x14ac:dyDescent="0.25">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row>
    <row r="383" spans="2:25" x14ac:dyDescent="0.25">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row>
    <row r="384" spans="2:25" x14ac:dyDescent="0.25">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row>
    <row r="385" spans="2:25" x14ac:dyDescent="0.25">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row>
    <row r="386" spans="2:25" x14ac:dyDescent="0.25">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row>
    <row r="387" spans="2:25" x14ac:dyDescent="0.25">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row>
    <row r="388" spans="2:25" x14ac:dyDescent="0.25">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row>
    <row r="389" spans="2:25" x14ac:dyDescent="0.25">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row>
    <row r="390" spans="2:25" x14ac:dyDescent="0.25">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row>
    <row r="391" spans="2:25" x14ac:dyDescent="0.25">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row>
    <row r="392" spans="2:25" x14ac:dyDescent="0.25">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row>
    <row r="393" spans="2:25" x14ac:dyDescent="0.25">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row>
    <row r="394" spans="2:25" x14ac:dyDescent="0.25">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row>
    <row r="395" spans="2:25" x14ac:dyDescent="0.25">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row>
    <row r="396" spans="2:25" x14ac:dyDescent="0.25">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row>
    <row r="397" spans="2:25" x14ac:dyDescent="0.25">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row>
    <row r="398" spans="2:25" x14ac:dyDescent="0.25">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row>
    <row r="399" spans="2:25" x14ac:dyDescent="0.25">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row>
    <row r="400" spans="2:25" x14ac:dyDescent="0.25">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2:25" x14ac:dyDescent="0.25">
      <c r="B401" s="1"/>
      <c r="C401" s="1"/>
      <c r="D401" s="1"/>
      <c r="E401" s="1"/>
      <c r="F401" s="1"/>
      <c r="G401" s="1"/>
      <c r="H401" s="1"/>
      <c r="I401" s="1"/>
      <c r="J401" s="1"/>
      <c r="K401" s="1"/>
      <c r="L401" s="1"/>
      <c r="M401" s="1"/>
      <c r="N401" s="1"/>
      <c r="O401" s="1"/>
      <c r="P401" s="1"/>
      <c r="Q401" s="1"/>
      <c r="R401" s="1"/>
      <c r="S401" s="1"/>
      <c r="T401" s="1"/>
      <c r="U401" s="1"/>
      <c r="V401" s="1"/>
      <c r="W401" s="1"/>
      <c r="X401" s="1"/>
      <c r="Y401" s="1"/>
    </row>
  </sheetData>
  <mergeCells count="6">
    <mergeCell ref="J25:N25"/>
    <mergeCell ref="F25:I25"/>
    <mergeCell ref="B16:G16"/>
    <mergeCell ref="B10:I10"/>
    <mergeCell ref="E5:H5"/>
    <mergeCell ref="B8:M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AK74"/>
  <sheetViews>
    <sheetView topLeftCell="A19" zoomScale="90" zoomScaleNormal="90" workbookViewId="0">
      <selection activeCell="E39" sqref="E39"/>
    </sheetView>
  </sheetViews>
  <sheetFormatPr defaultRowHeight="15" x14ac:dyDescent="0.25"/>
  <cols>
    <col min="1" max="1" width="3.28515625" customWidth="1"/>
    <col min="2" max="2" width="50.7109375" customWidth="1"/>
    <col min="3" max="3" width="55" customWidth="1"/>
    <col min="4" max="8" width="17.85546875" bestFit="1" customWidth="1"/>
    <col min="9" max="10" width="14.28515625" bestFit="1" customWidth="1"/>
    <col min="11" max="11" width="9.28515625" bestFit="1" customWidth="1"/>
    <col min="12" max="12" width="9.85546875" bestFit="1" customWidth="1"/>
    <col min="13" max="14" width="9.28515625" bestFit="1" customWidth="1"/>
  </cols>
  <sheetData>
    <row r="1" spans="1:28" ht="26.25" x14ac:dyDescent="0.4">
      <c r="A1" s="62"/>
      <c r="B1" s="498" t="s">
        <v>523</v>
      </c>
      <c r="C1" s="498"/>
      <c r="D1" s="61"/>
      <c r="E1" s="61"/>
      <c r="F1" s="61"/>
      <c r="G1" s="61"/>
      <c r="H1" s="61"/>
      <c r="I1" s="164"/>
      <c r="J1" s="164"/>
      <c r="K1" s="130"/>
      <c r="L1" s="130"/>
      <c r="M1" s="130"/>
      <c r="N1" s="130"/>
      <c r="O1" s="130"/>
      <c r="P1" s="130"/>
      <c r="Q1" s="130"/>
      <c r="R1" s="1"/>
      <c r="S1" s="1"/>
      <c r="T1" s="1"/>
      <c r="U1" s="1"/>
      <c r="V1" s="1"/>
      <c r="W1" s="1"/>
      <c r="X1" s="1"/>
      <c r="Y1" s="1"/>
      <c r="Z1" s="1"/>
      <c r="AA1" s="1"/>
      <c r="AB1" s="1"/>
    </row>
    <row r="2" spans="1:28" ht="24" x14ac:dyDescent="0.4">
      <c r="A2" s="62"/>
      <c r="B2" s="499"/>
      <c r="C2" s="500"/>
      <c r="D2" s="586" t="s">
        <v>158</v>
      </c>
      <c r="E2" s="586"/>
      <c r="F2" s="586"/>
      <c r="G2" s="586"/>
      <c r="H2" s="586"/>
      <c r="I2" s="501"/>
      <c r="J2" s="501"/>
      <c r="K2" s="130"/>
      <c r="L2" s="130"/>
      <c r="M2" s="130"/>
      <c r="N2" s="130"/>
      <c r="O2" s="130"/>
      <c r="P2" s="130"/>
      <c r="Q2" s="130"/>
      <c r="R2" s="1"/>
      <c r="S2" s="1"/>
      <c r="T2" s="1"/>
      <c r="U2" s="1"/>
      <c r="V2" s="1"/>
      <c r="W2" s="1"/>
      <c r="X2" s="1"/>
      <c r="Y2" s="1"/>
      <c r="Z2" s="1"/>
      <c r="AA2" s="1"/>
      <c r="AB2" s="1"/>
    </row>
    <row r="3" spans="1:28" x14ac:dyDescent="0.25">
      <c r="A3" s="66"/>
      <c r="B3" s="502"/>
      <c r="C3" s="503" t="s">
        <v>524</v>
      </c>
      <c r="D3" s="504">
        <v>42369</v>
      </c>
      <c r="E3" s="504">
        <v>42735</v>
      </c>
      <c r="F3" s="504">
        <v>43100</v>
      </c>
      <c r="G3" s="504">
        <v>43465</v>
      </c>
      <c r="H3" s="504">
        <v>43830</v>
      </c>
      <c r="I3" s="501"/>
      <c r="J3" s="501"/>
      <c r="K3" s="130"/>
      <c r="L3" s="130"/>
      <c r="M3" s="130"/>
      <c r="N3" s="130"/>
      <c r="O3" s="130"/>
      <c r="P3" s="130"/>
      <c r="Q3" s="130"/>
      <c r="R3" s="1"/>
      <c r="S3" s="1"/>
      <c r="T3" s="1"/>
      <c r="U3" s="1"/>
      <c r="V3" s="1"/>
      <c r="W3" s="1"/>
      <c r="X3" s="1"/>
      <c r="Y3" s="1"/>
      <c r="Z3" s="1"/>
      <c r="AA3" s="1"/>
      <c r="AB3" s="1"/>
    </row>
    <row r="4" spans="1:28" ht="21" x14ac:dyDescent="0.35">
      <c r="A4" s="1"/>
      <c r="B4" s="505" t="s">
        <v>525</v>
      </c>
      <c r="C4" s="1"/>
      <c r="D4" s="1"/>
      <c r="E4" s="1"/>
      <c r="F4" s="1"/>
      <c r="G4" s="1"/>
      <c r="H4" s="1"/>
      <c r="I4" s="1"/>
      <c r="J4" s="1"/>
      <c r="K4" s="130"/>
      <c r="L4" s="130"/>
      <c r="M4" s="130"/>
      <c r="N4" s="130"/>
      <c r="O4" s="130"/>
      <c r="P4" s="130"/>
      <c r="Q4" s="130"/>
      <c r="R4" s="1"/>
      <c r="S4" s="1"/>
      <c r="T4" s="1"/>
      <c r="U4" s="1"/>
      <c r="V4" s="1"/>
      <c r="W4" s="1"/>
      <c r="X4" s="1"/>
      <c r="Y4" s="1"/>
      <c r="Z4" s="1"/>
      <c r="AA4" s="1"/>
      <c r="AB4" s="1"/>
    </row>
    <row r="5" spans="1:28" x14ac:dyDescent="0.25">
      <c r="A5" s="1"/>
      <c r="B5" s="130" t="s">
        <v>307</v>
      </c>
      <c r="C5" s="506" t="s">
        <v>308</v>
      </c>
      <c r="D5" s="507">
        <f>('[1]Reorganised Statements'!D80*(1-0.279))/'[1]Balance sheet'!F94</f>
        <v>1.5816243240485663E-2</v>
      </c>
      <c r="E5" s="32">
        <f>('[1]Reorganised Statements'!E80*(1-0.279))/'[1]Balance sheet'!G94</f>
        <v>3.0750264754019443E-2</v>
      </c>
      <c r="F5" s="32">
        <f>('[1]Reorganised Statements'!F80*(1-0.279))/'[1]Balance sheet'!H94</f>
        <v>5.1453412403256606E-2</v>
      </c>
      <c r="G5" s="32">
        <f>('[1]Reorganised Statements'!G80*(1-0.279))/'[1]Balance sheet'!I94</f>
        <v>4.1028549308042193E-2</v>
      </c>
      <c r="H5" s="32">
        <f>('[1]Reorganised Statements'!H80*(1-0.279))/'[1]Balance sheet'!J94</f>
        <v>4.6184335664335663E-2</v>
      </c>
      <c r="I5" s="130"/>
      <c r="J5" s="130"/>
      <c r="K5" s="130"/>
      <c r="L5" s="130"/>
      <c r="M5" s="130"/>
      <c r="N5" s="130"/>
      <c r="O5" s="130"/>
      <c r="P5" s="130"/>
      <c r="Q5" s="130"/>
      <c r="R5" s="1"/>
      <c r="S5" s="1"/>
      <c r="T5" s="1"/>
      <c r="U5" s="1"/>
      <c r="V5" s="1"/>
      <c r="W5" s="1"/>
      <c r="X5" s="1"/>
      <c r="Y5" s="1"/>
      <c r="Z5" s="1"/>
      <c r="AA5" s="1"/>
      <c r="AB5" s="1"/>
    </row>
    <row r="6" spans="1:28" ht="40.5" customHeight="1" x14ac:dyDescent="0.25">
      <c r="A6" s="1"/>
      <c r="B6" s="130"/>
      <c r="C6" s="130"/>
      <c r="D6" s="31"/>
      <c r="E6" s="29"/>
      <c r="F6" s="29"/>
      <c r="G6" s="29"/>
      <c r="H6" s="29"/>
      <c r="I6" s="130"/>
      <c r="J6" s="130"/>
      <c r="K6" s="130"/>
      <c r="L6" s="130"/>
      <c r="M6" s="130"/>
      <c r="N6" s="130"/>
      <c r="O6" s="130"/>
      <c r="P6" s="130"/>
      <c r="Q6" s="130"/>
      <c r="R6" s="1"/>
      <c r="S6" s="1"/>
      <c r="T6" s="1"/>
      <c r="U6" s="1"/>
      <c r="V6" s="1"/>
      <c r="W6" s="1"/>
      <c r="X6" s="1"/>
      <c r="Y6" s="1"/>
      <c r="Z6" s="1"/>
      <c r="AA6" s="1"/>
      <c r="AB6" s="1"/>
    </row>
    <row r="7" spans="1:28" x14ac:dyDescent="0.25">
      <c r="A7" s="1"/>
      <c r="B7" s="130" t="s">
        <v>526</v>
      </c>
      <c r="C7" s="130" t="s">
        <v>527</v>
      </c>
      <c r="D7" s="507">
        <f>('[1]Income Statement'!E77+('[1]Income Statement'!J48*(1-0.279)))/'[1]Balance sheet'!F94</f>
        <v>1.7747168656259565E-2</v>
      </c>
      <c r="E7" s="32">
        <f>('[1]Income Statement'!F77+('[1]Income Statement'!K48*(1-0.279)))/'[1]Balance sheet'!G94</f>
        <v>3.1637046307884852E-2</v>
      </c>
      <c r="F7" s="32">
        <f>('[1]Income Statement'!G77+('[1]Income Statement'!L48*(1-0.279)))/'[1]Balance sheet'!H94</f>
        <v>3.7639260227158508E-2</v>
      </c>
      <c r="G7" s="32">
        <f>('[1]Income Statement'!H77+('[1]Income Statement'!M48*(1-0.279)))/'[1]Balance sheet'!I94</f>
        <v>4.0827252492015874E-2</v>
      </c>
      <c r="H7" s="32">
        <f>('[1]Income Statement'!I77+('[1]Income Statement'!N48*(1-0.279)))/'[1]Balance sheet'!J94</f>
        <v>4.2858554778554783E-2</v>
      </c>
      <c r="I7" s="130"/>
      <c r="J7" s="130"/>
      <c r="K7" s="130"/>
      <c r="L7" s="130"/>
      <c r="M7" s="130"/>
      <c r="N7" s="130"/>
      <c r="O7" s="130"/>
      <c r="P7" s="130"/>
      <c r="Q7" s="130"/>
      <c r="R7" s="1"/>
      <c r="S7" s="1"/>
      <c r="T7" s="1"/>
      <c r="U7" s="1"/>
      <c r="V7" s="1"/>
      <c r="W7" s="1"/>
      <c r="X7" s="1"/>
      <c r="Y7" s="1"/>
      <c r="Z7" s="1"/>
      <c r="AA7" s="1"/>
      <c r="AB7" s="1"/>
    </row>
    <row r="8" spans="1:28" ht="41.25" customHeight="1" x14ac:dyDescent="0.25">
      <c r="A8" s="1"/>
      <c r="B8" s="130"/>
      <c r="C8" s="130"/>
      <c r="D8" s="31"/>
      <c r="E8" s="29"/>
      <c r="F8" s="29"/>
      <c r="G8" s="29"/>
      <c r="H8" s="29"/>
      <c r="I8" s="130"/>
      <c r="J8" s="130"/>
      <c r="K8" s="130"/>
      <c r="L8" s="130"/>
      <c r="M8" s="130"/>
      <c r="N8" s="130"/>
      <c r="O8" s="130"/>
      <c r="P8" s="130"/>
      <c r="Q8" s="130"/>
      <c r="R8" s="1"/>
      <c r="S8" s="1"/>
      <c r="T8" s="1"/>
      <c r="U8" s="1"/>
      <c r="V8" s="1"/>
      <c r="W8" s="1"/>
      <c r="X8" s="1"/>
      <c r="Y8" s="1"/>
      <c r="Z8" s="1"/>
      <c r="AA8" s="1"/>
      <c r="AB8" s="1"/>
    </row>
    <row r="9" spans="1:28" x14ac:dyDescent="0.25">
      <c r="A9" s="1"/>
      <c r="B9" s="130" t="s">
        <v>528</v>
      </c>
      <c r="C9" s="508" t="s">
        <v>529</v>
      </c>
      <c r="D9" s="507">
        <f>('[1]Reorganised Statements'!D80*(1-0.279))/('[1]Balance sheet'!F110+'[1]Balance sheet'!F119)</f>
        <v>2.4419502205419028E-2</v>
      </c>
      <c r="E9" s="32">
        <f>('[1]Reorganised Statements'!E80*(1-0.279))/('[1]Balance sheet'!G110+'[1]Balance sheet'!G119)</f>
        <v>4.7565599404318683E-2</v>
      </c>
      <c r="F9" s="32">
        <f>('[1]Reorganised Statements'!F80*(1-0.279))/('[1]Balance sheet'!H110+'[1]Balance sheet'!H119)</f>
        <v>7.8586122198342032E-2</v>
      </c>
      <c r="G9" s="32">
        <f>('[1]Reorganised Statements'!G80*(1-0.279))/('[1]Balance sheet'!I110+'[1]Balance sheet'!I119)</f>
        <v>6.5152604887044718E-2</v>
      </c>
      <c r="H9" s="32">
        <f>('[1]Reorganised Statements'!H80*(1-0.279))/('[1]Balance sheet'!J110+'[1]Balance sheet'!J119)</f>
        <v>7.118812877263582E-2</v>
      </c>
      <c r="I9" s="130"/>
      <c r="J9" s="130"/>
      <c r="K9" s="130"/>
      <c r="L9" s="130"/>
      <c r="M9" s="130"/>
      <c r="N9" s="130"/>
      <c r="O9" s="130"/>
      <c r="P9" s="130"/>
      <c r="Q9" s="130"/>
      <c r="R9" s="1"/>
      <c r="S9" s="1"/>
      <c r="T9" s="1"/>
      <c r="U9" s="1"/>
      <c r="V9" s="1"/>
      <c r="W9" s="1"/>
      <c r="X9" s="1"/>
      <c r="Y9" s="1"/>
      <c r="Z9" s="1"/>
      <c r="AA9" s="1"/>
      <c r="AB9" s="1"/>
    </row>
    <row r="10" spans="1:28" ht="41.25" customHeight="1" x14ac:dyDescent="0.25">
      <c r="A10" s="1"/>
      <c r="B10" s="130"/>
      <c r="C10" s="130"/>
      <c r="D10" s="31"/>
      <c r="E10" s="29"/>
      <c r="F10" s="29"/>
      <c r="G10" s="29"/>
      <c r="H10" s="29"/>
      <c r="I10" s="130"/>
      <c r="J10" s="130"/>
      <c r="K10" s="130"/>
      <c r="L10" s="130"/>
      <c r="M10" s="130"/>
      <c r="N10" s="130"/>
      <c r="O10" s="130"/>
      <c r="P10" s="130"/>
      <c r="Q10" s="130"/>
      <c r="R10" s="1"/>
      <c r="S10" s="1"/>
      <c r="T10" s="1"/>
      <c r="U10" s="1"/>
      <c r="V10" s="1"/>
      <c r="W10" s="1"/>
      <c r="X10" s="1"/>
      <c r="Y10" s="1"/>
      <c r="Z10" s="1"/>
      <c r="AA10" s="1"/>
      <c r="AB10" s="1"/>
    </row>
    <row r="11" spans="1:28" x14ac:dyDescent="0.25">
      <c r="A11" s="1"/>
      <c r="B11" s="130" t="s">
        <v>530</v>
      </c>
      <c r="C11" s="130" t="s">
        <v>531</v>
      </c>
      <c r="D11" s="453">
        <f>'[1]Reorganised Statements'!D80*(1-0.279)/(('[1]Balance sheet'!F119+'[1]Balance sheet'!G119)/2 + ('[1]Balance sheet'!F110+'[1]Balance sheet'!G110)/2)</f>
        <v>2.3733445609737423E-2</v>
      </c>
      <c r="E11" s="509">
        <f>'[1]Reorganised Statements'!E80*(1-0.279)/(('[1]Balance sheet'!G119+'[1]Balance sheet'!H119)/2 + ('[1]Balance sheet'!G110+'[1]Balance sheet'!H110)/2)</f>
        <v>4.8288305994406221E-2</v>
      </c>
      <c r="F11" s="509">
        <f>'[1]Reorganised Statements'!F80*(1-0.279)/(('[1]Balance sheet'!H119+'[1]Balance sheet'!I119)/2 + ('[1]Balance sheet'!H110+'[1]Balance sheet'!I110)/2)</f>
        <v>7.8628369556869665E-2</v>
      </c>
      <c r="G11" s="509">
        <f>'[1]Reorganised Statements'!G80*(1-0.279)/(('[1]Balance sheet'!I119+'[1]Balance sheet'!J119)/2 + ('[1]Balance sheet'!I110+'[1]Balance sheet'!J110)/2)</f>
        <v>6.2970367619754913E-2</v>
      </c>
      <c r="H11" s="510">
        <f>'[1]Reorganised Statements'!H80*(1-0.279)/(('[1]Balance sheet'!J119+'[1]Balance sheet'!K119)/2 + ('[1]Balance sheet'!J110+'[1]Balance sheet'!K110)/2)</f>
        <v>0.14237625754527164</v>
      </c>
      <c r="I11" s="511"/>
      <c r="J11" s="130"/>
      <c r="K11" s="130"/>
      <c r="L11" s="130"/>
      <c r="M11" s="130"/>
      <c r="N11" s="130"/>
      <c r="O11" s="130"/>
      <c r="P11" s="130"/>
      <c r="Q11" s="130"/>
      <c r="R11" s="1"/>
      <c r="S11" s="1"/>
      <c r="T11" s="1"/>
      <c r="U11" s="1"/>
      <c r="V11" s="1"/>
      <c r="W11" s="1"/>
      <c r="X11" s="1"/>
      <c r="Y11" s="1"/>
      <c r="Z11" s="1"/>
      <c r="AA11" s="1"/>
      <c r="AB11" s="1"/>
    </row>
    <row r="12" spans="1:28" ht="40.5" customHeight="1" x14ac:dyDescent="0.25">
      <c r="A12" s="1"/>
      <c r="B12" s="1"/>
      <c r="C12" s="1"/>
      <c r="D12" s="453"/>
      <c r="E12" s="509"/>
      <c r="F12" s="509"/>
      <c r="G12" s="509"/>
      <c r="H12" s="509"/>
      <c r="I12" s="512"/>
      <c r="J12" s="512"/>
      <c r="K12" s="512"/>
      <c r="L12" s="512"/>
      <c r="M12" s="512"/>
      <c r="N12" s="512"/>
      <c r="O12" s="130"/>
      <c r="P12" s="130"/>
      <c r="Q12" s="130"/>
      <c r="R12" s="1"/>
      <c r="S12" s="1"/>
      <c r="T12" s="1"/>
      <c r="U12" s="1"/>
      <c r="V12" s="1"/>
      <c r="W12" s="1"/>
      <c r="X12" s="1"/>
      <c r="Y12" s="1"/>
      <c r="Z12" s="1"/>
      <c r="AA12" s="1"/>
      <c r="AB12" s="1"/>
    </row>
    <row r="13" spans="1:28" x14ac:dyDescent="0.25">
      <c r="A13" s="1"/>
      <c r="B13" s="130" t="s">
        <v>532</v>
      </c>
      <c r="C13" s="508" t="s">
        <v>309</v>
      </c>
      <c r="D13" s="507">
        <f>('[1]Reorganised Statements'!D80*(1-0.279)/'[1]Income Statement'!E10)*('[1]Income Statement'!E10/('[1]Balance sheet'!F110+'[1]Balance sheet'!F119))</f>
        <v>2.4419502205419025E-2</v>
      </c>
      <c r="E13" s="32">
        <f>('[1]Reorganised Statements'!E80*(1-0.279)/'[1]Income Statement'!F10)*('[1]Income Statement'!F10/('[1]Balance sheet'!G110+'[1]Balance sheet'!G119))</f>
        <v>4.7565599404318683E-2</v>
      </c>
      <c r="F13" s="32">
        <f>('[1]Reorganised Statements'!F80*(1-0.279)/'[1]Income Statement'!G10)*('[1]Income Statement'!G10/('[1]Balance sheet'!H110+'[1]Balance sheet'!H119))</f>
        <v>7.8586122198342032E-2</v>
      </c>
      <c r="G13" s="32">
        <f>('[1]Reorganised Statements'!G80*(1-0.279)/'[1]Income Statement'!H10)*('[1]Income Statement'!H10/('[1]Balance sheet'!I110+'[1]Balance sheet'!I119))</f>
        <v>6.5152604887044732E-2</v>
      </c>
      <c r="H13" s="32">
        <f>('[1]Reorganised Statements'!H80*(1-0.279)/'[1]Income Statement'!I10)*('[1]Income Statement'!I10/('[1]Balance sheet'!J110+'[1]Balance sheet'!J119))</f>
        <v>7.118812877263582E-2</v>
      </c>
      <c r="I13" s="130"/>
      <c r="J13" s="130"/>
      <c r="K13" s="130"/>
      <c r="L13" s="130"/>
      <c r="M13" s="130"/>
      <c r="N13" s="130"/>
      <c r="O13" s="130"/>
      <c r="P13" s="130"/>
      <c r="Q13" s="130"/>
      <c r="R13" s="1"/>
      <c r="S13" s="1"/>
      <c r="T13" s="1"/>
      <c r="U13" s="1"/>
      <c r="V13" s="1"/>
      <c r="W13" s="1"/>
      <c r="X13" s="1"/>
      <c r="Y13" s="1"/>
      <c r="Z13" s="1"/>
      <c r="AA13" s="1"/>
      <c r="AB13" s="1"/>
    </row>
    <row r="14" spans="1:28" ht="41.25" customHeight="1" x14ac:dyDescent="0.25">
      <c r="A14" s="1"/>
      <c r="B14" s="1"/>
      <c r="C14" s="1"/>
      <c r="D14" s="48"/>
      <c r="E14" s="509"/>
      <c r="F14" s="509"/>
      <c r="G14" s="509"/>
      <c r="H14" s="509"/>
      <c r="I14" s="130"/>
      <c r="J14" s="130"/>
      <c r="K14" s="130"/>
      <c r="L14" s="130"/>
      <c r="M14" s="130"/>
      <c r="N14" s="130"/>
      <c r="O14" s="130"/>
      <c r="P14" s="130"/>
      <c r="Q14" s="130"/>
      <c r="R14" s="1"/>
      <c r="S14" s="1"/>
      <c r="T14" s="1"/>
      <c r="U14" s="1"/>
      <c r="V14" s="1"/>
      <c r="W14" s="1"/>
      <c r="X14" s="1"/>
      <c r="Y14" s="1"/>
      <c r="Z14" s="1"/>
      <c r="AA14" s="1"/>
      <c r="AB14" s="1"/>
    </row>
    <row r="15" spans="1:28" x14ac:dyDescent="0.25">
      <c r="A15" s="1"/>
      <c r="B15" s="513" t="s">
        <v>533</v>
      </c>
      <c r="C15" s="514" t="s">
        <v>534</v>
      </c>
      <c r="D15" s="515">
        <f>D9+(D37)*(D9-'[1]Income Statement'!J50)</f>
        <v>1.645061877301527E-2</v>
      </c>
      <c r="E15" s="516">
        <f>E9+(E37)*(E9-'[1]Income Statement'!K50)</f>
        <v>6.7689161370432099E-2</v>
      </c>
      <c r="F15" s="516">
        <f>F9+(F37)*(F9-'[1]Income Statement'!L50)</f>
        <v>0.13819682977976475</v>
      </c>
      <c r="G15" s="516">
        <f>G9+(G37)*(G9-'[1]Income Statement'!M50)</f>
        <v>9.9010508130485869E-2</v>
      </c>
      <c r="H15" s="516">
        <f>H9+(H37)*(H9-'[1]Income Statement'!N50)</f>
        <v>0.11454181000813213</v>
      </c>
      <c r="I15" s="130"/>
      <c r="J15" s="130"/>
      <c r="K15" s="130"/>
      <c r="L15" s="130"/>
      <c r="M15" s="130"/>
      <c r="N15" s="130"/>
      <c r="O15" s="130"/>
      <c r="P15" s="130"/>
      <c r="Q15" s="130"/>
      <c r="R15" s="1"/>
      <c r="S15" s="1"/>
      <c r="T15" s="1"/>
      <c r="U15" s="1"/>
      <c r="V15" s="1"/>
      <c r="W15" s="1"/>
      <c r="X15" s="1"/>
      <c r="Y15" s="1"/>
      <c r="Z15" s="1"/>
      <c r="AA15" s="1"/>
      <c r="AB15" s="1"/>
    </row>
    <row r="16" spans="1:28" ht="40.5" customHeight="1" x14ac:dyDescent="0.25">
      <c r="A16" s="1"/>
      <c r="B16" s="1"/>
      <c r="C16" s="508"/>
      <c r="D16" s="31"/>
      <c r="E16" s="29"/>
      <c r="F16" s="29"/>
      <c r="G16" s="29"/>
      <c r="H16" s="29"/>
      <c r="I16" s="130"/>
      <c r="J16" s="130"/>
      <c r="K16" s="130"/>
      <c r="L16" s="130"/>
      <c r="M16" s="130"/>
      <c r="N16" s="130"/>
      <c r="O16" s="130"/>
      <c r="P16" s="130"/>
      <c r="Q16" s="130"/>
      <c r="R16" s="1"/>
      <c r="S16" s="1"/>
      <c r="T16" s="1"/>
      <c r="U16" s="1"/>
      <c r="V16" s="1"/>
      <c r="W16" s="1"/>
      <c r="X16" s="1"/>
      <c r="Y16" s="1"/>
      <c r="Z16" s="1"/>
      <c r="AA16" s="1"/>
      <c r="AB16" s="1"/>
    </row>
    <row r="17" spans="1:37" x14ac:dyDescent="0.25">
      <c r="A17" s="1"/>
      <c r="B17" s="508" t="s">
        <v>535</v>
      </c>
      <c r="C17" s="130" t="s">
        <v>536</v>
      </c>
      <c r="D17" s="507">
        <f>'[1]Income Statement'!E77/'[1]Balance sheet'!F110</f>
        <v>2.2399509051856399E-2</v>
      </c>
      <c r="E17" s="32">
        <f>'[1]Income Statement'!F77/'[1]Balance sheet'!G110</f>
        <v>7.0753278438548339E-2</v>
      </c>
      <c r="F17" s="32">
        <f>'[1]Income Statement'!G77/'[1]Balance sheet'!H110</f>
        <v>9.7245270494523736E-2</v>
      </c>
      <c r="G17" s="32">
        <f>'[1]Income Statement'!H77/'[1]Balance sheet'!I110</f>
        <v>9.7644053363610553E-2</v>
      </c>
      <c r="H17" s="32">
        <f>'[1]Income Statement'!I77/'[1]Balance sheet'!J110</f>
        <v>0.10654615173924951</v>
      </c>
      <c r="I17" s="130"/>
      <c r="J17" s="130"/>
      <c r="K17" s="130"/>
      <c r="L17" s="130"/>
      <c r="M17" s="130"/>
      <c r="N17" s="130"/>
      <c r="O17" s="130"/>
      <c r="P17" s="130"/>
      <c r="Q17" s="130"/>
      <c r="R17" s="1"/>
      <c r="S17" s="1"/>
      <c r="T17" s="1"/>
      <c r="U17" s="1"/>
      <c r="V17" s="1"/>
      <c r="W17" s="1"/>
      <c r="X17" s="1"/>
      <c r="Y17" s="1"/>
      <c r="Z17" s="1"/>
      <c r="AA17" s="1"/>
      <c r="AB17" s="1"/>
    </row>
    <row r="18" spans="1:37" ht="40.5" customHeight="1" x14ac:dyDescent="0.25">
      <c r="A18" s="1"/>
      <c r="C18" s="1"/>
      <c r="D18" s="517"/>
      <c r="E18" s="518"/>
      <c r="F18" s="518"/>
      <c r="G18" s="518"/>
      <c r="H18" s="518"/>
      <c r="I18" s="519"/>
      <c r="J18" s="519"/>
      <c r="K18" s="130"/>
      <c r="L18" s="130"/>
      <c r="M18" s="130"/>
      <c r="N18" s="130"/>
      <c r="O18" s="130"/>
      <c r="P18" s="130"/>
      <c r="Q18" s="130"/>
      <c r="R18" s="1"/>
      <c r="S18" s="1"/>
      <c r="T18" s="1"/>
      <c r="U18" s="1"/>
      <c r="V18" s="1"/>
      <c r="W18" s="1"/>
      <c r="X18" s="1"/>
      <c r="Y18" s="1"/>
      <c r="Z18" s="1"/>
      <c r="AA18" s="1"/>
      <c r="AB18" s="1"/>
    </row>
    <row r="19" spans="1:37" x14ac:dyDescent="0.25">
      <c r="A19" s="1"/>
      <c r="B19" s="130" t="s">
        <v>535</v>
      </c>
      <c r="C19" s="130" t="s">
        <v>537</v>
      </c>
      <c r="D19" s="507">
        <f>'[1]Income Statement'!E77/ (('[1]Balance sheet'!F110+'[1]Balance sheet'!G110)/2)</f>
        <v>2.2330988069746101E-2</v>
      </c>
      <c r="E19" s="32">
        <f>'[1]Income Statement'!F77/ (('[1]Balance sheet'!G110+'[1]Balance sheet'!H110)/2)</f>
        <v>7.3744437380801012E-2</v>
      </c>
      <c r="F19" s="32">
        <f>'[1]Income Statement'!G77/ (('[1]Balance sheet'!H110+'[1]Balance sheet'!I110)/2)</f>
        <v>8.9657282741738065E-2</v>
      </c>
      <c r="G19" s="32">
        <f>'[1]Income Statement'!H77/ (('[1]Balance sheet'!I110+'[1]Balance sheet'!J110)/2)</f>
        <v>9.5901867856147197E-2</v>
      </c>
      <c r="H19" s="520">
        <f>'[1]Income Statement'!I77/ (('[1]Balance sheet'!J110+'[1]Balance sheet'!K110)/2)</f>
        <v>0.21309230347849903</v>
      </c>
      <c r="I19" s="130"/>
      <c r="J19" s="130"/>
      <c r="K19" s="130"/>
      <c r="L19" s="130"/>
      <c r="M19" s="130"/>
      <c r="N19" s="130"/>
      <c r="O19" s="130"/>
      <c r="P19" s="130"/>
      <c r="Q19" s="130"/>
      <c r="R19" s="1"/>
      <c r="S19" s="1"/>
      <c r="T19" s="1"/>
      <c r="U19" s="1"/>
      <c r="V19" s="1"/>
      <c r="W19" s="1"/>
      <c r="X19" s="1"/>
      <c r="Y19" s="1"/>
      <c r="Z19" s="1"/>
      <c r="AA19" s="1"/>
      <c r="AB19" s="1"/>
    </row>
    <row r="20" spans="1:37" x14ac:dyDescent="0.25">
      <c r="A20" s="1"/>
      <c r="B20" s="130"/>
      <c r="C20" s="130"/>
      <c r="D20" s="507"/>
      <c r="E20" s="32"/>
      <c r="F20" s="32"/>
      <c r="G20" s="32"/>
      <c r="H20" s="32"/>
      <c r="I20" s="130"/>
      <c r="J20" s="130"/>
      <c r="K20" s="130"/>
      <c r="L20" s="130"/>
      <c r="M20" s="130"/>
      <c r="N20" s="130"/>
      <c r="O20" s="130"/>
      <c r="P20" s="130"/>
      <c r="Q20" s="130"/>
      <c r="R20" s="1"/>
      <c r="S20" s="1"/>
      <c r="T20" s="1"/>
      <c r="U20" s="1"/>
      <c r="V20" s="1"/>
      <c r="W20" s="1"/>
      <c r="X20" s="1"/>
      <c r="Y20" s="1"/>
      <c r="Z20" s="1"/>
      <c r="AA20" s="1"/>
      <c r="AB20" s="1"/>
    </row>
    <row r="21" spans="1:37" ht="21" x14ac:dyDescent="0.35">
      <c r="A21" s="1"/>
      <c r="B21" s="505" t="s">
        <v>538</v>
      </c>
      <c r="C21" s="1"/>
      <c r="D21" s="517"/>
      <c r="E21" s="521"/>
      <c r="F21" s="521"/>
      <c r="G21" s="521"/>
      <c r="H21" s="521"/>
      <c r="I21" s="130"/>
      <c r="J21" s="130"/>
      <c r="K21" s="130"/>
      <c r="L21" s="130"/>
      <c r="M21" s="130"/>
      <c r="N21" s="130"/>
      <c r="O21" s="130"/>
      <c r="P21" s="130"/>
      <c r="Q21" s="130"/>
      <c r="R21" s="1"/>
      <c r="S21" s="1"/>
      <c r="T21" s="1"/>
      <c r="U21" s="1"/>
      <c r="V21" s="1"/>
      <c r="W21" s="1"/>
      <c r="X21" s="1"/>
      <c r="Y21" s="1"/>
      <c r="Z21" s="1"/>
      <c r="AA21" s="1"/>
      <c r="AB21" s="1"/>
    </row>
    <row r="22" spans="1:37" x14ac:dyDescent="0.25">
      <c r="A22" s="1"/>
      <c r="B22" s="130" t="s">
        <v>539</v>
      </c>
      <c r="C22" s="130" t="s">
        <v>540</v>
      </c>
      <c r="D22" s="522">
        <f>'[1]Balance sheet'!F89/'[1]Balance sheet'!F175</f>
        <v>1.1253091508656223</v>
      </c>
      <c r="E22" s="523">
        <f>'[1]Balance sheet'!G89/'[1]Balance sheet'!G175</f>
        <v>1.2138888888888888</v>
      </c>
      <c r="F22" s="523">
        <f>'[1]Balance sheet'!H89/'[1]Balance sheet'!H175</f>
        <v>1.2121212121212122</v>
      </c>
      <c r="G22" s="523">
        <f>'[1]Balance sheet'!I89/'[1]Balance sheet'!I175</f>
        <v>1.0911094783247612</v>
      </c>
      <c r="H22" s="523">
        <f>'[1]Balance sheet'!J89/'[1]Balance sheet'!J175</f>
        <v>1.1802656546489563</v>
      </c>
      <c r="I22" s="130"/>
      <c r="J22" s="130"/>
      <c r="K22" s="130"/>
      <c r="L22" s="130"/>
      <c r="M22" s="130"/>
      <c r="N22" s="130"/>
      <c r="O22" s="130"/>
      <c r="P22" s="130"/>
      <c r="Q22" s="130"/>
      <c r="R22" s="1"/>
      <c r="S22" s="1"/>
      <c r="T22" s="1"/>
      <c r="U22" s="1"/>
      <c r="V22" s="1"/>
      <c r="W22" s="1"/>
      <c r="X22" s="1"/>
      <c r="Y22" s="1"/>
      <c r="Z22" s="1"/>
      <c r="AA22" s="1"/>
      <c r="AB22" s="1"/>
    </row>
    <row r="23" spans="1:37" x14ac:dyDescent="0.25">
      <c r="A23" s="1"/>
      <c r="B23" s="130"/>
      <c r="C23" s="130"/>
      <c r="D23" s="522">
        <f>('[1]Balance sheet'!F89-'[1]Balance sheet'!F87-'[1]Balance sheet'!F85)/'[1]Balance sheet'!F175</f>
        <v>1.0255564715581205</v>
      </c>
      <c r="E23" s="523">
        <f>('[1]Balance sheet'!G89-'[1]Balance sheet'!G87-'[1]Balance sheet'!G85)/'[1]Balance sheet'!G175</f>
        <v>1.0996031746031747</v>
      </c>
      <c r="F23" s="523">
        <f>('[1]Balance sheet'!H89-'[1]Balance sheet'!H87-'[1]Balance sheet'!H85)/'[1]Balance sheet'!H175</f>
        <v>1.1630388390951771</v>
      </c>
      <c r="G23" s="523">
        <f>('[1]Balance sheet'!I89-'[1]Balance sheet'!I87-'[1]Balance sheet'!I85)/'[1]Balance sheet'!I175</f>
        <v>1.0672299779573842</v>
      </c>
      <c r="H23" s="523">
        <f>('[1]Balance sheet'!J89-'[1]Balance sheet'!J87-'[1]Balance sheet'!J85)/'[1]Balance sheet'!J175</f>
        <v>1.152561669829222</v>
      </c>
      <c r="I23" s="130"/>
      <c r="J23" s="130"/>
      <c r="K23" s="130"/>
      <c r="L23" s="130"/>
      <c r="M23" s="130"/>
      <c r="N23" s="130"/>
      <c r="O23" s="130"/>
      <c r="P23" s="130"/>
      <c r="Q23" s="130"/>
      <c r="R23" s="1"/>
      <c r="S23" s="1"/>
      <c r="T23" s="1"/>
      <c r="U23" s="1"/>
      <c r="V23" s="1"/>
      <c r="W23" s="1"/>
      <c r="X23" s="1"/>
      <c r="Y23" s="1"/>
      <c r="Z23" s="1"/>
      <c r="AA23" s="1"/>
      <c r="AB23" s="1"/>
    </row>
    <row r="24" spans="1:37" x14ac:dyDescent="0.25">
      <c r="A24" s="1"/>
      <c r="C24" s="1"/>
      <c r="D24" s="524"/>
      <c r="E24" s="525"/>
      <c r="F24" s="525"/>
      <c r="G24" s="525"/>
      <c r="H24" s="525"/>
      <c r="I24" s="130"/>
      <c r="J24" s="130"/>
      <c r="K24" s="130"/>
      <c r="L24" s="130"/>
      <c r="M24" s="130"/>
      <c r="N24" s="130"/>
      <c r="O24" s="130"/>
      <c r="P24" s="130"/>
      <c r="Q24" s="130"/>
      <c r="R24" s="1"/>
      <c r="S24" s="1"/>
      <c r="T24" s="1"/>
      <c r="U24" s="1"/>
      <c r="V24" s="1"/>
      <c r="W24" s="1"/>
      <c r="X24" s="1"/>
      <c r="Y24" s="1"/>
      <c r="Z24" s="1"/>
      <c r="AA24" s="1"/>
      <c r="AB24" s="1"/>
    </row>
    <row r="25" spans="1:37" x14ac:dyDescent="0.25">
      <c r="A25" s="1"/>
      <c r="B25" s="130" t="s">
        <v>541</v>
      </c>
      <c r="C25" s="130" t="s">
        <v>542</v>
      </c>
      <c r="D25" s="522">
        <f>('[1]Balance sheet'!F88+'[1]Balance sheet'!F85)/'[1]Balance sheet'!F175</f>
        <v>0.33264633140972794</v>
      </c>
      <c r="E25" s="523">
        <f>('[1]Balance sheet'!G88+'[1]Balance sheet'!G85)/'[1]Balance sheet'!G175</f>
        <v>0.24603174603174602</v>
      </c>
      <c r="F25" s="523">
        <f>('[1]Balance sheet'!H88+'[1]Balance sheet'!H85)/'[1]Balance sheet'!H175</f>
        <v>0.29833546734955185</v>
      </c>
      <c r="G25" s="523">
        <f>('[1]Balance sheet'!I88+'[1]Balance sheet'!I85)/'[1]Balance sheet'!I175</f>
        <v>0.23512123438648053</v>
      </c>
      <c r="H25" s="523">
        <f>('[1]Balance sheet'!J88+'[1]Balance sheet'!J85)/'[1]Balance sheet'!J175</f>
        <v>0.1685009487666034</v>
      </c>
      <c r="I25" s="130"/>
      <c r="J25" s="130"/>
      <c r="K25" s="130"/>
      <c r="L25" s="130"/>
      <c r="M25" s="130"/>
      <c r="N25" s="130"/>
      <c r="O25" s="130"/>
      <c r="P25" s="130"/>
      <c r="Q25" s="130"/>
      <c r="R25" s="1"/>
      <c r="S25" s="1"/>
      <c r="T25" s="1"/>
      <c r="U25" s="1"/>
      <c r="V25" s="1"/>
      <c r="W25" s="1"/>
      <c r="X25" s="1"/>
      <c r="Y25" s="1"/>
      <c r="Z25" s="1"/>
      <c r="AA25" s="1"/>
      <c r="AB25" s="1"/>
    </row>
    <row r="26" spans="1:37" x14ac:dyDescent="0.25">
      <c r="A26" s="1"/>
      <c r="B26" s="130" t="s">
        <v>543</v>
      </c>
      <c r="C26" s="130" t="s">
        <v>544</v>
      </c>
      <c r="D26" s="522">
        <f>('[1]Balance sheet'!F89-'[1]Balance sheet'!F55)/'[1]Balance sheet'!F175</f>
        <v>1.0494641384995878</v>
      </c>
      <c r="E26" s="523">
        <f>('[1]Balance sheet'!G89-'[1]Balance sheet'!G55)/'[1]Balance sheet'!G175</f>
        <v>1.1507936507936507</v>
      </c>
      <c r="F26" s="523">
        <f>('[1]Balance sheet'!H89-'[1]Balance sheet'!H55)/'[1]Balance sheet'!H175</f>
        <v>1.1493811352966283</v>
      </c>
      <c r="G26" s="523">
        <f>('[1]Balance sheet'!I89-'[1]Balance sheet'!I55)/'[1]Balance sheet'!I175</f>
        <v>1.0224099926524615</v>
      </c>
      <c r="H26" s="523">
        <f>('[1]Balance sheet'!J89-'[1]Balance sheet'!J55)/'[1]Balance sheet'!J175</f>
        <v>1.1104364326375711</v>
      </c>
      <c r="I26" s="130"/>
      <c r="J26" s="130"/>
      <c r="K26" s="130"/>
      <c r="L26" s="130"/>
      <c r="M26" s="130"/>
      <c r="N26" s="130"/>
      <c r="O26" s="130"/>
      <c r="P26" s="130"/>
      <c r="Q26" s="130"/>
      <c r="R26" s="1"/>
      <c r="S26" s="1"/>
      <c r="T26" s="1"/>
      <c r="U26" s="1"/>
      <c r="V26" s="1"/>
      <c r="W26" s="1"/>
      <c r="X26" s="1"/>
      <c r="Y26" s="1"/>
      <c r="Z26" s="1"/>
      <c r="AA26" s="1"/>
      <c r="AB26" s="1"/>
    </row>
    <row r="27" spans="1:37" x14ac:dyDescent="0.25">
      <c r="A27" s="1"/>
      <c r="B27" s="508"/>
      <c r="C27" s="130"/>
      <c r="D27" s="522"/>
      <c r="E27" s="523"/>
      <c r="F27" s="523"/>
      <c r="G27" s="523"/>
      <c r="H27" s="523"/>
      <c r="I27" s="130"/>
      <c r="J27" s="130"/>
      <c r="K27" s="130"/>
      <c r="L27" s="130"/>
      <c r="M27" s="130"/>
      <c r="N27" s="130"/>
      <c r="O27" s="130"/>
      <c r="P27" s="130"/>
      <c r="Q27" s="130"/>
      <c r="R27" s="1"/>
      <c r="S27" s="1"/>
      <c r="T27" s="1"/>
      <c r="U27" s="1"/>
      <c r="V27" s="1"/>
      <c r="W27" s="1"/>
      <c r="X27" s="1"/>
      <c r="Y27" s="1"/>
      <c r="Z27" s="1"/>
      <c r="AA27" s="1"/>
      <c r="AB27" s="1"/>
    </row>
    <row r="28" spans="1:37" x14ac:dyDescent="0.25">
      <c r="A28" s="1"/>
      <c r="B28" s="508"/>
      <c r="C28" s="130"/>
      <c r="D28" s="522"/>
      <c r="E28" s="523"/>
      <c r="F28" s="523"/>
      <c r="G28" s="523"/>
      <c r="H28" s="523"/>
      <c r="I28" s="130"/>
      <c r="J28" s="130"/>
      <c r="K28" s="130"/>
      <c r="L28" s="130"/>
      <c r="M28" s="130"/>
      <c r="N28" s="130"/>
      <c r="O28" s="130"/>
      <c r="P28" s="130"/>
      <c r="Q28" s="130"/>
      <c r="R28" s="1"/>
      <c r="S28" s="1"/>
      <c r="T28" s="1"/>
      <c r="U28" s="1"/>
      <c r="V28" s="1"/>
      <c r="W28" s="1"/>
      <c r="X28" s="1"/>
      <c r="Y28" s="1"/>
      <c r="Z28" s="1"/>
      <c r="AA28" s="1"/>
      <c r="AB28" s="1"/>
    </row>
    <row r="29" spans="1:37" ht="21" x14ac:dyDescent="0.35">
      <c r="A29" s="1"/>
      <c r="B29" s="526" t="s">
        <v>545</v>
      </c>
      <c r="C29" s="130"/>
      <c r="D29" s="31"/>
      <c r="E29" s="29"/>
      <c r="F29" s="29"/>
      <c r="G29" s="29"/>
      <c r="H29" s="29"/>
      <c r="I29" s="130"/>
      <c r="J29" s="130"/>
      <c r="K29" s="130"/>
      <c r="L29" s="130"/>
      <c r="M29" s="130"/>
      <c r="N29" s="130"/>
      <c r="O29" s="130"/>
      <c r="P29" s="130"/>
      <c r="Q29" s="130"/>
      <c r="R29" s="1"/>
      <c r="S29" s="1"/>
      <c r="T29" s="1"/>
      <c r="U29" s="1"/>
      <c r="V29" s="1"/>
      <c r="W29" s="1"/>
      <c r="X29" s="1"/>
      <c r="Y29" s="1"/>
      <c r="Z29" s="1"/>
      <c r="AA29" s="1"/>
      <c r="AB29" s="1"/>
    </row>
    <row r="30" spans="1:37" x14ac:dyDescent="0.25">
      <c r="A30" s="1"/>
      <c r="B30" s="130" t="s">
        <v>546</v>
      </c>
      <c r="C30" s="130" t="s">
        <v>547</v>
      </c>
      <c r="D30" s="522">
        <f>'[1]Reorganised Statements'!D80/'[1]Income Statement'!J48</f>
        <v>1.5357142857142858</v>
      </c>
      <c r="E30" s="523">
        <f>'[1]Reorganised Statements'!E80/'[1]Income Statement'!K48</f>
        <v>3.3059701492537314</v>
      </c>
      <c r="F30" s="523">
        <f>'[1]Reorganised Statements'!F80/'[1]Income Statement'!L48</f>
        <v>6.283185840707965</v>
      </c>
      <c r="G30" s="523">
        <f>'[1]Reorganised Statements'!G80/'[1]Income Statement'!M48</f>
        <v>5.4444444444444446</v>
      </c>
      <c r="H30" s="523">
        <f>'[1]Reorganised Statements'!H80/'[1]Income Statement'!N48</f>
        <v>7.0102040816326534</v>
      </c>
      <c r="I30" s="130"/>
      <c r="J30" s="130"/>
      <c r="K30" s="130"/>
      <c r="L30" s="130"/>
      <c r="M30" s="130"/>
      <c r="N30" s="130"/>
      <c r="O30" s="130"/>
      <c r="P30" s="130"/>
      <c r="Q30" s="130"/>
      <c r="R30" s="1"/>
      <c r="S30" s="1"/>
      <c r="T30" s="1"/>
      <c r="U30" s="1"/>
      <c r="V30" s="1"/>
      <c r="W30" s="1"/>
      <c r="X30" s="1"/>
      <c r="Y30" s="1"/>
      <c r="Z30" s="1"/>
      <c r="AA30" s="1"/>
      <c r="AB30" s="1"/>
    </row>
    <row r="31" spans="1:37" ht="41.25" customHeight="1" x14ac:dyDescent="0.25">
      <c r="A31" s="1"/>
      <c r="C31" s="130"/>
      <c r="D31" s="453"/>
      <c r="E31" s="509"/>
      <c r="F31" s="509"/>
      <c r="G31" s="509"/>
      <c r="H31" s="509"/>
      <c r="I31" s="519"/>
      <c r="J31" s="130"/>
      <c r="K31" s="130"/>
      <c r="L31" s="130"/>
      <c r="M31" s="130"/>
      <c r="N31" s="130"/>
      <c r="O31" s="130"/>
      <c r="P31" s="130"/>
      <c r="Q31" s="130"/>
      <c r="R31" s="1"/>
      <c r="S31" s="1"/>
      <c r="T31" s="1"/>
      <c r="U31" s="1"/>
      <c r="V31" s="1"/>
      <c r="W31" s="1"/>
      <c r="X31" s="1"/>
      <c r="Y31" s="1"/>
      <c r="Z31" s="1"/>
      <c r="AA31" s="1"/>
      <c r="AB31" s="1"/>
      <c r="AC31" s="1"/>
      <c r="AD31" s="1"/>
      <c r="AE31" s="1"/>
      <c r="AF31" s="1"/>
      <c r="AG31" s="1"/>
      <c r="AH31" s="1"/>
      <c r="AI31" s="1"/>
      <c r="AJ31" s="1"/>
      <c r="AK31" s="1"/>
    </row>
    <row r="32" spans="1:37" x14ac:dyDescent="0.25">
      <c r="A32" s="1"/>
      <c r="B32" s="513" t="s">
        <v>548</v>
      </c>
      <c r="C32" s="514" t="s">
        <v>549</v>
      </c>
      <c r="D32" s="527"/>
      <c r="E32" s="510"/>
      <c r="F32" s="510"/>
      <c r="G32" s="510"/>
      <c r="H32" s="510"/>
      <c r="I32" s="519"/>
      <c r="J32" s="519"/>
      <c r="K32" s="130"/>
      <c r="L32" s="130"/>
      <c r="M32" s="130"/>
      <c r="N32" s="130"/>
      <c r="O32" s="130"/>
      <c r="P32" s="130"/>
      <c r="Q32" s="130"/>
      <c r="R32" s="1"/>
      <c r="S32" s="1"/>
      <c r="T32" s="1"/>
      <c r="U32" s="1"/>
      <c r="V32" s="1"/>
      <c r="W32" s="1"/>
      <c r="X32" s="1"/>
      <c r="Y32" s="1"/>
      <c r="Z32" s="1"/>
      <c r="AA32" s="1"/>
      <c r="AB32" s="1"/>
      <c r="AC32" s="1"/>
      <c r="AD32" s="1"/>
      <c r="AE32" s="1"/>
      <c r="AF32" s="1"/>
      <c r="AG32" s="1"/>
      <c r="AH32" s="1"/>
      <c r="AI32" s="1"/>
      <c r="AJ32" s="1"/>
      <c r="AK32" s="1"/>
    </row>
    <row r="33" spans="1:37" ht="41.25" customHeight="1" x14ac:dyDescent="0.25">
      <c r="A33" s="1"/>
      <c r="B33" s="130"/>
      <c r="C33" s="130"/>
      <c r="D33" s="31"/>
      <c r="E33" s="29"/>
      <c r="F33" s="29"/>
      <c r="G33" s="29"/>
      <c r="H33" s="29"/>
      <c r="I33" s="130"/>
      <c r="J33" s="130"/>
      <c r="K33" s="130"/>
      <c r="L33" s="130"/>
      <c r="M33" s="130"/>
      <c r="N33" s="130"/>
      <c r="O33" s="130"/>
      <c r="P33" s="130"/>
      <c r="Q33" s="130"/>
      <c r="R33" s="1"/>
      <c r="S33" s="1"/>
      <c r="T33" s="1"/>
      <c r="U33" s="1"/>
      <c r="V33" s="1"/>
      <c r="W33" s="1"/>
      <c r="X33" s="1"/>
      <c r="Y33" s="1"/>
      <c r="Z33" s="1"/>
      <c r="AA33" s="1"/>
      <c r="AB33" s="1"/>
      <c r="AC33" s="1"/>
      <c r="AD33" s="1"/>
      <c r="AE33" s="1"/>
      <c r="AF33" s="1"/>
      <c r="AG33" s="1"/>
      <c r="AH33" s="1"/>
      <c r="AI33" s="1"/>
      <c r="AJ33" s="1"/>
      <c r="AK33" s="1"/>
    </row>
    <row r="34" spans="1:37" x14ac:dyDescent="0.25">
      <c r="A34" s="1"/>
      <c r="B34" s="508" t="s">
        <v>550</v>
      </c>
      <c r="C34" s="130" t="s">
        <v>551</v>
      </c>
      <c r="D34" s="507">
        <f>'[1]Balance sheet'!F119/('[1]Balance sheet'!F110+'[1]Balance sheet'!F119)</f>
        <v>0.48660995589161943</v>
      </c>
      <c r="E34" s="32">
        <f>'[1]Balance sheet'!G119/('[1]Balance sheet'!G110+'[1]Balance sheet'!G119)</f>
        <v>0.5116902457185406</v>
      </c>
      <c r="F34" s="32">
        <f>'[1]Balance sheet'!H119/('[1]Balance sheet'!H110+'[1]Balance sheet'!H119)</f>
        <v>0.53745778323610682</v>
      </c>
      <c r="G34" s="32">
        <f>'[1]Balance sheet'!I119/('[1]Balance sheet'!I110+'[1]Balance sheet'!I119)</f>
        <v>0.45858306439219304</v>
      </c>
      <c r="H34" s="32">
        <f>'[1]Balance sheet'!J119/('[1]Balance sheet'!J110+'[1]Balance sheet'!J119)</f>
        <v>0.47528025294624893</v>
      </c>
      <c r="I34" s="528"/>
      <c r="J34" s="528"/>
      <c r="K34" s="528"/>
      <c r="L34" s="130"/>
      <c r="M34" s="130"/>
      <c r="N34" s="130"/>
      <c r="O34" s="130"/>
      <c r="P34" s="130"/>
      <c r="Q34" s="130"/>
      <c r="R34" s="1"/>
      <c r="S34" s="1"/>
      <c r="T34" s="1"/>
      <c r="U34" s="1"/>
      <c r="V34" s="1"/>
      <c r="W34" s="1"/>
      <c r="X34" s="1"/>
      <c r="Y34" s="1"/>
      <c r="Z34" s="1"/>
      <c r="AA34" s="1"/>
      <c r="AB34" s="1"/>
      <c r="AC34" s="1"/>
      <c r="AD34" s="1"/>
      <c r="AE34" s="1"/>
      <c r="AF34" s="1"/>
      <c r="AG34" s="1"/>
      <c r="AH34" s="1"/>
      <c r="AI34" s="1"/>
      <c r="AJ34" s="1"/>
      <c r="AK34" s="1"/>
    </row>
    <row r="35" spans="1:37" x14ac:dyDescent="0.25">
      <c r="A35" s="1"/>
      <c r="B35" s="130"/>
      <c r="C35" s="130" t="s">
        <v>552</v>
      </c>
      <c r="D35" s="507">
        <f>'[1]Balance sheet'!F119/-'[1]Reorganised Statements'!D44</f>
        <v>0.48235477826358525</v>
      </c>
      <c r="E35" s="32">
        <f>'[1]Balance sheet'!G119/-'[1]Reorganised Statements'!E44</f>
        <v>0.51498800959232616</v>
      </c>
      <c r="F35" s="32">
        <f>'[1]Balance sheet'!H119/-'[1]Reorganised Statements'!F44</f>
        <v>0.55926517571884982</v>
      </c>
      <c r="G35" s="32">
        <f>'[1]Balance sheet'!I119/-'[1]Reorganised Statements'!G44</f>
        <v>0.45370229587958033</v>
      </c>
      <c r="H35" s="32">
        <f>'[1]Balance sheet'!J119/-'[1]Reorganised Statements'!H44</f>
        <v>0.4843292325717633</v>
      </c>
      <c r="I35" s="130"/>
      <c r="J35" s="130"/>
      <c r="K35" s="130"/>
      <c r="L35" s="130"/>
      <c r="M35" s="130"/>
      <c r="N35" s="130"/>
      <c r="O35" s="130"/>
      <c r="P35" s="130"/>
      <c r="Q35" s="130"/>
      <c r="R35" s="1"/>
      <c r="S35" s="1"/>
      <c r="T35" s="1"/>
      <c r="U35" s="1"/>
      <c r="V35" s="1"/>
      <c r="W35" s="1"/>
      <c r="X35" s="1"/>
      <c r="Y35" s="1"/>
      <c r="Z35" s="1"/>
      <c r="AA35" s="1"/>
      <c r="AB35" s="1"/>
      <c r="AC35" s="1"/>
      <c r="AD35" s="1"/>
      <c r="AE35" s="1"/>
      <c r="AF35" s="1"/>
      <c r="AG35" s="1"/>
      <c r="AH35" s="1"/>
      <c r="AI35" s="1"/>
      <c r="AJ35" s="1"/>
      <c r="AK35" s="1"/>
    </row>
    <row r="36" spans="1:37" ht="41.25" customHeight="1" x14ac:dyDescent="0.25">
      <c r="A36" s="1"/>
      <c r="B36" s="130"/>
      <c r="C36" s="130"/>
      <c r="D36" s="507"/>
      <c r="E36" s="32"/>
      <c r="F36" s="32"/>
      <c r="G36" s="32"/>
      <c r="H36" s="32"/>
      <c r="I36" s="130"/>
      <c r="J36" s="130"/>
      <c r="K36" s="130"/>
      <c r="L36" s="130"/>
      <c r="M36" s="130"/>
      <c r="N36" s="130"/>
      <c r="O36" s="130"/>
      <c r="P36" s="130"/>
      <c r="Q36" s="130"/>
      <c r="R36" s="1"/>
      <c r="S36" s="1"/>
      <c r="T36" s="1"/>
      <c r="U36" s="1"/>
      <c r="V36" s="1"/>
      <c r="W36" s="1"/>
      <c r="X36" s="1"/>
      <c r="Y36" s="1"/>
      <c r="Z36" s="1"/>
      <c r="AA36" s="1"/>
      <c r="AB36" s="1"/>
      <c r="AC36" s="1"/>
      <c r="AD36" s="1"/>
      <c r="AE36" s="1"/>
      <c r="AF36" s="1"/>
      <c r="AG36" s="1"/>
      <c r="AH36" s="1"/>
      <c r="AI36" s="1"/>
      <c r="AJ36" s="1"/>
      <c r="AK36" s="1"/>
    </row>
    <row r="37" spans="1:37" x14ac:dyDescent="0.25">
      <c r="A37" s="1"/>
      <c r="B37" s="508" t="s">
        <v>553</v>
      </c>
      <c r="C37" s="130" t="s">
        <v>554</v>
      </c>
      <c r="D37" s="522">
        <f>-'[1]Reorganised Statements'!D42/'[1]Balance sheet'!F110</f>
        <v>0.96501994476833386</v>
      </c>
      <c r="E37" s="523">
        <f>-'[1]Reorganised Statements'!E42/'[1]Balance sheet'!G110</f>
        <v>1.0347666971637695</v>
      </c>
      <c r="F37" s="523">
        <f>-'[1]Reorganised Statements'!F42/'[1]Balance sheet'!H110</f>
        <v>1.0776634583471623</v>
      </c>
      <c r="G37" s="523">
        <f>-'[1]Reorganised Statements'!G42/'[1]Balance sheet'!I110</f>
        <v>0.86687482259437976</v>
      </c>
      <c r="H37" s="523">
        <f>-'[1]Reorganised Statements'!H42/'[1]Balance sheet'!J110</f>
        <v>0.87017255546425631</v>
      </c>
      <c r="I37" s="130"/>
      <c r="J37" s="130"/>
      <c r="K37" s="130"/>
      <c r="L37" s="130"/>
      <c r="M37" s="130"/>
      <c r="N37" s="130"/>
      <c r="O37" s="130"/>
      <c r="P37" s="130"/>
      <c r="Q37" s="130"/>
      <c r="R37" s="1"/>
      <c r="S37" s="1"/>
      <c r="T37" s="1"/>
      <c r="U37" s="1"/>
      <c r="V37" s="1"/>
      <c r="W37" s="1"/>
      <c r="X37" s="1"/>
      <c r="Y37" s="1"/>
      <c r="Z37" s="1"/>
      <c r="AA37" s="1"/>
      <c r="AB37" s="1"/>
      <c r="AC37" s="1"/>
      <c r="AD37" s="1"/>
      <c r="AE37" s="1"/>
      <c r="AF37" s="1"/>
      <c r="AG37" s="1"/>
      <c r="AH37" s="1"/>
      <c r="AI37" s="1"/>
      <c r="AJ37" s="1"/>
      <c r="AK37" s="1"/>
    </row>
    <row r="38" spans="1:37" ht="41.25" customHeight="1" x14ac:dyDescent="0.25">
      <c r="A38" s="1"/>
      <c r="B38" s="130"/>
      <c r="C38" s="130"/>
      <c r="D38" s="1"/>
      <c r="E38" s="130"/>
      <c r="F38" s="130"/>
      <c r="G38" s="130"/>
      <c r="H38" s="130"/>
      <c r="I38" s="130"/>
      <c r="J38" s="130"/>
      <c r="K38" s="130"/>
      <c r="L38" s="130"/>
      <c r="M38" s="130"/>
      <c r="N38" s="130"/>
      <c r="O38" s="130"/>
      <c r="P38" s="130"/>
      <c r="Q38" s="130"/>
      <c r="R38" s="1"/>
      <c r="S38" s="1"/>
      <c r="T38" s="1"/>
      <c r="U38" s="1"/>
      <c r="V38" s="1"/>
      <c r="W38" s="1"/>
      <c r="X38" s="1"/>
      <c r="Y38" s="1"/>
      <c r="Z38" s="1"/>
      <c r="AA38" s="1"/>
      <c r="AB38" s="1"/>
      <c r="AC38" s="1"/>
      <c r="AD38" s="1"/>
      <c r="AE38" s="1"/>
      <c r="AF38" s="1"/>
      <c r="AG38" s="1"/>
      <c r="AH38" s="1"/>
      <c r="AI38" s="1"/>
      <c r="AJ38" s="1"/>
      <c r="AK38" s="1"/>
    </row>
    <row r="39" spans="1:37" x14ac:dyDescent="0.25">
      <c r="A39" s="1"/>
      <c r="B39" s="130" t="s">
        <v>557</v>
      </c>
      <c r="C39" s="1" t="s">
        <v>558</v>
      </c>
      <c r="E39" s="465">
        <f>-('Cash flows'!D19+'Cash flows'!D20+'Cash flows'!D13)/('Cash flows'!D5*(1-0.279))</f>
        <v>1.612383102225089</v>
      </c>
      <c r="F39" s="465">
        <f>('Cash flows'!E19+'Cash flows'!E20+'Cash flows'!E13)/('Cash flows'!E5*(1-0.279))</f>
        <v>1.0216639643687369</v>
      </c>
      <c r="G39" s="465">
        <f>-('Cash flows'!F19+'Cash flows'!F20+'Cash flows'!F13)/('Cash flows'!F5*(1-0.279))</f>
        <v>1.3468632945549928</v>
      </c>
      <c r="H39" s="465">
        <f>-('Cash flows'!G19+'Cash flows'!G20+'Cash flows'!G13)/('Cash flows'!G5*(1-0.279))</f>
        <v>0.65815107999362032</v>
      </c>
      <c r="I39" s="539" t="s">
        <v>559</v>
      </c>
      <c r="J39" s="537">
        <f>AVERAGE(E39:H39)</f>
        <v>1.1597653602856097</v>
      </c>
      <c r="K39" s="130"/>
      <c r="L39" s="538">
        <f>J39*H9</f>
        <v>8.2561525814054362E-2</v>
      </c>
      <c r="M39" s="538"/>
      <c r="N39" s="130"/>
      <c r="O39" s="130"/>
      <c r="P39" s="130"/>
      <c r="Q39" s="130"/>
      <c r="R39" s="1"/>
      <c r="S39" s="1"/>
      <c r="T39" s="1"/>
      <c r="U39" s="1"/>
      <c r="V39" s="1"/>
      <c r="W39" s="1"/>
      <c r="X39" s="1"/>
      <c r="Y39" s="1"/>
      <c r="Z39" s="1"/>
      <c r="AA39" s="1"/>
      <c r="AB39" s="1"/>
      <c r="AC39" s="1"/>
      <c r="AD39" s="1"/>
      <c r="AE39" s="1"/>
      <c r="AF39" s="1"/>
      <c r="AG39" s="1"/>
      <c r="AH39" s="1"/>
      <c r="AI39" s="1"/>
      <c r="AJ39" s="1"/>
      <c r="AK39" s="1"/>
    </row>
    <row r="40" spans="1:37" x14ac:dyDescent="0.25">
      <c r="A40" s="1"/>
      <c r="B40" s="1"/>
      <c r="C40" s="1"/>
      <c r="D40" s="1"/>
      <c r="E40" s="1" t="s">
        <v>566</v>
      </c>
      <c r="F40" s="1"/>
      <c r="G40" s="1"/>
      <c r="H40" s="1"/>
      <c r="I40" s="130"/>
      <c r="J40" s="130"/>
      <c r="K40" s="130"/>
      <c r="L40" s="130"/>
      <c r="M40" s="130"/>
      <c r="N40" s="130"/>
      <c r="O40" s="130"/>
      <c r="P40" s="130"/>
      <c r="Q40" s="130"/>
      <c r="R40" s="1"/>
      <c r="S40" s="1"/>
      <c r="T40" s="1"/>
      <c r="U40" s="1"/>
      <c r="V40" s="1"/>
      <c r="W40" s="1"/>
      <c r="X40" s="1"/>
      <c r="Y40" s="1"/>
      <c r="Z40" s="1"/>
      <c r="AA40" s="1"/>
      <c r="AB40" s="1"/>
      <c r="AC40" s="1"/>
      <c r="AD40" s="1"/>
      <c r="AE40" s="1"/>
      <c r="AF40" s="1"/>
      <c r="AG40" s="1"/>
      <c r="AH40" s="1"/>
      <c r="AI40" s="1"/>
      <c r="AJ40" s="1"/>
      <c r="AK40" s="1"/>
    </row>
    <row r="41" spans="1:37" ht="39.75" customHeight="1" x14ac:dyDescent="0.25">
      <c r="A41" s="1"/>
      <c r="B41" s="130"/>
      <c r="C41" s="130"/>
      <c r="D41" s="130"/>
      <c r="G41" s="130"/>
      <c r="H41" s="130"/>
      <c r="I41" s="130"/>
      <c r="J41" s="130"/>
      <c r="K41" s="130"/>
      <c r="L41" s="130"/>
      <c r="M41" s="130"/>
      <c r="N41" s="130"/>
      <c r="O41" s="130"/>
      <c r="P41" s="130"/>
      <c r="Q41" s="130"/>
      <c r="R41" s="1"/>
      <c r="S41" s="1"/>
      <c r="T41" s="1"/>
      <c r="U41" s="1"/>
      <c r="V41" s="1"/>
      <c r="W41" s="1"/>
      <c r="X41" s="1"/>
      <c r="Y41" s="1"/>
      <c r="Z41" s="1"/>
      <c r="AA41" s="1"/>
      <c r="AB41" s="1"/>
      <c r="AC41" s="1"/>
      <c r="AD41" s="1"/>
      <c r="AE41" s="1"/>
      <c r="AF41" s="1"/>
      <c r="AG41" s="1"/>
      <c r="AH41" s="1"/>
      <c r="AI41" s="1"/>
      <c r="AJ41" s="1"/>
      <c r="AK41" s="1"/>
    </row>
    <row r="42" spans="1:37" x14ac:dyDescent="0.25">
      <c r="A42" s="1"/>
      <c r="I42" s="130"/>
      <c r="J42" s="130"/>
      <c r="K42" s="130"/>
      <c r="L42" s="130"/>
      <c r="M42" s="130"/>
      <c r="N42" s="130"/>
      <c r="O42" s="130"/>
      <c r="P42" s="130"/>
      <c r="Q42" s="130"/>
      <c r="R42" s="1"/>
      <c r="S42" s="1"/>
      <c r="T42" s="1"/>
      <c r="U42" s="1"/>
      <c r="V42" s="1"/>
      <c r="W42" s="1"/>
      <c r="X42" s="1"/>
      <c r="Y42" s="1"/>
      <c r="Z42" s="1"/>
      <c r="AA42" s="1"/>
      <c r="AB42" s="1"/>
      <c r="AC42" s="1"/>
      <c r="AD42" s="1"/>
      <c r="AE42" s="1"/>
      <c r="AF42" s="1"/>
      <c r="AG42" s="1"/>
      <c r="AH42" s="1"/>
      <c r="AI42" s="1"/>
      <c r="AJ42" s="1"/>
      <c r="AK42" s="1"/>
    </row>
    <row r="43" spans="1:37" ht="40.5" customHeight="1" x14ac:dyDescent="0.25">
      <c r="A43" s="1"/>
      <c r="B43" s="130"/>
      <c r="C43" s="130"/>
      <c r="D43" s="130"/>
      <c r="E43" s="130"/>
      <c r="F43" s="130"/>
      <c r="G43" s="130"/>
      <c r="H43" s="130"/>
      <c r="I43" s="130"/>
      <c r="J43" s="130"/>
      <c r="K43" s="130"/>
      <c r="L43" s="130"/>
      <c r="M43" s="130"/>
      <c r="N43" s="130"/>
      <c r="O43" s="130"/>
      <c r="P43" s="130"/>
      <c r="Q43" s="130"/>
      <c r="R43" s="1"/>
      <c r="S43" s="1"/>
      <c r="T43" s="1"/>
      <c r="U43" s="1"/>
      <c r="V43" s="1"/>
      <c r="W43" s="1"/>
      <c r="X43" s="1"/>
      <c r="Y43" s="1"/>
      <c r="Z43" s="1"/>
      <c r="AA43" s="1"/>
      <c r="AB43" s="1"/>
      <c r="AC43" s="1"/>
      <c r="AD43" s="1"/>
      <c r="AE43" s="1"/>
      <c r="AF43" s="1"/>
      <c r="AG43" s="1"/>
      <c r="AH43" s="1"/>
      <c r="AI43" s="1"/>
      <c r="AJ43" s="1"/>
      <c r="AK43" s="1"/>
    </row>
    <row r="44" spans="1:37" x14ac:dyDescent="0.25">
      <c r="A44" s="1"/>
      <c r="B44" s="130"/>
      <c r="C44" s="130"/>
      <c r="D44" s="130"/>
      <c r="E44" s="130"/>
      <c r="F44" s="130"/>
      <c r="G44" s="130"/>
      <c r="H44" s="130"/>
      <c r="I44" s="130"/>
      <c r="J44" s="130"/>
      <c r="K44" s="130"/>
      <c r="L44" s="130"/>
      <c r="M44" s="130"/>
      <c r="N44" s="130"/>
      <c r="O44" s="130"/>
      <c r="P44" s="130"/>
      <c r="Q44" s="130"/>
      <c r="R44" s="1"/>
      <c r="S44" s="1"/>
      <c r="T44" s="1"/>
      <c r="U44" s="1"/>
      <c r="V44" s="1"/>
      <c r="W44" s="1"/>
      <c r="X44" s="1"/>
      <c r="Y44" s="1"/>
      <c r="Z44" s="1"/>
      <c r="AA44" s="1"/>
      <c r="AB44" s="1"/>
      <c r="AC44" s="1"/>
      <c r="AD44" s="1"/>
      <c r="AE44" s="1"/>
      <c r="AF44" s="1"/>
      <c r="AG44" s="1"/>
      <c r="AH44" s="1"/>
      <c r="AI44" s="1"/>
      <c r="AJ44" s="1"/>
      <c r="AK44" s="1"/>
    </row>
    <row r="45" spans="1:37" x14ac:dyDescent="0.25">
      <c r="A45" s="1"/>
      <c r="C45" s="130"/>
      <c r="E45" s="130"/>
      <c r="F45" s="130"/>
      <c r="G45" s="130"/>
      <c r="H45" s="130"/>
      <c r="I45" s="130"/>
      <c r="J45" s="130"/>
      <c r="K45" s="130"/>
      <c r="L45" s="130"/>
      <c r="M45" s="130"/>
      <c r="N45" s="130"/>
      <c r="O45" s="130"/>
      <c r="P45" s="130"/>
      <c r="Q45" s="130"/>
      <c r="R45" s="1"/>
      <c r="S45" s="1"/>
      <c r="T45" s="1"/>
      <c r="U45" s="1"/>
      <c r="V45" s="1"/>
      <c r="W45" s="1"/>
      <c r="X45" s="1"/>
      <c r="Y45" s="1"/>
      <c r="Z45" s="1"/>
      <c r="AA45" s="1"/>
      <c r="AB45" s="1"/>
      <c r="AC45" s="1"/>
      <c r="AD45" s="1"/>
      <c r="AE45" s="1"/>
      <c r="AF45" s="1"/>
      <c r="AG45" s="1"/>
      <c r="AH45" s="1"/>
      <c r="AI45" s="1"/>
      <c r="AJ45" s="1"/>
      <c r="AK45" s="1"/>
    </row>
    <row r="46" spans="1:37" x14ac:dyDescent="0.25">
      <c r="A46" s="1"/>
      <c r="B46" s="130"/>
      <c r="C46" s="130"/>
      <c r="D46" s="130"/>
      <c r="E46" s="130"/>
      <c r="F46" s="130"/>
      <c r="G46" s="130"/>
      <c r="H46" s="130"/>
      <c r="I46" s="130"/>
      <c r="J46" s="130"/>
      <c r="K46" s="130"/>
      <c r="L46" s="130"/>
      <c r="M46" s="130"/>
      <c r="N46" s="130"/>
      <c r="O46" s="130"/>
      <c r="P46" s="130"/>
      <c r="Q46" s="130"/>
      <c r="R46" s="1"/>
      <c r="S46" s="1"/>
      <c r="T46" s="1"/>
      <c r="U46" s="1"/>
      <c r="V46" s="1"/>
      <c r="W46" s="1"/>
      <c r="X46" s="1"/>
      <c r="Y46" s="1"/>
      <c r="Z46" s="1"/>
      <c r="AA46" s="1"/>
      <c r="AB46" s="1"/>
      <c r="AC46" s="1"/>
      <c r="AD46" s="1"/>
      <c r="AE46" s="1"/>
      <c r="AF46" s="1"/>
      <c r="AG46" s="1"/>
      <c r="AH46" s="1"/>
      <c r="AI46" s="1"/>
      <c r="AJ46" s="1"/>
      <c r="AK46" s="1"/>
    </row>
    <row r="47" spans="1:37" x14ac:dyDescent="0.25">
      <c r="A47" s="1"/>
      <c r="B47" s="130"/>
      <c r="C47" s="130"/>
      <c r="D47" s="130"/>
      <c r="E47" s="130"/>
      <c r="F47" s="130"/>
      <c r="G47" s="130"/>
      <c r="H47" s="130"/>
      <c r="I47" s="130"/>
      <c r="J47" s="130"/>
      <c r="K47" s="130"/>
      <c r="L47" s="130"/>
      <c r="M47" s="130"/>
      <c r="N47" s="130"/>
      <c r="O47" s="130"/>
      <c r="P47" s="130"/>
      <c r="Q47" s="130"/>
      <c r="R47" s="1"/>
      <c r="S47" s="1"/>
      <c r="T47" s="1"/>
      <c r="U47" s="1"/>
      <c r="V47" s="1"/>
      <c r="W47" s="1"/>
      <c r="X47" s="1"/>
      <c r="Y47" s="1"/>
      <c r="Z47" s="1"/>
      <c r="AA47" s="1"/>
      <c r="AB47" s="1"/>
      <c r="AC47" s="1"/>
      <c r="AD47" s="1"/>
      <c r="AE47" s="1"/>
      <c r="AF47" s="1"/>
      <c r="AG47" s="1"/>
      <c r="AH47" s="1"/>
      <c r="AI47" s="1"/>
      <c r="AJ47" s="1"/>
      <c r="AK47" s="1"/>
    </row>
    <row r="48" spans="1:37" x14ac:dyDescent="0.25">
      <c r="A48" s="1"/>
      <c r="C48" s="130"/>
      <c r="D48" s="130"/>
      <c r="E48" s="130"/>
      <c r="F48" s="130"/>
      <c r="G48" s="130"/>
      <c r="H48" s="130"/>
      <c r="I48" s="130"/>
      <c r="J48" s="130"/>
      <c r="K48" s="130"/>
      <c r="L48" s="130"/>
      <c r="M48" s="130"/>
      <c r="N48" s="130"/>
      <c r="O48" s="130"/>
      <c r="P48" s="130"/>
      <c r="Q48" s="130"/>
      <c r="R48" s="1"/>
      <c r="S48" s="1"/>
      <c r="T48" s="1"/>
      <c r="U48" s="1"/>
      <c r="V48" s="1"/>
      <c r="W48" s="1"/>
      <c r="X48" s="1"/>
      <c r="Y48" s="1"/>
      <c r="Z48" s="1"/>
      <c r="AA48" s="1"/>
      <c r="AB48" s="1"/>
      <c r="AC48" s="1"/>
      <c r="AD48" s="1"/>
      <c r="AE48" s="1"/>
      <c r="AF48" s="1"/>
      <c r="AG48" s="1"/>
      <c r="AH48" s="1"/>
      <c r="AI48" s="1"/>
      <c r="AJ48" s="1"/>
      <c r="AK48" s="1"/>
    </row>
    <row r="49" spans="1:37" x14ac:dyDescent="0.25">
      <c r="A49" s="1"/>
      <c r="B49" s="130"/>
      <c r="C49" s="130"/>
      <c r="D49" s="130"/>
      <c r="E49" s="130"/>
      <c r="F49" s="130"/>
      <c r="G49" s="130"/>
      <c r="H49" s="130"/>
      <c r="I49" s="130"/>
      <c r="J49" s="130"/>
      <c r="K49" s="130"/>
      <c r="L49" s="130"/>
      <c r="M49" s="130"/>
      <c r="N49" s="130"/>
      <c r="O49" s="130"/>
      <c r="P49" s="130"/>
      <c r="Q49" s="130"/>
      <c r="R49" s="1"/>
      <c r="S49" s="1"/>
      <c r="T49" s="1"/>
      <c r="U49" s="1"/>
      <c r="V49" s="1"/>
      <c r="W49" s="1"/>
      <c r="X49" s="1"/>
      <c r="Y49" s="1"/>
      <c r="Z49" s="1"/>
      <c r="AA49" s="1"/>
      <c r="AB49" s="1"/>
      <c r="AC49" s="1"/>
      <c r="AD49" s="1"/>
      <c r="AE49" s="1"/>
      <c r="AF49" s="1"/>
      <c r="AG49" s="1"/>
      <c r="AH49" s="1"/>
      <c r="AI49" s="1"/>
      <c r="AJ49" s="1"/>
      <c r="AK49" s="1"/>
    </row>
    <row r="50" spans="1:37" x14ac:dyDescent="0.25">
      <c r="A50" s="1"/>
      <c r="B50" s="130"/>
      <c r="C50" s="130"/>
      <c r="D50" s="130"/>
      <c r="E50" s="130"/>
      <c r="F50" s="130"/>
      <c r="G50" s="130"/>
      <c r="H50" s="130"/>
      <c r="I50" s="130"/>
      <c r="J50" s="130"/>
      <c r="K50" s="130"/>
      <c r="L50" s="130"/>
      <c r="M50" s="130"/>
      <c r="N50" s="130"/>
      <c r="O50" s="130"/>
      <c r="P50" s="130"/>
      <c r="Q50" s="130"/>
      <c r="R50" s="1"/>
      <c r="S50" s="1"/>
      <c r="T50" s="1"/>
      <c r="U50" s="1"/>
      <c r="V50" s="1"/>
      <c r="W50" s="1"/>
      <c r="X50" s="1"/>
      <c r="Y50" s="1"/>
      <c r="Z50" s="1"/>
      <c r="AA50" s="1"/>
      <c r="AB50" s="1"/>
      <c r="AC50" s="1"/>
      <c r="AD50" s="1"/>
      <c r="AE50" s="1"/>
      <c r="AF50" s="1"/>
      <c r="AG50" s="1"/>
      <c r="AH50" s="1"/>
      <c r="AI50" s="1"/>
      <c r="AJ50" s="1"/>
      <c r="AK50" s="1"/>
    </row>
    <row r="51" spans="1:37" x14ac:dyDescent="0.25">
      <c r="A51" s="1"/>
      <c r="B51" s="130"/>
      <c r="C51" s="130"/>
      <c r="D51" s="130"/>
      <c r="E51" s="130"/>
      <c r="F51" s="130"/>
      <c r="G51" s="130"/>
      <c r="H51" s="130"/>
      <c r="I51" s="130"/>
      <c r="J51" s="130"/>
      <c r="K51" s="130"/>
      <c r="L51" s="130"/>
      <c r="M51" s="130"/>
      <c r="N51" s="130"/>
      <c r="O51" s="130"/>
      <c r="P51" s="130"/>
      <c r="Q51" s="130"/>
      <c r="R51" s="1"/>
      <c r="S51" s="1"/>
      <c r="T51" s="1"/>
      <c r="U51" s="1"/>
      <c r="V51" s="1"/>
      <c r="W51" s="1"/>
      <c r="X51" s="1"/>
      <c r="Y51" s="1"/>
      <c r="Z51" s="1"/>
      <c r="AA51" s="1"/>
      <c r="AB51" s="1"/>
      <c r="AC51" s="1"/>
      <c r="AD51" s="1"/>
      <c r="AE51" s="1"/>
      <c r="AF51" s="1"/>
      <c r="AG51" s="1"/>
      <c r="AH51" s="1"/>
      <c r="AI51" s="1"/>
      <c r="AJ51" s="1"/>
      <c r="AK51" s="1"/>
    </row>
    <row r="52" spans="1:37" x14ac:dyDescent="0.25">
      <c r="A52" s="1"/>
      <c r="C52" s="130"/>
      <c r="E52" s="130"/>
      <c r="F52" s="130"/>
      <c r="G52" s="130"/>
      <c r="H52" s="130"/>
      <c r="I52" s="130"/>
      <c r="J52" s="130"/>
      <c r="K52" s="130"/>
      <c r="L52" s="130"/>
      <c r="M52" s="130"/>
      <c r="N52" s="130"/>
      <c r="O52" s="130"/>
      <c r="P52" s="130"/>
      <c r="Q52" s="130"/>
      <c r="R52" s="1"/>
      <c r="S52" s="1"/>
      <c r="T52" s="1"/>
      <c r="U52" s="1"/>
      <c r="V52" s="1"/>
      <c r="W52" s="1"/>
      <c r="X52" s="1"/>
      <c r="Y52" s="1"/>
      <c r="Z52" s="1"/>
      <c r="AA52" s="1"/>
      <c r="AB52" s="1"/>
      <c r="AC52" s="1"/>
      <c r="AD52" s="1"/>
      <c r="AE52" s="1"/>
      <c r="AF52" s="1"/>
      <c r="AG52" s="1"/>
      <c r="AH52" s="1"/>
      <c r="AI52" s="1"/>
      <c r="AJ52" s="1"/>
      <c r="AK52" s="1"/>
    </row>
    <row r="53" spans="1:37" x14ac:dyDescent="0.25">
      <c r="A53" s="1"/>
      <c r="B53" s="130"/>
      <c r="C53" s="130"/>
      <c r="D53" s="130"/>
      <c r="E53" s="130"/>
      <c r="F53" s="130"/>
      <c r="G53" s="130"/>
      <c r="H53" s="130"/>
      <c r="I53" s="130"/>
      <c r="J53" s="130"/>
      <c r="K53" s="130"/>
      <c r="L53" s="130"/>
      <c r="M53" s="130"/>
      <c r="N53" s="130"/>
      <c r="O53" s="130"/>
      <c r="P53" s="130"/>
      <c r="Q53" s="130"/>
      <c r="R53" s="1"/>
      <c r="S53" s="1"/>
      <c r="T53" s="1"/>
      <c r="U53" s="1"/>
      <c r="V53" s="1"/>
      <c r="W53" s="1"/>
      <c r="X53" s="1"/>
      <c r="Y53" s="1"/>
      <c r="Z53" s="1"/>
      <c r="AA53" s="1"/>
      <c r="AB53" s="1"/>
      <c r="AC53" s="1"/>
      <c r="AD53" s="1"/>
      <c r="AE53" s="1"/>
      <c r="AF53" s="1"/>
      <c r="AG53" s="1"/>
      <c r="AH53" s="1"/>
      <c r="AI53" s="1"/>
      <c r="AJ53" s="1"/>
      <c r="AK53" s="1"/>
    </row>
    <row r="54" spans="1:37" x14ac:dyDescent="0.25">
      <c r="A54" s="1"/>
      <c r="B54" s="130"/>
      <c r="C54" s="130"/>
      <c r="D54" s="130"/>
      <c r="E54" s="130"/>
      <c r="F54" s="130"/>
      <c r="G54" s="130"/>
      <c r="H54" s="130"/>
      <c r="I54" s="130"/>
      <c r="J54" s="130"/>
      <c r="K54" s="130"/>
      <c r="L54" s="130"/>
      <c r="M54" s="130"/>
      <c r="N54" s="130"/>
      <c r="O54" s="130"/>
      <c r="P54" s="130"/>
      <c r="Q54" s="130"/>
      <c r="R54" s="1"/>
      <c r="S54" s="1"/>
      <c r="T54" s="1"/>
      <c r="U54" s="1"/>
      <c r="V54" s="1"/>
      <c r="W54" s="1"/>
      <c r="X54" s="1"/>
      <c r="Y54" s="1"/>
      <c r="Z54" s="1"/>
      <c r="AA54" s="1"/>
      <c r="AB54" s="1"/>
      <c r="AC54" s="1"/>
      <c r="AD54" s="1"/>
      <c r="AE54" s="1"/>
      <c r="AF54" s="1"/>
      <c r="AG54" s="1"/>
      <c r="AH54" s="1"/>
      <c r="AI54" s="1"/>
      <c r="AJ54" s="1"/>
      <c r="AK54" s="1"/>
    </row>
    <row r="55" spans="1:37" x14ac:dyDescent="0.25">
      <c r="A55" s="1"/>
      <c r="B55" s="130"/>
      <c r="C55" s="130"/>
      <c r="D55" s="130"/>
      <c r="E55" s="130"/>
      <c r="F55" s="130"/>
      <c r="G55" s="130"/>
      <c r="H55" s="130"/>
      <c r="I55" s="130"/>
      <c r="J55" s="130"/>
      <c r="K55" s="130"/>
      <c r="L55" s="130"/>
      <c r="M55" s="130"/>
      <c r="N55" s="130"/>
      <c r="O55" s="130"/>
      <c r="P55" s="130"/>
      <c r="Q55" s="130"/>
      <c r="R55" s="1"/>
      <c r="S55" s="1"/>
      <c r="T55" s="1"/>
      <c r="U55" s="1"/>
      <c r="V55" s="1"/>
      <c r="W55" s="1"/>
      <c r="X55" s="1"/>
      <c r="Y55" s="1"/>
      <c r="Z55" s="1"/>
      <c r="AA55" s="1"/>
      <c r="AB55" s="1"/>
      <c r="AC55" s="1"/>
      <c r="AD55" s="1"/>
      <c r="AE55" s="1"/>
      <c r="AF55" s="1"/>
      <c r="AG55" s="1"/>
      <c r="AH55" s="1"/>
      <c r="AI55" s="1"/>
      <c r="AJ55" s="1"/>
      <c r="AK55" s="1"/>
    </row>
    <row r="56" spans="1:37" x14ac:dyDescent="0.25">
      <c r="A56" s="1"/>
      <c r="C56" s="130"/>
      <c r="D56" s="130"/>
      <c r="E56" s="130"/>
      <c r="F56" s="130"/>
      <c r="G56" s="130"/>
      <c r="H56" s="130"/>
      <c r="I56" s="130"/>
      <c r="J56" s="130"/>
      <c r="K56" s="130"/>
      <c r="L56" s="130"/>
      <c r="M56" s="130"/>
      <c r="N56" s="130"/>
      <c r="O56" s="130"/>
      <c r="P56" s="130"/>
      <c r="Q56" s="130"/>
      <c r="R56" s="1"/>
      <c r="S56" s="1"/>
      <c r="T56" s="1"/>
      <c r="U56" s="1"/>
      <c r="V56" s="1"/>
      <c r="W56" s="1"/>
      <c r="X56" s="1"/>
      <c r="Y56" s="1"/>
      <c r="Z56" s="1"/>
      <c r="AA56" s="1"/>
      <c r="AB56" s="1"/>
      <c r="AC56" s="1"/>
      <c r="AD56" s="1"/>
      <c r="AE56" s="1"/>
      <c r="AF56" s="1"/>
      <c r="AG56" s="1"/>
      <c r="AH56" s="1"/>
      <c r="AI56" s="1"/>
      <c r="AJ56" s="1"/>
      <c r="AK56" s="1"/>
    </row>
    <row r="57" spans="1:37" x14ac:dyDescent="0.25">
      <c r="A57" s="1"/>
      <c r="B57" s="130"/>
      <c r="C57" s="130"/>
      <c r="D57" s="130"/>
      <c r="E57" s="130"/>
      <c r="F57" s="130"/>
      <c r="G57" s="130"/>
      <c r="H57" s="130"/>
      <c r="I57" s="130"/>
      <c r="J57" s="130"/>
      <c r="K57" s="130"/>
      <c r="L57" s="130"/>
      <c r="M57" s="130"/>
      <c r="N57" s="130"/>
      <c r="O57" s="130"/>
      <c r="P57" s="130"/>
      <c r="Q57" s="130"/>
      <c r="R57" s="1"/>
      <c r="S57" s="1"/>
      <c r="T57" s="1"/>
      <c r="U57" s="1"/>
      <c r="V57" s="1"/>
      <c r="W57" s="1"/>
      <c r="X57" s="1"/>
      <c r="Y57" s="1"/>
      <c r="Z57" s="1"/>
      <c r="AA57" s="1"/>
      <c r="AB57" s="1"/>
      <c r="AC57" s="1"/>
      <c r="AD57" s="1"/>
      <c r="AE57" s="1"/>
      <c r="AF57" s="1"/>
      <c r="AG57" s="1"/>
      <c r="AH57" s="1"/>
      <c r="AI57" s="1"/>
      <c r="AJ57" s="1"/>
      <c r="AK57" s="1"/>
    </row>
    <row r="58" spans="1:37" x14ac:dyDescent="0.25">
      <c r="A58" s="1"/>
      <c r="B58" s="130"/>
      <c r="C58" s="130"/>
      <c r="D58" s="130"/>
      <c r="E58" s="130"/>
      <c r="F58" s="130"/>
      <c r="G58" s="130"/>
      <c r="H58" s="130"/>
      <c r="I58" s="130"/>
      <c r="J58" s="130"/>
      <c r="K58" s="130"/>
      <c r="L58" s="130"/>
      <c r="M58" s="130"/>
      <c r="N58" s="130"/>
      <c r="O58" s="130"/>
      <c r="P58" s="130"/>
      <c r="Q58" s="130"/>
      <c r="R58" s="1"/>
      <c r="S58" s="1"/>
      <c r="T58" s="1"/>
      <c r="U58" s="1"/>
      <c r="V58" s="1"/>
      <c r="W58" s="1"/>
      <c r="X58" s="1"/>
      <c r="Y58" s="1"/>
      <c r="Z58" s="1"/>
      <c r="AA58" s="1"/>
      <c r="AB58" s="1"/>
      <c r="AC58" s="1"/>
      <c r="AD58" s="1"/>
      <c r="AE58" s="1"/>
      <c r="AF58" s="1"/>
      <c r="AG58" s="1"/>
      <c r="AH58" s="1"/>
      <c r="AI58" s="1"/>
      <c r="AJ58" s="1"/>
      <c r="AK58" s="1"/>
    </row>
    <row r="59" spans="1:37" x14ac:dyDescent="0.25">
      <c r="A59" s="1"/>
      <c r="B59" s="130"/>
      <c r="C59" s="130"/>
      <c r="D59" s="130"/>
      <c r="E59" s="130"/>
      <c r="F59" s="130"/>
      <c r="G59" s="130"/>
      <c r="H59" s="130"/>
      <c r="I59" s="130"/>
      <c r="J59" s="130"/>
      <c r="K59" s="130"/>
      <c r="L59" s="130"/>
      <c r="M59" s="130"/>
      <c r="N59" s="130"/>
      <c r="O59" s="130"/>
      <c r="P59" s="130"/>
      <c r="Q59" s="130"/>
      <c r="R59" s="1"/>
      <c r="S59" s="1"/>
      <c r="T59" s="1"/>
      <c r="U59" s="1"/>
      <c r="V59" s="1"/>
      <c r="W59" s="1"/>
      <c r="X59" s="1"/>
      <c r="Y59" s="1"/>
      <c r="Z59" s="1"/>
      <c r="AA59" s="1"/>
      <c r="AB59" s="1"/>
      <c r="AC59" s="1"/>
      <c r="AD59" s="1"/>
      <c r="AE59" s="1"/>
      <c r="AF59" s="1"/>
      <c r="AG59" s="1"/>
      <c r="AH59" s="1"/>
      <c r="AI59" s="1"/>
      <c r="AJ59" s="1"/>
      <c r="AK59" s="1"/>
    </row>
    <row r="60" spans="1:37" x14ac:dyDescent="0.25">
      <c r="A60" s="1"/>
      <c r="B60" s="130"/>
      <c r="C60" s="130"/>
      <c r="D60" s="130"/>
      <c r="E60" s="130"/>
      <c r="F60" s="130"/>
      <c r="G60" s="130"/>
      <c r="H60" s="130"/>
      <c r="I60" s="130"/>
      <c r="J60" s="130"/>
      <c r="K60" s="130"/>
      <c r="L60" s="130"/>
      <c r="M60" s="130"/>
      <c r="N60" s="130"/>
      <c r="O60" s="130"/>
      <c r="P60" s="130"/>
      <c r="Q60" s="130"/>
      <c r="R60" s="1"/>
      <c r="S60" s="1"/>
      <c r="T60" s="1"/>
      <c r="U60" s="1"/>
      <c r="V60" s="1"/>
      <c r="W60" s="1"/>
      <c r="X60" s="1"/>
      <c r="Y60" s="1"/>
      <c r="Z60" s="1"/>
      <c r="AA60" s="1"/>
      <c r="AB60" s="1"/>
      <c r="AC60" s="1"/>
      <c r="AD60" s="1"/>
      <c r="AE60" s="1"/>
      <c r="AF60" s="1"/>
      <c r="AG60" s="1"/>
      <c r="AH60" s="1"/>
      <c r="AI60" s="1"/>
      <c r="AJ60" s="1"/>
      <c r="AK60" s="1"/>
    </row>
    <row r="61" spans="1:37" x14ac:dyDescent="0.25">
      <c r="A61" s="1"/>
      <c r="B61" s="1"/>
      <c r="C61" s="130"/>
      <c r="D61" s="130"/>
      <c r="E61" s="130"/>
      <c r="F61" s="130"/>
      <c r="G61" s="130"/>
      <c r="H61" s="130"/>
      <c r="I61" s="130"/>
      <c r="J61" s="130"/>
      <c r="K61" s="130"/>
      <c r="L61" s="130"/>
      <c r="M61" s="130"/>
      <c r="N61" s="130"/>
      <c r="O61" s="130"/>
      <c r="P61" s="130"/>
      <c r="Q61" s="130"/>
      <c r="R61" s="1"/>
      <c r="S61" s="1"/>
      <c r="T61" s="1"/>
      <c r="U61" s="1"/>
      <c r="V61" s="1"/>
      <c r="W61" s="1"/>
      <c r="X61" s="1"/>
      <c r="Y61" s="1"/>
      <c r="Z61" s="1"/>
      <c r="AA61" s="1"/>
      <c r="AB61" s="1"/>
      <c r="AC61" s="1"/>
      <c r="AD61" s="1"/>
      <c r="AE61" s="1"/>
      <c r="AF61" s="1"/>
      <c r="AG61" s="1"/>
      <c r="AH61" s="1"/>
      <c r="AI61" s="1"/>
      <c r="AJ61" s="1"/>
      <c r="AK61" s="1"/>
    </row>
    <row r="62" spans="1:37" x14ac:dyDescent="0.25">
      <c r="A62" s="1"/>
      <c r="B62" s="1"/>
      <c r="C62" s="130"/>
      <c r="D62" s="130"/>
      <c r="E62" s="130"/>
      <c r="F62" s="130"/>
      <c r="G62" s="130"/>
      <c r="H62" s="130"/>
      <c r="I62" s="130"/>
      <c r="J62" s="130"/>
      <c r="K62" s="130"/>
      <c r="L62" s="130"/>
      <c r="M62" s="130"/>
      <c r="N62" s="130"/>
      <c r="O62" s="130"/>
      <c r="P62" s="130"/>
      <c r="Q62" s="130"/>
      <c r="R62" s="1"/>
      <c r="S62" s="1"/>
      <c r="T62" s="1"/>
      <c r="U62" s="1"/>
      <c r="V62" s="1"/>
      <c r="W62" s="1"/>
      <c r="X62" s="1"/>
      <c r="Y62" s="1"/>
      <c r="Z62" s="1"/>
      <c r="AA62" s="1"/>
      <c r="AB62" s="1"/>
      <c r="AC62" s="1"/>
      <c r="AD62" s="1"/>
      <c r="AE62" s="1"/>
      <c r="AF62" s="1"/>
      <c r="AG62" s="1"/>
      <c r="AH62" s="1"/>
      <c r="AI62" s="1"/>
      <c r="AJ62" s="1"/>
      <c r="AK62" s="1"/>
    </row>
    <row r="63" spans="1:37" x14ac:dyDescent="0.25">
      <c r="A63" s="1"/>
      <c r="B63" s="130"/>
      <c r="C63" s="130"/>
      <c r="D63" s="130"/>
      <c r="E63" s="130"/>
      <c r="F63" s="130"/>
      <c r="G63" s="130"/>
      <c r="H63" s="130"/>
      <c r="I63" s="130"/>
      <c r="J63" s="130"/>
      <c r="K63" s="130"/>
      <c r="L63" s="130"/>
      <c r="M63" s="130"/>
      <c r="N63" s="130"/>
      <c r="O63" s="130"/>
      <c r="P63" s="130"/>
      <c r="Q63" s="130"/>
      <c r="R63" s="1"/>
      <c r="S63" s="1"/>
      <c r="T63" s="1"/>
      <c r="U63" s="1"/>
      <c r="V63" s="1"/>
      <c r="W63" s="1"/>
      <c r="X63" s="1"/>
      <c r="Y63" s="1"/>
      <c r="Z63" s="1"/>
      <c r="AA63" s="1"/>
      <c r="AB63" s="1"/>
      <c r="AC63" s="1"/>
      <c r="AD63" s="1"/>
      <c r="AE63" s="1"/>
      <c r="AF63" s="1"/>
      <c r="AG63" s="1"/>
      <c r="AH63" s="1"/>
      <c r="AI63" s="1"/>
      <c r="AJ63" s="1"/>
      <c r="AK63" s="1"/>
    </row>
    <row r="64" spans="1:37" x14ac:dyDescent="0.25">
      <c r="A64" s="1"/>
      <c r="B64" s="130"/>
      <c r="C64" s="130"/>
      <c r="D64" s="130"/>
      <c r="E64" s="130"/>
      <c r="F64" s="130"/>
      <c r="G64" s="130"/>
      <c r="H64" s="130"/>
      <c r="I64" s="130"/>
      <c r="J64" s="130"/>
      <c r="K64" s="130"/>
      <c r="L64" s="130"/>
      <c r="M64" s="130"/>
      <c r="N64" s="130"/>
      <c r="O64" s="130"/>
      <c r="P64" s="130"/>
      <c r="Q64" s="130"/>
      <c r="R64" s="1"/>
      <c r="S64" s="1"/>
      <c r="T64" s="1"/>
      <c r="U64" s="1"/>
      <c r="V64" s="1"/>
      <c r="W64" s="1"/>
      <c r="X64" s="1"/>
      <c r="Y64" s="1"/>
      <c r="Z64" s="1"/>
      <c r="AA64" s="1"/>
      <c r="AB64" s="1"/>
      <c r="AC64" s="1"/>
      <c r="AD64" s="1"/>
      <c r="AE64" s="1"/>
      <c r="AF64" s="1"/>
      <c r="AG64" s="1"/>
      <c r="AH64" s="1"/>
      <c r="AI64" s="1"/>
      <c r="AJ64" s="1"/>
      <c r="AK64" s="1"/>
    </row>
    <row r="65" spans="1:37" x14ac:dyDescent="0.25">
      <c r="A65" s="1"/>
      <c r="B65" s="130"/>
      <c r="C65" s="130"/>
      <c r="D65" s="130"/>
      <c r="E65" s="130"/>
      <c r="F65" s="130"/>
      <c r="G65" s="130"/>
      <c r="H65" s="130"/>
      <c r="I65" s="130"/>
      <c r="J65" s="130"/>
      <c r="K65" s="130"/>
      <c r="L65" s="130"/>
      <c r="M65" s="130"/>
      <c r="N65" s="130"/>
      <c r="O65" s="130"/>
      <c r="P65" s="130"/>
      <c r="Q65" s="130"/>
      <c r="R65" s="1"/>
      <c r="S65" s="1"/>
      <c r="T65" s="1"/>
      <c r="U65" s="1"/>
      <c r="V65" s="1"/>
      <c r="W65" s="1"/>
      <c r="X65" s="1"/>
      <c r="Y65" s="1"/>
      <c r="Z65" s="1"/>
      <c r="AA65" s="1"/>
      <c r="AB65" s="1"/>
      <c r="AC65" s="1"/>
      <c r="AD65" s="1"/>
      <c r="AE65" s="1"/>
      <c r="AF65" s="1"/>
      <c r="AG65" s="1"/>
      <c r="AH65" s="1"/>
      <c r="AI65" s="1"/>
      <c r="AJ65" s="1"/>
      <c r="AK65" s="1"/>
    </row>
    <row r="66" spans="1:37" x14ac:dyDescent="0.25">
      <c r="A66" s="1"/>
      <c r="B66" s="130"/>
      <c r="C66" s="130"/>
      <c r="D66" s="130"/>
      <c r="E66" s="130"/>
      <c r="F66" s="130"/>
      <c r="G66" s="130"/>
      <c r="H66" s="130"/>
      <c r="I66" s="130"/>
      <c r="J66" s="130"/>
      <c r="K66" s="130"/>
      <c r="L66" s="130"/>
      <c r="M66" s="130"/>
      <c r="N66" s="130"/>
      <c r="O66" s="130"/>
      <c r="P66" s="130"/>
      <c r="Q66" s="130"/>
      <c r="R66" s="1"/>
      <c r="S66" s="1"/>
      <c r="T66" s="1"/>
      <c r="U66" s="1"/>
      <c r="V66" s="1"/>
      <c r="W66" s="1"/>
      <c r="X66" s="1"/>
      <c r="Y66" s="1"/>
      <c r="Z66" s="1"/>
      <c r="AA66" s="1"/>
      <c r="AB66" s="1"/>
      <c r="AC66" s="1"/>
      <c r="AD66" s="1"/>
      <c r="AE66" s="1"/>
      <c r="AF66" s="1"/>
      <c r="AG66" s="1"/>
      <c r="AH66" s="1"/>
      <c r="AI66" s="1"/>
      <c r="AJ66" s="1"/>
      <c r="AK66" s="1"/>
    </row>
    <row r="67" spans="1:37" x14ac:dyDescent="0.25">
      <c r="A67" s="1"/>
      <c r="B67" s="130"/>
      <c r="C67" s="130"/>
      <c r="D67" s="130"/>
      <c r="E67" s="130"/>
      <c r="F67" s="130"/>
      <c r="G67" s="130"/>
      <c r="H67" s="130"/>
      <c r="I67" s="130"/>
      <c r="J67" s="130"/>
      <c r="K67" s="130"/>
      <c r="L67" s="130"/>
      <c r="M67" s="130"/>
      <c r="N67" s="130"/>
      <c r="O67" s="130"/>
      <c r="P67" s="130"/>
      <c r="Q67" s="130"/>
      <c r="R67" s="1"/>
      <c r="S67" s="1"/>
      <c r="T67" s="1"/>
      <c r="U67" s="1"/>
      <c r="V67" s="1"/>
      <c r="W67" s="1"/>
      <c r="X67" s="1"/>
      <c r="Y67" s="1"/>
      <c r="Z67" s="1"/>
      <c r="AA67" s="1"/>
      <c r="AB67" s="1"/>
      <c r="AC67" s="1"/>
      <c r="AD67" s="1"/>
      <c r="AE67" s="1"/>
      <c r="AF67" s="1"/>
      <c r="AG67" s="1"/>
      <c r="AH67" s="1"/>
      <c r="AI67" s="1"/>
      <c r="AJ67" s="1"/>
      <c r="AK67" s="1"/>
    </row>
    <row r="68" spans="1:37" x14ac:dyDescent="0.25">
      <c r="A68" s="1"/>
      <c r="B68" s="130"/>
      <c r="C68" s="130"/>
      <c r="D68" s="130"/>
      <c r="E68" s="130"/>
      <c r="F68" s="130"/>
      <c r="G68" s="130"/>
      <c r="H68" s="130"/>
      <c r="I68" s="130"/>
      <c r="J68" s="130"/>
      <c r="K68" s="130"/>
      <c r="L68" s="130"/>
      <c r="M68" s="130"/>
      <c r="N68" s="130"/>
      <c r="O68" s="130"/>
      <c r="P68" s="130"/>
      <c r="Q68" s="130"/>
      <c r="R68" s="1"/>
      <c r="S68" s="1"/>
      <c r="T68" s="1"/>
      <c r="U68" s="1"/>
      <c r="V68" s="1"/>
      <c r="W68" s="1"/>
      <c r="X68" s="1"/>
      <c r="Y68" s="1"/>
      <c r="Z68" s="1"/>
      <c r="AA68" s="1"/>
      <c r="AB68" s="1"/>
      <c r="AC68" s="1"/>
      <c r="AD68" s="1"/>
      <c r="AE68" s="1"/>
      <c r="AF68" s="1"/>
      <c r="AG68" s="1"/>
      <c r="AH68" s="1"/>
      <c r="AI68" s="1"/>
      <c r="AJ68" s="1"/>
      <c r="AK68" s="1"/>
    </row>
    <row r="69" spans="1:37" x14ac:dyDescent="0.25">
      <c r="A69" s="1"/>
      <c r="B69" s="130"/>
      <c r="C69" s="130"/>
      <c r="D69" s="130"/>
      <c r="E69" s="130"/>
      <c r="F69" s="130"/>
      <c r="G69" s="130"/>
      <c r="H69" s="130"/>
      <c r="I69" s="130"/>
      <c r="J69" s="130"/>
      <c r="K69" s="130"/>
      <c r="L69" s="130"/>
      <c r="M69" s="130"/>
      <c r="N69" s="130"/>
      <c r="O69" s="130"/>
      <c r="P69" s="130"/>
      <c r="Q69" s="130"/>
      <c r="R69" s="1"/>
      <c r="S69" s="1"/>
      <c r="T69" s="1"/>
      <c r="U69" s="1"/>
      <c r="V69" s="1"/>
      <c r="W69" s="1"/>
      <c r="X69" s="1"/>
      <c r="Y69" s="1"/>
      <c r="Z69" s="1"/>
      <c r="AA69" s="1"/>
      <c r="AB69" s="1"/>
      <c r="AC69" s="1"/>
      <c r="AD69" s="1"/>
      <c r="AE69" s="1"/>
      <c r="AF69" s="1"/>
      <c r="AG69" s="1"/>
      <c r="AH69" s="1"/>
      <c r="AI69" s="1"/>
      <c r="AJ69" s="1"/>
      <c r="AK69" s="1"/>
    </row>
    <row r="70" spans="1:37" x14ac:dyDescent="0.25">
      <c r="A70" s="1"/>
      <c r="B70" s="130"/>
      <c r="C70" s="130"/>
      <c r="D70" s="130"/>
      <c r="E70" s="130"/>
      <c r="F70" s="130"/>
      <c r="G70" s="130"/>
      <c r="H70" s="130"/>
      <c r="I70" s="130"/>
      <c r="J70" s="130"/>
      <c r="K70" s="130"/>
      <c r="L70" s="130"/>
      <c r="M70" s="130"/>
      <c r="N70" s="130"/>
      <c r="O70" s="130"/>
      <c r="P70" s="130"/>
      <c r="Q70" s="130"/>
      <c r="R70" s="1"/>
      <c r="S70" s="1"/>
      <c r="T70" s="1"/>
      <c r="U70" s="1"/>
      <c r="V70" s="1"/>
      <c r="W70" s="1"/>
      <c r="X70" s="1"/>
      <c r="Y70" s="1"/>
      <c r="Z70" s="1"/>
      <c r="AA70" s="1"/>
      <c r="AB70" s="1"/>
      <c r="AC70" s="1"/>
      <c r="AD70" s="1"/>
      <c r="AE70" s="1"/>
      <c r="AF70" s="1"/>
      <c r="AG70" s="1"/>
      <c r="AH70" s="1"/>
      <c r="AI70" s="1"/>
      <c r="AJ70" s="1"/>
      <c r="AK70" s="1"/>
    </row>
    <row r="71" spans="1:37" x14ac:dyDescent="0.25">
      <c r="B71" s="130"/>
      <c r="C71" s="130"/>
      <c r="D71" s="130"/>
      <c r="E71" s="130"/>
      <c r="F71" s="130"/>
      <c r="G71" s="130"/>
      <c r="H71" s="130"/>
      <c r="I71" s="130"/>
      <c r="J71" s="130"/>
      <c r="K71" s="130"/>
      <c r="L71" s="130"/>
      <c r="M71" s="130"/>
      <c r="N71" s="130"/>
      <c r="O71" s="130"/>
      <c r="P71" s="130"/>
      <c r="Q71" s="130"/>
      <c r="R71" s="1"/>
      <c r="S71" s="1"/>
      <c r="T71" s="1"/>
      <c r="U71" s="1"/>
      <c r="V71" s="1"/>
      <c r="W71" s="1"/>
      <c r="X71" s="1"/>
      <c r="Y71" s="1"/>
      <c r="Z71" s="1"/>
      <c r="AA71" s="1"/>
      <c r="AB71" s="1"/>
      <c r="AC71" s="1"/>
      <c r="AD71" s="1"/>
      <c r="AE71" s="1"/>
      <c r="AF71" s="1"/>
      <c r="AG71" s="1"/>
      <c r="AH71" s="1"/>
      <c r="AI71" s="1"/>
      <c r="AJ71" s="1"/>
      <c r="AK71" s="1"/>
    </row>
    <row r="72" spans="1:37" x14ac:dyDescent="0.25">
      <c r="B72" s="130"/>
      <c r="C72" s="130"/>
      <c r="D72" s="130"/>
      <c r="E72" s="130"/>
      <c r="F72" s="130"/>
      <c r="G72" s="130"/>
      <c r="H72" s="130"/>
      <c r="I72" s="130"/>
      <c r="J72" s="130"/>
      <c r="K72" s="130"/>
      <c r="L72" s="130"/>
      <c r="M72" s="130"/>
      <c r="N72" s="130"/>
      <c r="O72" s="130"/>
      <c r="P72" s="130"/>
      <c r="Q72" s="130"/>
      <c r="R72" s="1"/>
      <c r="S72" s="1"/>
      <c r="T72" s="1"/>
      <c r="U72" s="1"/>
      <c r="V72" s="1"/>
      <c r="W72" s="1"/>
      <c r="X72" s="1"/>
      <c r="Y72" s="1"/>
      <c r="Z72" s="1"/>
      <c r="AA72" s="1"/>
      <c r="AB72" s="1"/>
      <c r="AC72" s="1"/>
      <c r="AD72" s="1"/>
      <c r="AE72" s="1"/>
      <c r="AF72" s="1"/>
      <c r="AG72" s="1"/>
      <c r="AH72" s="1"/>
      <c r="AI72" s="1"/>
      <c r="AJ72" s="1"/>
      <c r="AK72" s="1"/>
    </row>
    <row r="73" spans="1:37" x14ac:dyDescent="0.25">
      <c r="B73" s="17"/>
      <c r="C73" s="17"/>
      <c r="D73" s="17"/>
      <c r="E73" s="17"/>
      <c r="F73" s="17"/>
      <c r="G73" s="17"/>
      <c r="H73" s="17"/>
      <c r="I73" s="17"/>
      <c r="J73" s="17"/>
      <c r="K73" s="17"/>
      <c r="L73" s="130"/>
      <c r="M73" s="130"/>
      <c r="N73" s="130"/>
      <c r="O73" s="130"/>
      <c r="P73" s="130"/>
      <c r="Q73" s="130"/>
      <c r="R73" s="1"/>
      <c r="S73" s="1"/>
      <c r="T73" s="1"/>
      <c r="U73" s="1"/>
      <c r="V73" s="1"/>
      <c r="W73" s="1"/>
      <c r="X73" s="1"/>
      <c r="Y73" s="1"/>
      <c r="Z73" s="1"/>
      <c r="AA73" s="1"/>
      <c r="AB73" s="1"/>
      <c r="AC73" s="1"/>
      <c r="AD73" s="1"/>
      <c r="AE73" s="1"/>
      <c r="AF73" s="1"/>
      <c r="AG73" s="1"/>
      <c r="AH73" s="1"/>
      <c r="AI73" s="1"/>
      <c r="AJ73" s="1"/>
      <c r="AK73" s="1"/>
    </row>
    <row r="74" spans="1:37" x14ac:dyDescent="0.25">
      <c r="B74" s="17"/>
      <c r="C74" s="17"/>
      <c r="D74" s="17"/>
      <c r="E74" s="17"/>
      <c r="F74" s="17"/>
      <c r="G74" s="17"/>
      <c r="H74" s="17"/>
      <c r="I74" s="17"/>
      <c r="J74" s="17"/>
      <c r="K74" s="17"/>
      <c r="L74" s="130"/>
      <c r="M74" s="130"/>
      <c r="N74" s="130"/>
      <c r="O74" s="130"/>
      <c r="P74" s="130"/>
      <c r="Q74" s="130"/>
      <c r="R74" s="1"/>
      <c r="S74" s="1"/>
      <c r="T74" s="1"/>
      <c r="U74" s="1"/>
      <c r="V74" s="1"/>
      <c r="W74" s="1"/>
      <c r="X74" s="1"/>
      <c r="Y74" s="1"/>
      <c r="Z74" s="1"/>
      <c r="AA74" s="1"/>
      <c r="AB74" s="1"/>
      <c r="AC74" s="1"/>
      <c r="AD74" s="1"/>
      <c r="AE74" s="1"/>
      <c r="AF74" s="1"/>
      <c r="AG74" s="1"/>
      <c r="AH74" s="1"/>
      <c r="AI74" s="1"/>
      <c r="AJ74" s="1"/>
      <c r="AK74" s="1"/>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5" x14ac:dyDescent="0.25"/>
  <cols>
    <col min="1" max="1" width="53.5703125" customWidth="1"/>
    <col min="3" max="3" width="15.7109375" customWidth="1"/>
    <col min="4" max="4" width="18.42578125" customWidth="1"/>
    <col min="5" max="5" width="12.85546875" customWidth="1"/>
    <col min="6" max="6" width="15.140625" customWidth="1"/>
    <col min="7" max="7" width="13.140625" customWidth="1"/>
  </cols>
  <sheetData>
    <row r="1" spans="1:12" ht="26.25" x14ac:dyDescent="0.4">
      <c r="A1" s="575" t="s">
        <v>317</v>
      </c>
      <c r="B1" s="576"/>
      <c r="C1" s="129"/>
      <c r="D1" s="129"/>
      <c r="E1" s="129"/>
      <c r="F1" s="129"/>
      <c r="G1" s="318"/>
      <c r="H1" s="1"/>
      <c r="I1" s="1"/>
      <c r="J1" s="1"/>
      <c r="K1" s="1"/>
      <c r="L1" s="1"/>
    </row>
    <row r="2" spans="1:12" x14ac:dyDescent="0.25">
      <c r="A2" s="319"/>
      <c r="B2" s="573" t="s">
        <v>158</v>
      </c>
      <c r="C2" s="573"/>
      <c r="D2" s="573"/>
      <c r="E2" s="573"/>
      <c r="F2" s="573"/>
      <c r="G2" s="574"/>
      <c r="H2" s="1"/>
      <c r="I2" s="1"/>
      <c r="J2" s="1"/>
      <c r="K2" s="1"/>
      <c r="L2" s="1"/>
    </row>
    <row r="3" spans="1:12" x14ac:dyDescent="0.25">
      <c r="A3" s="260"/>
      <c r="B3" s="126" t="s">
        <v>1</v>
      </c>
      <c r="C3" s="128">
        <v>42369</v>
      </c>
      <c r="D3" s="128">
        <v>42735</v>
      </c>
      <c r="E3" s="128">
        <v>43100</v>
      </c>
      <c r="F3" s="128">
        <v>43465</v>
      </c>
      <c r="G3" s="320">
        <v>43830</v>
      </c>
      <c r="H3" s="1"/>
      <c r="I3" s="1"/>
      <c r="J3" s="1"/>
      <c r="K3" s="1"/>
      <c r="L3" s="1"/>
    </row>
    <row r="4" spans="1:12" x14ac:dyDescent="0.25">
      <c r="A4" s="321"/>
      <c r="B4" s="5"/>
      <c r="C4" s="31"/>
      <c r="D4" s="29"/>
      <c r="E4" s="29"/>
      <c r="F4" s="29"/>
      <c r="G4" s="263"/>
      <c r="H4" s="1"/>
      <c r="I4" s="1"/>
      <c r="J4" s="1"/>
      <c r="K4" s="1"/>
      <c r="L4" s="1"/>
    </row>
    <row r="5" spans="1:12" x14ac:dyDescent="0.25">
      <c r="A5" s="322" t="s">
        <v>328</v>
      </c>
      <c r="B5" s="141"/>
      <c r="C5" s="151">
        <v>5067</v>
      </c>
      <c r="D5" s="143">
        <v>5129</v>
      </c>
      <c r="E5" s="143">
        <v>4606</v>
      </c>
      <c r="F5" s="143">
        <v>4620</v>
      </c>
      <c r="G5" s="323">
        <v>4869</v>
      </c>
      <c r="H5" s="1"/>
      <c r="I5" s="1"/>
      <c r="J5" s="1"/>
      <c r="K5" s="1"/>
      <c r="L5" s="1"/>
    </row>
    <row r="6" spans="1:12" x14ac:dyDescent="0.25">
      <c r="A6" s="322" t="s">
        <v>329</v>
      </c>
      <c r="B6" s="141"/>
      <c r="C6" s="151">
        <v>1348</v>
      </c>
      <c r="D6" s="143">
        <v>1704</v>
      </c>
      <c r="E6" s="143">
        <v>1863</v>
      </c>
      <c r="F6" s="143">
        <v>2302</v>
      </c>
      <c r="G6" s="323">
        <v>2379</v>
      </c>
      <c r="H6" s="1"/>
      <c r="I6" s="1"/>
      <c r="J6" s="1"/>
      <c r="K6" s="1"/>
      <c r="L6" s="1"/>
    </row>
    <row r="7" spans="1:12" x14ac:dyDescent="0.25">
      <c r="A7" s="322" t="s">
        <v>324</v>
      </c>
      <c r="B7" s="141"/>
      <c r="C7" s="151">
        <v>137</v>
      </c>
      <c r="D7" s="143">
        <v>136</v>
      </c>
      <c r="E7" s="143">
        <v>107</v>
      </c>
      <c r="F7" s="143">
        <v>45</v>
      </c>
      <c r="G7" s="323">
        <v>65</v>
      </c>
      <c r="H7" s="1"/>
      <c r="I7" s="1"/>
      <c r="J7" s="1"/>
      <c r="K7" s="1"/>
      <c r="L7" s="1"/>
    </row>
    <row r="8" spans="1:12" x14ac:dyDescent="0.25">
      <c r="A8" s="332" t="s">
        <v>479</v>
      </c>
      <c r="B8" s="142"/>
      <c r="C8" s="152">
        <v>-57</v>
      </c>
      <c r="D8" s="144">
        <v>-56</v>
      </c>
      <c r="E8" s="144">
        <v>-36</v>
      </c>
      <c r="F8" s="144">
        <v>-22</v>
      </c>
      <c r="G8" s="344">
        <v>-20</v>
      </c>
      <c r="H8" s="1"/>
      <c r="I8" s="1"/>
      <c r="J8" s="1"/>
      <c r="K8" s="1"/>
      <c r="L8" s="1"/>
    </row>
    <row r="9" spans="1:12" x14ac:dyDescent="0.25">
      <c r="A9" s="324" t="s">
        <v>330</v>
      </c>
      <c r="B9" s="325"/>
      <c r="C9" s="146">
        <f>SUM(C5:C8)</f>
        <v>6495</v>
      </c>
      <c r="D9" s="146">
        <f t="shared" ref="D9:G9" si="0">SUM(D5:D8)</f>
        <v>6913</v>
      </c>
      <c r="E9" s="146">
        <f t="shared" si="0"/>
        <v>6540</v>
      </c>
      <c r="F9" s="146">
        <f t="shared" si="0"/>
        <v>6945</v>
      </c>
      <c r="G9" s="326">
        <f t="shared" si="0"/>
        <v>7293</v>
      </c>
      <c r="H9" s="1"/>
      <c r="I9" s="1"/>
      <c r="J9" s="1"/>
      <c r="K9" s="1"/>
      <c r="L9" s="1"/>
    </row>
    <row r="10" spans="1:12" x14ac:dyDescent="0.25">
      <c r="A10" s="322"/>
      <c r="B10" s="141"/>
      <c r="C10" s="151"/>
      <c r="D10" s="143"/>
      <c r="E10" s="143"/>
      <c r="F10" s="143"/>
      <c r="G10" s="323"/>
      <c r="H10" s="1"/>
      <c r="I10" s="1"/>
      <c r="J10" s="1"/>
      <c r="K10" s="1"/>
      <c r="L10" s="1"/>
    </row>
    <row r="11" spans="1:12" x14ac:dyDescent="0.25">
      <c r="A11" s="322" t="s">
        <v>319</v>
      </c>
      <c r="B11" s="141"/>
      <c r="C11" s="151">
        <v>184</v>
      </c>
      <c r="D11" s="143">
        <v>159</v>
      </c>
      <c r="E11" s="143">
        <v>147</v>
      </c>
      <c r="F11" s="143">
        <v>187</v>
      </c>
      <c r="G11" s="323">
        <v>184</v>
      </c>
      <c r="H11" s="1"/>
      <c r="I11" s="1"/>
      <c r="J11" s="1"/>
      <c r="K11" s="1"/>
      <c r="L11" s="1"/>
    </row>
    <row r="12" spans="1:12" x14ac:dyDescent="0.25">
      <c r="A12" s="322" t="s">
        <v>320</v>
      </c>
      <c r="B12" s="141"/>
      <c r="C12" s="151">
        <v>1485</v>
      </c>
      <c r="D12" s="143">
        <v>1821</v>
      </c>
      <c r="E12" s="143">
        <v>1671</v>
      </c>
      <c r="F12" s="143">
        <v>1781</v>
      </c>
      <c r="G12" s="323">
        <v>1852</v>
      </c>
      <c r="H12" s="1"/>
      <c r="I12" s="1"/>
      <c r="J12" s="1"/>
      <c r="K12" s="1"/>
      <c r="L12" s="1"/>
    </row>
    <row r="13" spans="1:12" x14ac:dyDescent="0.25">
      <c r="A13" s="322" t="s">
        <v>325</v>
      </c>
      <c r="B13" s="141"/>
      <c r="C13" s="151">
        <v>-1170</v>
      </c>
      <c r="D13" s="143">
        <v>-1384</v>
      </c>
      <c r="E13" s="143">
        <v>-1381</v>
      </c>
      <c r="F13" s="143">
        <v>-1413</v>
      </c>
      <c r="G13" s="323">
        <v>-1481</v>
      </c>
      <c r="H13" s="1"/>
      <c r="I13" s="1"/>
      <c r="J13" s="1"/>
      <c r="K13" s="1"/>
      <c r="L13" s="1"/>
    </row>
    <row r="14" spans="1:12" x14ac:dyDescent="0.25">
      <c r="A14" s="327" t="s">
        <v>331</v>
      </c>
      <c r="B14" s="328"/>
      <c r="C14" s="159">
        <f>SUM(C11:C13)</f>
        <v>499</v>
      </c>
      <c r="D14" s="159">
        <f t="shared" ref="D14:G14" si="1">SUM(D11:D13)</f>
        <v>596</v>
      </c>
      <c r="E14" s="159">
        <f t="shared" si="1"/>
        <v>437</v>
      </c>
      <c r="F14" s="159">
        <f t="shared" si="1"/>
        <v>555</v>
      </c>
      <c r="G14" s="434">
        <f t="shared" si="1"/>
        <v>555</v>
      </c>
      <c r="H14" s="1"/>
      <c r="I14" s="1"/>
      <c r="J14" s="1"/>
      <c r="K14" s="1"/>
      <c r="L14" s="1"/>
    </row>
    <row r="15" spans="1:12" x14ac:dyDescent="0.25">
      <c r="A15" s="330"/>
      <c r="B15" s="140"/>
      <c r="C15" s="150"/>
      <c r="D15" s="145"/>
      <c r="E15" s="145"/>
      <c r="F15" s="145"/>
      <c r="G15" s="331"/>
      <c r="H15" s="1"/>
      <c r="I15" s="1"/>
      <c r="J15" s="1"/>
      <c r="K15" s="1"/>
      <c r="L15" s="1"/>
    </row>
    <row r="16" spans="1:12" x14ac:dyDescent="0.25">
      <c r="A16" s="322" t="s">
        <v>11</v>
      </c>
      <c r="B16" s="141"/>
      <c r="C16" s="143">
        <f>SUM(C17:C23)</f>
        <v>465</v>
      </c>
      <c r="D16" s="143">
        <f t="shared" ref="D16:G16" si="2">SUM(D17:D23)</f>
        <v>473</v>
      </c>
      <c r="E16" s="143">
        <f t="shared" si="2"/>
        <v>555</v>
      </c>
      <c r="F16" s="143">
        <f t="shared" si="2"/>
        <v>486</v>
      </c>
      <c r="G16" s="323">
        <f t="shared" si="2"/>
        <v>653</v>
      </c>
      <c r="H16" s="1"/>
      <c r="I16" s="1"/>
      <c r="J16" s="1"/>
      <c r="K16" s="1"/>
      <c r="L16" s="1"/>
    </row>
    <row r="17" spans="1:12" x14ac:dyDescent="0.25">
      <c r="A17" s="322" t="s">
        <v>321</v>
      </c>
      <c r="B17" s="141"/>
      <c r="C17" s="151">
        <v>183</v>
      </c>
      <c r="D17" s="143">
        <v>389</v>
      </c>
      <c r="E17" s="143">
        <v>216</v>
      </c>
      <c r="F17" s="143">
        <v>313</v>
      </c>
      <c r="G17" s="323">
        <v>567</v>
      </c>
      <c r="H17" s="1"/>
      <c r="I17" s="1"/>
      <c r="J17" s="1"/>
      <c r="K17" s="1"/>
      <c r="L17" s="1"/>
    </row>
    <row r="18" spans="1:12" x14ac:dyDescent="0.25">
      <c r="A18" s="322" t="s">
        <v>322</v>
      </c>
      <c r="B18" s="141"/>
      <c r="C18" s="151">
        <v>171</v>
      </c>
      <c r="D18" s="143">
        <v>218</v>
      </c>
      <c r="E18" s="143">
        <v>8</v>
      </c>
      <c r="F18" s="143">
        <v>16</v>
      </c>
      <c r="G18" s="323">
        <v>10</v>
      </c>
      <c r="H18" s="1"/>
      <c r="I18" s="1"/>
      <c r="J18" s="1"/>
      <c r="K18" s="1"/>
      <c r="L18" s="1"/>
    </row>
    <row r="19" spans="1:12" x14ac:dyDescent="0.25">
      <c r="A19" s="332" t="s">
        <v>479</v>
      </c>
      <c r="B19" s="142"/>
      <c r="C19" s="152">
        <v>-171</v>
      </c>
      <c r="D19" s="144">
        <v>-218</v>
      </c>
      <c r="E19" s="144">
        <v>-8</v>
      </c>
      <c r="F19" s="144">
        <v>-16</v>
      </c>
      <c r="G19" s="344">
        <v>-10</v>
      </c>
      <c r="H19" s="1"/>
      <c r="I19" s="1"/>
      <c r="J19" s="1"/>
      <c r="K19" s="1"/>
      <c r="L19" s="1"/>
    </row>
    <row r="20" spans="1:12" ht="15.6" customHeight="1" x14ac:dyDescent="0.25">
      <c r="A20" s="333" t="s">
        <v>31</v>
      </c>
      <c r="B20" s="153"/>
      <c r="C20" s="151">
        <v>6</v>
      </c>
      <c r="D20" s="143">
        <v>12</v>
      </c>
      <c r="E20" s="143">
        <v>8</v>
      </c>
      <c r="F20" s="143">
        <v>20</v>
      </c>
      <c r="G20" s="323">
        <v>25</v>
      </c>
      <c r="H20" s="1"/>
      <c r="I20" s="1"/>
      <c r="J20" s="1"/>
      <c r="K20" s="1"/>
      <c r="L20" s="1"/>
    </row>
    <row r="21" spans="1:12" ht="19.149999999999999" customHeight="1" x14ac:dyDescent="0.25">
      <c r="A21" s="435" t="s">
        <v>479</v>
      </c>
      <c r="B21" s="436"/>
      <c r="C21" s="152">
        <v>0</v>
      </c>
      <c r="D21" s="144">
        <v>-4</v>
      </c>
      <c r="E21" s="144">
        <v>0</v>
      </c>
      <c r="F21" s="144">
        <v>-8</v>
      </c>
      <c r="G21" s="344">
        <v>-2</v>
      </c>
      <c r="H21" s="1"/>
      <c r="I21" s="1"/>
      <c r="J21" s="1"/>
      <c r="K21" s="1"/>
      <c r="L21" s="1"/>
    </row>
    <row r="22" spans="1:12" x14ac:dyDescent="0.25">
      <c r="A22" s="322" t="s">
        <v>75</v>
      </c>
      <c r="B22" s="141"/>
      <c r="C22" s="151">
        <v>71</v>
      </c>
      <c r="D22" s="143">
        <v>70</v>
      </c>
      <c r="E22" s="143">
        <v>107</v>
      </c>
      <c r="F22" s="143">
        <v>49</v>
      </c>
      <c r="G22" s="323">
        <v>63</v>
      </c>
      <c r="H22" s="1"/>
      <c r="I22" s="1"/>
      <c r="J22" s="1"/>
      <c r="K22" s="1"/>
      <c r="L22" s="1"/>
    </row>
    <row r="23" spans="1:12" ht="17.45" customHeight="1" x14ac:dyDescent="0.25">
      <c r="A23" s="333" t="s">
        <v>323</v>
      </c>
      <c r="B23" s="141"/>
      <c r="C23" s="151">
        <v>205</v>
      </c>
      <c r="D23" s="143">
        <v>6</v>
      </c>
      <c r="E23" s="143">
        <v>224</v>
      </c>
      <c r="F23" s="143">
        <v>112</v>
      </c>
      <c r="G23" s="323">
        <v>0</v>
      </c>
      <c r="H23" s="1"/>
      <c r="I23" s="1"/>
      <c r="J23" s="1"/>
      <c r="K23" s="1"/>
      <c r="L23" s="1"/>
    </row>
    <row r="24" spans="1:12" x14ac:dyDescent="0.25">
      <c r="A24" s="322" t="s">
        <v>343</v>
      </c>
      <c r="B24" s="141"/>
      <c r="C24" s="151">
        <f>SUM(C25:C28)</f>
        <v>-656</v>
      </c>
      <c r="D24" s="151">
        <f t="shared" ref="D24:G24" si="3">SUM(D25:D28)</f>
        <v>-874</v>
      </c>
      <c r="E24" s="151">
        <f t="shared" si="3"/>
        <v>-650</v>
      </c>
      <c r="F24" s="151">
        <f t="shared" si="3"/>
        <v>-749</v>
      </c>
      <c r="G24" s="334">
        <f t="shared" si="3"/>
        <v>-990</v>
      </c>
      <c r="H24" s="1"/>
      <c r="I24" s="1"/>
      <c r="J24" s="1"/>
      <c r="K24" s="1"/>
      <c r="L24" s="1"/>
    </row>
    <row r="25" spans="1:12" x14ac:dyDescent="0.25">
      <c r="A25" s="322" t="s">
        <v>120</v>
      </c>
      <c r="B25" s="141"/>
      <c r="C25" s="151">
        <v>-72</v>
      </c>
      <c r="D25" s="143">
        <v>-90</v>
      </c>
      <c r="E25" s="143">
        <v>-125</v>
      </c>
      <c r="F25" s="143">
        <v>-134</v>
      </c>
      <c r="G25" s="323">
        <v>-140</v>
      </c>
      <c r="H25" s="1"/>
      <c r="I25" s="1"/>
      <c r="J25" s="1"/>
      <c r="K25" s="1"/>
      <c r="L25" s="1"/>
    </row>
    <row r="26" spans="1:12" x14ac:dyDescent="0.25">
      <c r="A26" s="322" t="s">
        <v>153</v>
      </c>
      <c r="B26" s="141"/>
      <c r="C26" s="151">
        <v>-43</v>
      </c>
      <c r="D26" s="143">
        <v>-33</v>
      </c>
      <c r="E26" s="143">
        <v>-4</v>
      </c>
      <c r="F26" s="143">
        <v>-34</v>
      </c>
      <c r="G26" s="323">
        <v>-6</v>
      </c>
      <c r="H26" s="1"/>
      <c r="I26" s="1"/>
      <c r="J26" s="1"/>
      <c r="K26" s="1"/>
      <c r="L26" s="1"/>
    </row>
    <row r="27" spans="1:12" x14ac:dyDescent="0.25">
      <c r="A27" s="322" t="s">
        <v>326</v>
      </c>
      <c r="B27" s="141"/>
      <c r="C27" s="151">
        <v>-521</v>
      </c>
      <c r="D27" s="143">
        <v>-744</v>
      </c>
      <c r="E27" s="143">
        <v>-521</v>
      </c>
      <c r="F27" s="143">
        <v>-581</v>
      </c>
      <c r="G27" s="323">
        <v>-844</v>
      </c>
      <c r="H27" s="1"/>
      <c r="I27" s="1"/>
      <c r="J27" s="1"/>
      <c r="K27" s="1"/>
      <c r="L27" s="1"/>
    </row>
    <row r="28" spans="1:12" x14ac:dyDescent="0.25">
      <c r="A28" s="322" t="s">
        <v>377</v>
      </c>
      <c r="B28" s="141"/>
      <c r="C28" s="151">
        <v>-20</v>
      </c>
      <c r="D28" s="143">
        <v>-7</v>
      </c>
      <c r="E28" s="143">
        <v>0</v>
      </c>
      <c r="F28" s="143">
        <v>0</v>
      </c>
      <c r="G28" s="323">
        <v>0</v>
      </c>
      <c r="H28" s="1"/>
      <c r="I28" s="1"/>
      <c r="J28" s="1"/>
      <c r="K28" s="1"/>
      <c r="L28" s="1"/>
    </row>
    <row r="29" spans="1:12" x14ac:dyDescent="0.25">
      <c r="A29" s="324" t="s">
        <v>332</v>
      </c>
      <c r="B29" s="325"/>
      <c r="C29" s="156">
        <f>C14+C16+C24</f>
        <v>308</v>
      </c>
      <c r="D29" s="156">
        <f t="shared" ref="D29:G29" si="4">D14+D16+D24</f>
        <v>195</v>
      </c>
      <c r="E29" s="156">
        <f t="shared" si="4"/>
        <v>342</v>
      </c>
      <c r="F29" s="156">
        <f t="shared" si="4"/>
        <v>292</v>
      </c>
      <c r="G29" s="335">
        <f t="shared" si="4"/>
        <v>218</v>
      </c>
      <c r="H29" s="1"/>
      <c r="I29" s="1"/>
      <c r="J29" s="1"/>
      <c r="K29" s="1"/>
      <c r="L29" s="1"/>
    </row>
    <row r="30" spans="1:12" x14ac:dyDescent="0.25">
      <c r="A30" s="322"/>
      <c r="B30" s="141"/>
      <c r="C30" s="151"/>
      <c r="D30" s="143"/>
      <c r="E30" s="143"/>
      <c r="F30" s="143"/>
      <c r="G30" s="323"/>
      <c r="H30" s="1"/>
      <c r="I30" s="1"/>
      <c r="J30" s="1"/>
      <c r="K30" s="1"/>
      <c r="L30" s="1"/>
    </row>
    <row r="31" spans="1:12" x14ac:dyDescent="0.25">
      <c r="A31" s="322" t="s">
        <v>376</v>
      </c>
      <c r="B31" s="141"/>
      <c r="C31" s="151">
        <v>308</v>
      </c>
      <c r="D31" s="143">
        <v>341</v>
      </c>
      <c r="E31" s="143">
        <v>301</v>
      </c>
      <c r="F31" s="143">
        <v>264</v>
      </c>
      <c r="G31" s="323">
        <v>277</v>
      </c>
      <c r="H31" s="1"/>
      <c r="I31" s="1"/>
      <c r="J31" s="1"/>
      <c r="K31" s="1"/>
      <c r="L31" s="1"/>
    </row>
    <row r="32" spans="1:12" x14ac:dyDescent="0.25">
      <c r="A32" s="322" t="s">
        <v>113</v>
      </c>
      <c r="B32" s="141"/>
      <c r="C32" s="151">
        <v>-332</v>
      </c>
      <c r="D32" s="143">
        <v>-365</v>
      </c>
      <c r="E32" s="143">
        <v>-319</v>
      </c>
      <c r="F32" s="143">
        <v>-314</v>
      </c>
      <c r="G32" s="323">
        <v>-307</v>
      </c>
      <c r="H32" s="1"/>
      <c r="I32" s="1"/>
      <c r="J32" s="1"/>
      <c r="K32" s="1"/>
      <c r="L32" s="1"/>
    </row>
    <row r="33" spans="1:12" x14ac:dyDescent="0.25">
      <c r="A33" s="322" t="s">
        <v>327</v>
      </c>
      <c r="B33" s="141"/>
      <c r="C33" s="151">
        <v>-576</v>
      </c>
      <c r="D33" s="143">
        <v>-671</v>
      </c>
      <c r="E33" s="143">
        <v>-625</v>
      </c>
      <c r="F33" s="143">
        <v>-642</v>
      </c>
      <c r="G33" s="323">
        <v>-676</v>
      </c>
      <c r="H33" s="1"/>
      <c r="I33" s="1"/>
      <c r="J33" s="1"/>
      <c r="K33" s="1"/>
      <c r="L33" s="1"/>
    </row>
    <row r="34" spans="1:12" x14ac:dyDescent="0.25">
      <c r="A34" s="336" t="s">
        <v>333</v>
      </c>
      <c r="B34" s="337"/>
      <c r="C34" s="155">
        <f>C9+C29+C31+C32+C33</f>
        <v>6203</v>
      </c>
      <c r="D34" s="155">
        <f t="shared" ref="D34:G34" si="5">D9+D29+D31+D32+D33</f>
        <v>6413</v>
      </c>
      <c r="E34" s="155">
        <f t="shared" si="5"/>
        <v>6239</v>
      </c>
      <c r="F34" s="155">
        <f t="shared" si="5"/>
        <v>6545</v>
      </c>
      <c r="G34" s="338">
        <f t="shared" si="5"/>
        <v>6805</v>
      </c>
      <c r="H34" s="1"/>
      <c r="I34" s="1"/>
      <c r="J34" s="1"/>
      <c r="K34" s="1"/>
      <c r="L34" s="1"/>
    </row>
    <row r="35" spans="1:12" x14ac:dyDescent="0.25">
      <c r="A35" s="322"/>
      <c r="B35" s="141"/>
      <c r="C35" s="151"/>
      <c r="D35" s="143"/>
      <c r="E35" s="143"/>
      <c r="F35" s="143"/>
      <c r="G35" s="323"/>
      <c r="H35" s="1"/>
      <c r="I35" s="1"/>
      <c r="J35" s="1"/>
      <c r="K35" s="1"/>
      <c r="L35" s="1"/>
    </row>
    <row r="36" spans="1:12" x14ac:dyDescent="0.25">
      <c r="A36" s="322"/>
      <c r="B36" s="141"/>
      <c r="C36" s="151"/>
      <c r="D36" s="143"/>
      <c r="E36" s="143"/>
      <c r="F36" s="143"/>
      <c r="G36" s="323"/>
      <c r="H36" s="1"/>
      <c r="I36" s="1"/>
      <c r="J36" s="1"/>
      <c r="K36" s="1"/>
      <c r="L36" s="1"/>
    </row>
    <row r="37" spans="1:12" x14ac:dyDescent="0.25">
      <c r="A37" s="322"/>
      <c r="B37" s="141"/>
      <c r="C37" s="151"/>
      <c r="D37" s="143"/>
      <c r="E37" s="143"/>
      <c r="F37" s="143"/>
      <c r="G37" s="323"/>
      <c r="H37" s="1"/>
      <c r="I37" s="1"/>
      <c r="J37" s="1"/>
      <c r="K37" s="1"/>
      <c r="L37" s="1"/>
    </row>
    <row r="38" spans="1:12" x14ac:dyDescent="0.25">
      <c r="A38" s="339" t="s">
        <v>340</v>
      </c>
      <c r="B38" s="340"/>
      <c r="C38" s="157">
        <v>-3259</v>
      </c>
      <c r="D38" s="158">
        <v>-3279</v>
      </c>
      <c r="E38" s="158">
        <v>-3013</v>
      </c>
      <c r="F38" s="158">
        <v>-3523</v>
      </c>
      <c r="G38" s="363">
        <v>-3651</v>
      </c>
      <c r="H38" s="1"/>
      <c r="I38" s="1"/>
      <c r="J38" s="1"/>
      <c r="K38" s="1"/>
      <c r="L38" s="1"/>
    </row>
    <row r="39" spans="1:12" x14ac:dyDescent="0.25">
      <c r="A39" s="322"/>
      <c r="B39" s="141"/>
      <c r="C39" s="151"/>
      <c r="D39" s="143"/>
      <c r="E39" s="143"/>
      <c r="F39" s="143"/>
      <c r="G39" s="323"/>
      <c r="H39" s="1"/>
      <c r="I39" s="1"/>
      <c r="J39" s="1"/>
      <c r="K39" s="1"/>
      <c r="L39" s="1"/>
    </row>
    <row r="40" spans="1:12" x14ac:dyDescent="0.25">
      <c r="A40" s="322" t="s">
        <v>105</v>
      </c>
      <c r="B40" s="141"/>
      <c r="C40" s="151">
        <v>-3089</v>
      </c>
      <c r="D40" s="143">
        <v>-3436</v>
      </c>
      <c r="E40" s="143">
        <v>-3501</v>
      </c>
      <c r="F40" s="143">
        <v>-2984</v>
      </c>
      <c r="G40" s="323">
        <v>-3307</v>
      </c>
      <c r="H40" s="1"/>
      <c r="I40" s="1"/>
      <c r="J40" s="1"/>
      <c r="K40" s="1"/>
      <c r="L40" s="1"/>
    </row>
    <row r="41" spans="1:12" x14ac:dyDescent="0.25">
      <c r="A41" s="322" t="s">
        <v>480</v>
      </c>
      <c r="B41" s="141"/>
      <c r="C41" s="151">
        <v>-27</v>
      </c>
      <c r="D41" s="143">
        <v>-19</v>
      </c>
      <c r="E41" s="143">
        <v>-23</v>
      </c>
      <c r="F41" s="143">
        <v>-14</v>
      </c>
      <c r="G41" s="323">
        <v>-9</v>
      </c>
      <c r="H41" s="1"/>
      <c r="I41" s="1"/>
      <c r="J41" s="1"/>
      <c r="K41" s="1"/>
      <c r="L41" s="1"/>
    </row>
    <row r="42" spans="1:12" x14ac:dyDescent="0.25">
      <c r="A42" s="322" t="s">
        <v>481</v>
      </c>
      <c r="B42" s="141"/>
      <c r="C42" s="143">
        <v>57</v>
      </c>
      <c r="D42" s="143">
        <v>60</v>
      </c>
      <c r="E42" s="143">
        <v>36</v>
      </c>
      <c r="F42" s="143">
        <v>30</v>
      </c>
      <c r="G42" s="323">
        <v>22</v>
      </c>
      <c r="H42" s="1"/>
      <c r="I42" s="1"/>
      <c r="J42" s="1"/>
      <c r="K42" s="1"/>
      <c r="L42" s="1"/>
    </row>
    <row r="43" spans="1:12" x14ac:dyDescent="0.25">
      <c r="A43" s="322" t="s">
        <v>150</v>
      </c>
      <c r="B43" s="141"/>
      <c r="C43" s="151">
        <v>-692</v>
      </c>
      <c r="D43" s="143">
        <v>-359</v>
      </c>
      <c r="E43" s="143">
        <v>-437</v>
      </c>
      <c r="F43" s="143">
        <v>-694</v>
      </c>
      <c r="G43" s="323">
        <v>-304</v>
      </c>
      <c r="H43" s="1"/>
      <c r="I43" s="1"/>
      <c r="J43" s="1"/>
      <c r="K43" s="1"/>
      <c r="L43" s="1"/>
    </row>
    <row r="44" spans="1:12" x14ac:dyDescent="0.25">
      <c r="A44" s="341" t="s">
        <v>339</v>
      </c>
      <c r="B44" s="342"/>
      <c r="C44" s="162">
        <f>C40+C41+C42+C43</f>
        <v>-3751</v>
      </c>
      <c r="D44" s="162">
        <v>-3754</v>
      </c>
      <c r="E44" s="162">
        <v>-3925</v>
      </c>
      <c r="F44" s="162">
        <v>-3662</v>
      </c>
      <c r="G44" s="437">
        <v>-3598</v>
      </c>
      <c r="H44" s="1"/>
      <c r="I44" s="1"/>
      <c r="J44" s="1"/>
      <c r="K44" s="1"/>
      <c r="L44" s="1"/>
    </row>
    <row r="45" spans="1:12" x14ac:dyDescent="0.25">
      <c r="A45" s="332"/>
      <c r="B45" s="142"/>
      <c r="C45" s="152"/>
      <c r="D45" s="144"/>
      <c r="E45" s="144"/>
      <c r="F45" s="144"/>
      <c r="G45" s="344"/>
      <c r="H45" s="1"/>
      <c r="I45" s="1"/>
      <c r="J45" s="1"/>
      <c r="K45" s="1"/>
      <c r="L45" s="1"/>
    </row>
    <row r="46" spans="1:12" x14ac:dyDescent="0.25">
      <c r="A46" s="332" t="s">
        <v>482</v>
      </c>
      <c r="B46" s="142"/>
      <c r="C46" s="144">
        <v>171</v>
      </c>
      <c r="D46" s="144">
        <v>218</v>
      </c>
      <c r="E46" s="144">
        <v>8</v>
      </c>
      <c r="F46" s="144">
        <v>16</v>
      </c>
      <c r="G46" s="344">
        <v>10</v>
      </c>
      <c r="H46" s="1"/>
      <c r="I46" s="1"/>
      <c r="J46" s="1"/>
      <c r="K46" s="1"/>
      <c r="L46" s="1"/>
    </row>
    <row r="47" spans="1:12" x14ac:dyDescent="0.25">
      <c r="A47" s="322" t="s">
        <v>77</v>
      </c>
      <c r="B47" s="141"/>
      <c r="C47" s="151">
        <v>636</v>
      </c>
      <c r="D47" s="143">
        <v>402</v>
      </c>
      <c r="E47" s="143">
        <v>691</v>
      </c>
      <c r="F47" s="143">
        <v>624</v>
      </c>
      <c r="G47" s="323">
        <v>434</v>
      </c>
      <c r="H47" s="1"/>
      <c r="I47" s="1"/>
      <c r="J47" s="1"/>
      <c r="K47" s="1"/>
      <c r="L47" s="1"/>
    </row>
    <row r="48" spans="1:12" x14ac:dyDescent="0.25">
      <c r="A48" s="324" t="s">
        <v>334</v>
      </c>
      <c r="B48" s="325"/>
      <c r="C48" s="146">
        <f>C44+C46+C47</f>
        <v>-2944</v>
      </c>
      <c r="D48" s="146">
        <f t="shared" ref="D48:G48" si="6">D44+D46+D47</f>
        <v>-3134</v>
      </c>
      <c r="E48" s="146">
        <f t="shared" si="6"/>
        <v>-3226</v>
      </c>
      <c r="F48" s="146">
        <f t="shared" si="6"/>
        <v>-3022</v>
      </c>
      <c r="G48" s="326">
        <f t="shared" si="6"/>
        <v>-3154</v>
      </c>
      <c r="H48" s="1"/>
      <c r="I48" s="1"/>
      <c r="J48" s="1"/>
      <c r="K48" s="1"/>
      <c r="L48" s="1"/>
    </row>
    <row r="49" spans="1:12" x14ac:dyDescent="0.25">
      <c r="A49" s="322"/>
      <c r="B49" s="141"/>
      <c r="C49" s="151"/>
      <c r="D49" s="143"/>
      <c r="E49" s="143"/>
      <c r="F49" s="143"/>
      <c r="G49" s="323"/>
      <c r="H49" s="1"/>
      <c r="I49" s="1"/>
      <c r="J49" s="1"/>
      <c r="K49" s="1"/>
      <c r="L49" s="1"/>
    </row>
    <row r="50" spans="1:12" x14ac:dyDescent="0.25">
      <c r="A50" s="336" t="s">
        <v>333</v>
      </c>
      <c r="B50" s="337"/>
      <c r="C50" s="155">
        <f>C38+C48</f>
        <v>-6203</v>
      </c>
      <c r="D50" s="155">
        <f t="shared" ref="D50:G50" si="7">D38+D48</f>
        <v>-6413</v>
      </c>
      <c r="E50" s="155">
        <f t="shared" si="7"/>
        <v>-6239</v>
      </c>
      <c r="F50" s="155">
        <f t="shared" si="7"/>
        <v>-6545</v>
      </c>
      <c r="G50" s="338">
        <f t="shared" si="7"/>
        <v>-6805</v>
      </c>
      <c r="H50" s="1"/>
      <c r="I50" s="1"/>
      <c r="J50" s="1"/>
      <c r="K50" s="1"/>
      <c r="L50" s="1"/>
    </row>
    <row r="51" spans="1:12" ht="15.75" thickBot="1" x14ac:dyDescent="0.3">
      <c r="A51" s="438" t="s">
        <v>346</v>
      </c>
      <c r="B51" s="439"/>
      <c r="C51" s="440">
        <f>C34+C50</f>
        <v>0</v>
      </c>
      <c r="D51" s="440">
        <f t="shared" ref="D51:G51" si="8">D34+D50</f>
        <v>0</v>
      </c>
      <c r="E51" s="440">
        <f t="shared" si="8"/>
        <v>0</v>
      </c>
      <c r="F51" s="440">
        <f t="shared" si="8"/>
        <v>0</v>
      </c>
      <c r="G51" s="441">
        <f t="shared" si="8"/>
        <v>0</v>
      </c>
      <c r="H51" s="1"/>
      <c r="I51" s="1"/>
      <c r="J51" s="1"/>
      <c r="K51" s="1"/>
      <c r="L51" s="1"/>
    </row>
    <row r="52" spans="1:12" x14ac:dyDescent="0.25">
      <c r="B52" s="1"/>
      <c r="C52" s="1"/>
      <c r="D52" s="1"/>
      <c r="E52" s="1"/>
      <c r="F52" s="1"/>
      <c r="G52" s="1"/>
      <c r="H52" s="1"/>
      <c r="I52" s="1"/>
      <c r="J52" s="1"/>
      <c r="K52" s="1"/>
      <c r="L52" s="1"/>
    </row>
    <row r="53" spans="1:12" ht="15.75" thickBot="1" x14ac:dyDescent="0.3">
      <c r="A53" s="1"/>
      <c r="C53" s="1"/>
      <c r="D53" s="1"/>
      <c r="E53" s="1"/>
      <c r="F53" s="1"/>
      <c r="G53" s="1"/>
      <c r="H53" s="1"/>
      <c r="I53" s="1"/>
      <c r="J53" s="1"/>
      <c r="K53" s="1"/>
      <c r="L53" s="1"/>
    </row>
    <row r="54" spans="1:12" ht="24" x14ac:dyDescent="0.4">
      <c r="A54" s="349" t="s">
        <v>302</v>
      </c>
      <c r="B54" s="350"/>
      <c r="C54" s="350"/>
      <c r="D54" s="350"/>
      <c r="E54" s="350"/>
      <c r="F54" s="350"/>
      <c r="G54" s="351"/>
      <c r="H54" s="1"/>
      <c r="I54" s="1"/>
      <c r="J54" s="1"/>
      <c r="K54" s="1"/>
      <c r="L54" s="1"/>
    </row>
    <row r="55" spans="1:12" x14ac:dyDescent="0.25">
      <c r="A55" s="352"/>
      <c r="B55" s="111"/>
      <c r="C55" s="577" t="s">
        <v>163</v>
      </c>
      <c r="D55" s="577"/>
      <c r="E55" s="577"/>
      <c r="F55" s="577"/>
      <c r="G55" s="578"/>
      <c r="H55" s="1"/>
      <c r="I55" s="1"/>
      <c r="J55" s="1"/>
      <c r="K55" s="1"/>
      <c r="L55" s="1"/>
    </row>
    <row r="56" spans="1:12" x14ac:dyDescent="0.25">
      <c r="A56" s="260"/>
      <c r="B56" s="125" t="s">
        <v>1</v>
      </c>
      <c r="C56" s="112">
        <v>42369</v>
      </c>
      <c r="D56" s="112">
        <v>42735</v>
      </c>
      <c r="E56" s="112">
        <v>43100</v>
      </c>
      <c r="F56" s="112">
        <v>43465</v>
      </c>
      <c r="G56" s="261">
        <v>43830</v>
      </c>
      <c r="H56" s="1"/>
      <c r="I56" s="1"/>
      <c r="J56" s="1"/>
      <c r="K56" s="1"/>
      <c r="L56" s="1"/>
    </row>
    <row r="57" spans="1:12" x14ac:dyDescent="0.25">
      <c r="A57" s="262"/>
      <c r="B57" s="55"/>
      <c r="C57" s="48"/>
      <c r="D57" s="49"/>
      <c r="E57" s="49"/>
      <c r="F57" s="49"/>
      <c r="G57" s="442"/>
      <c r="H57" s="1"/>
      <c r="I57" s="1"/>
      <c r="J57" s="1"/>
      <c r="K57" s="1"/>
      <c r="L57" s="1"/>
    </row>
    <row r="58" spans="1:12" x14ac:dyDescent="0.25">
      <c r="A58" s="321" t="s">
        <v>345</v>
      </c>
      <c r="B58" s="55"/>
      <c r="C58" s="150">
        <f>SUM(C61:C62)</f>
        <v>4921</v>
      </c>
      <c r="D58" s="145">
        <f t="shared" ref="D58:G58" si="9">SUM(D61:D62)</f>
        <v>4860</v>
      </c>
      <c r="E58" s="145">
        <f t="shared" si="9"/>
        <v>5796</v>
      </c>
      <c r="F58" s="145">
        <f t="shared" si="9"/>
        <v>6494</v>
      </c>
      <c r="G58" s="331">
        <f t="shared" si="9"/>
        <v>7324</v>
      </c>
      <c r="H58" s="1"/>
      <c r="I58" s="1"/>
      <c r="J58" s="1"/>
      <c r="K58" s="1"/>
      <c r="L58" s="1"/>
    </row>
    <row r="59" spans="1:12" x14ac:dyDescent="0.25">
      <c r="A59" s="180" t="s">
        <v>167</v>
      </c>
      <c r="B59" s="55"/>
      <c r="C59" s="151">
        <v>3947</v>
      </c>
      <c r="D59" s="143">
        <v>3734</v>
      </c>
      <c r="E59" s="143">
        <v>4633</v>
      </c>
      <c r="F59" s="143">
        <v>5268</v>
      </c>
      <c r="G59" s="323">
        <v>6046</v>
      </c>
      <c r="H59" s="1"/>
      <c r="I59" s="1"/>
      <c r="J59" s="1"/>
      <c r="K59" s="1"/>
      <c r="L59" s="1"/>
    </row>
    <row r="60" spans="1:12" x14ac:dyDescent="0.25">
      <c r="A60" s="180" t="s">
        <v>169</v>
      </c>
      <c r="B60" s="55"/>
      <c r="C60" s="151">
        <v>785</v>
      </c>
      <c r="D60" s="143">
        <v>847</v>
      </c>
      <c r="E60" s="143">
        <v>957</v>
      </c>
      <c r="F60" s="143">
        <v>1003</v>
      </c>
      <c r="G60" s="323">
        <v>1076</v>
      </c>
      <c r="H60" s="1"/>
      <c r="I60" s="1"/>
      <c r="J60" s="1"/>
      <c r="K60" s="1"/>
      <c r="L60" s="1"/>
    </row>
    <row r="61" spans="1:12" x14ac:dyDescent="0.25">
      <c r="A61" s="443" t="s">
        <v>171</v>
      </c>
      <c r="B61" s="55"/>
      <c r="C61" s="152">
        <f>SUM(C59:C60)</f>
        <v>4732</v>
      </c>
      <c r="D61" s="144">
        <f>SUM(D59:D60)</f>
        <v>4581</v>
      </c>
      <c r="E61" s="144">
        <f>SUM(E59:E60)</f>
        <v>5590</v>
      </c>
      <c r="F61" s="144">
        <f>SUM(F59:F60)</f>
        <v>6271</v>
      </c>
      <c r="G61" s="344">
        <f>SUM(G59:G60)</f>
        <v>7122</v>
      </c>
      <c r="H61" s="1"/>
      <c r="I61" s="1"/>
      <c r="J61" s="1"/>
      <c r="K61" s="1"/>
      <c r="L61" s="1"/>
    </row>
    <row r="62" spans="1:12" x14ac:dyDescent="0.25">
      <c r="A62" s="180" t="s">
        <v>173</v>
      </c>
      <c r="B62" s="55"/>
      <c r="C62" s="151">
        <v>189</v>
      </c>
      <c r="D62" s="143">
        <v>279</v>
      </c>
      <c r="E62" s="143">
        <v>206</v>
      </c>
      <c r="F62" s="143">
        <v>223</v>
      </c>
      <c r="G62" s="323">
        <v>202</v>
      </c>
      <c r="H62" s="1"/>
      <c r="I62" s="1"/>
      <c r="J62" s="1"/>
      <c r="K62" s="1"/>
      <c r="L62" s="1"/>
    </row>
    <row r="63" spans="1:12" x14ac:dyDescent="0.25">
      <c r="A63" s="180"/>
      <c r="B63" s="55"/>
      <c r="C63" s="151"/>
      <c r="D63" s="151"/>
      <c r="E63" s="143"/>
      <c r="F63" s="143"/>
      <c r="G63" s="323"/>
      <c r="H63" s="1"/>
      <c r="I63" s="1"/>
      <c r="J63" s="1"/>
      <c r="K63" s="1"/>
      <c r="L63" s="1"/>
    </row>
    <row r="64" spans="1:12" x14ac:dyDescent="0.25">
      <c r="A64" s="180" t="s">
        <v>177</v>
      </c>
      <c r="B64" s="55"/>
      <c r="C64" s="151">
        <v>-2286</v>
      </c>
      <c r="D64" s="151">
        <v>-2101</v>
      </c>
      <c r="E64" s="143">
        <v>-2831</v>
      </c>
      <c r="F64" s="143">
        <v>-3346</v>
      </c>
      <c r="G64" s="323">
        <v>-4004</v>
      </c>
      <c r="H64" s="1"/>
      <c r="I64" s="1"/>
      <c r="J64" s="1"/>
      <c r="K64" s="1"/>
      <c r="L64" s="1"/>
    </row>
    <row r="65" spans="1:12" x14ac:dyDescent="0.25">
      <c r="A65" s="180" t="s">
        <v>179</v>
      </c>
      <c r="B65" s="55"/>
      <c r="C65" s="151">
        <v>-706</v>
      </c>
      <c r="D65" s="151">
        <v>-758</v>
      </c>
      <c r="E65" s="143">
        <v>-850</v>
      </c>
      <c r="F65" s="143">
        <v>-986</v>
      </c>
      <c r="G65" s="323">
        <v>-1152</v>
      </c>
      <c r="H65" s="1"/>
      <c r="I65" s="1"/>
      <c r="J65" s="1"/>
      <c r="K65" s="1"/>
      <c r="L65" s="1"/>
    </row>
    <row r="66" spans="1:12" x14ac:dyDescent="0.25">
      <c r="A66" s="180" t="s">
        <v>183</v>
      </c>
      <c r="B66" s="55"/>
      <c r="C66" s="151">
        <v>-252</v>
      </c>
      <c r="D66" s="151">
        <v>-243</v>
      </c>
      <c r="E66" s="143">
        <v>-281</v>
      </c>
      <c r="F66" s="143">
        <v>-266</v>
      </c>
      <c r="G66" s="323">
        <v>-234</v>
      </c>
      <c r="H66" s="1"/>
      <c r="I66" s="1"/>
      <c r="J66" s="1"/>
      <c r="K66" s="1"/>
      <c r="L66" s="1"/>
    </row>
    <row r="67" spans="1:12" x14ac:dyDescent="0.25">
      <c r="A67" s="180" t="s">
        <v>335</v>
      </c>
      <c r="B67" s="55"/>
      <c r="C67" s="151">
        <f>-SUM(C72:C73)</f>
        <v>-629</v>
      </c>
      <c r="D67" s="151">
        <f>-SUM(D72:D73)</f>
        <v>-596</v>
      </c>
      <c r="E67" s="143">
        <f>-SUM(E72:E73)</f>
        <v>-635</v>
      </c>
      <c r="F67" s="143">
        <f>-SUM(F72:F73)</f>
        <v>-665</v>
      </c>
      <c r="G67" s="323">
        <f>-SUM(G72:G73)</f>
        <v>-700</v>
      </c>
      <c r="H67" s="1"/>
      <c r="I67" s="1"/>
      <c r="J67" s="1"/>
      <c r="K67" s="1"/>
      <c r="L67" s="1"/>
    </row>
    <row r="68" spans="1:12" x14ac:dyDescent="0.25">
      <c r="A68" s="180" t="s">
        <v>187</v>
      </c>
      <c r="B68" s="55"/>
      <c r="C68" s="151">
        <v>441</v>
      </c>
      <c r="D68" s="151">
        <v>433</v>
      </c>
      <c r="E68" s="143">
        <v>471</v>
      </c>
      <c r="F68" s="143">
        <v>494</v>
      </c>
      <c r="G68" s="323">
        <v>527</v>
      </c>
      <c r="H68" s="1"/>
      <c r="I68" s="1"/>
      <c r="J68" s="1"/>
      <c r="K68" s="1"/>
      <c r="L68" s="1"/>
    </row>
    <row r="69" spans="1:12" x14ac:dyDescent="0.25">
      <c r="A69" s="180" t="s">
        <v>189</v>
      </c>
      <c r="B69" s="55"/>
      <c r="C69" s="151">
        <v>163</v>
      </c>
      <c r="D69" s="151">
        <v>146</v>
      </c>
      <c r="E69" s="143">
        <v>160</v>
      </c>
      <c r="F69" s="143">
        <v>173</v>
      </c>
      <c r="G69" s="323">
        <v>179</v>
      </c>
      <c r="H69" s="1"/>
      <c r="I69" s="1"/>
      <c r="J69" s="1"/>
      <c r="K69" s="1"/>
      <c r="L69" s="1"/>
    </row>
    <row r="70" spans="1:12" x14ac:dyDescent="0.25">
      <c r="A70" s="180" t="s">
        <v>191</v>
      </c>
      <c r="B70" s="55"/>
      <c r="C70" s="151">
        <v>25</v>
      </c>
      <c r="D70" s="151">
        <v>26</v>
      </c>
      <c r="E70" s="143">
        <v>29</v>
      </c>
      <c r="F70" s="143">
        <v>31</v>
      </c>
      <c r="G70" s="323">
        <v>31</v>
      </c>
      <c r="H70" s="1"/>
      <c r="I70" s="1"/>
      <c r="J70" s="1"/>
      <c r="K70" s="1"/>
      <c r="L70" s="1"/>
    </row>
    <row r="71" spans="1:12" x14ac:dyDescent="0.25">
      <c r="A71" s="180" t="s">
        <v>192</v>
      </c>
      <c r="B71" s="55"/>
      <c r="C71" s="151">
        <v>27</v>
      </c>
      <c r="D71" s="151">
        <v>36</v>
      </c>
      <c r="E71" s="143">
        <v>27</v>
      </c>
      <c r="F71" s="143">
        <v>33</v>
      </c>
      <c r="G71" s="323">
        <v>42</v>
      </c>
      <c r="H71" s="1"/>
      <c r="I71" s="1"/>
      <c r="J71" s="1"/>
      <c r="K71" s="1"/>
      <c r="L71" s="1"/>
    </row>
    <row r="72" spans="1:12" x14ac:dyDescent="0.25">
      <c r="A72" s="443" t="s">
        <v>194</v>
      </c>
      <c r="B72" s="55"/>
      <c r="C72" s="152">
        <f>SUM(C68:C71)</f>
        <v>656</v>
      </c>
      <c r="D72" s="152">
        <f>SUM(D68:D71)</f>
        <v>641</v>
      </c>
      <c r="E72" s="144">
        <f>SUM(E68:E71)</f>
        <v>687</v>
      </c>
      <c r="F72" s="144">
        <f t="shared" ref="F72" si="10">SUM(F68:F71)</f>
        <v>731</v>
      </c>
      <c r="G72" s="344">
        <f>SUM(G68:G71)</f>
        <v>779</v>
      </c>
      <c r="H72" s="1"/>
      <c r="I72" s="1"/>
      <c r="J72" s="1"/>
      <c r="K72" s="1"/>
      <c r="L72" s="1"/>
    </row>
    <row r="73" spans="1:12" x14ac:dyDescent="0.25">
      <c r="A73" s="180" t="s">
        <v>196</v>
      </c>
      <c r="B73" s="55"/>
      <c r="C73" s="151">
        <v>-27</v>
      </c>
      <c r="D73" s="151">
        <v>-45</v>
      </c>
      <c r="E73" s="143">
        <v>-52</v>
      </c>
      <c r="F73" s="143">
        <v>-66</v>
      </c>
      <c r="G73" s="323">
        <v>-79</v>
      </c>
      <c r="H73" s="1"/>
      <c r="I73" s="1"/>
      <c r="J73" s="1"/>
      <c r="K73" s="1"/>
      <c r="L73" s="1"/>
    </row>
    <row r="74" spans="1:12" x14ac:dyDescent="0.25">
      <c r="A74" s="444" t="s">
        <v>344</v>
      </c>
      <c r="B74" s="311"/>
      <c r="C74" s="159">
        <f>SUM(C64:C67)</f>
        <v>-3873</v>
      </c>
      <c r="D74" s="159">
        <f>SUM(D64:D67)</f>
        <v>-3698</v>
      </c>
      <c r="E74" s="160">
        <f>SUM(E64:E67)</f>
        <v>-4597</v>
      </c>
      <c r="F74" s="160">
        <f>SUM(F64:F67)</f>
        <v>-5263</v>
      </c>
      <c r="G74" s="329">
        <f>SUM(G64:G67)</f>
        <v>-6090</v>
      </c>
      <c r="H74" s="1"/>
      <c r="I74" s="1"/>
      <c r="J74" s="1"/>
      <c r="K74" s="1"/>
      <c r="L74" s="1"/>
    </row>
    <row r="75" spans="1:12" x14ac:dyDescent="0.25">
      <c r="A75" s="321"/>
      <c r="B75" s="55"/>
      <c r="C75" s="151"/>
      <c r="D75" s="151"/>
      <c r="E75" s="143"/>
      <c r="F75" s="143"/>
      <c r="G75" s="323"/>
      <c r="H75" s="1"/>
      <c r="I75" s="1"/>
      <c r="J75" s="1"/>
      <c r="K75" s="1"/>
      <c r="L75" s="1"/>
    </row>
    <row r="76" spans="1:12" x14ac:dyDescent="0.25">
      <c r="A76" s="357" t="s">
        <v>306</v>
      </c>
      <c r="B76" s="445"/>
      <c r="C76" s="156">
        <f>SUM(C58,C74)</f>
        <v>1048</v>
      </c>
      <c r="D76" s="156">
        <f>SUM(D58,D74)</f>
        <v>1162</v>
      </c>
      <c r="E76" s="146">
        <f>SUM(E58,E74)</f>
        <v>1199</v>
      </c>
      <c r="F76" s="146">
        <f>SUM(F58,F74)</f>
        <v>1231</v>
      </c>
      <c r="G76" s="326">
        <f>SUM(G58,G74)</f>
        <v>1234</v>
      </c>
      <c r="H76" s="1"/>
      <c r="I76" s="1"/>
      <c r="J76" s="1"/>
      <c r="K76" s="1"/>
      <c r="L76" s="1"/>
    </row>
    <row r="77" spans="1:12" x14ac:dyDescent="0.25">
      <c r="A77" s="180"/>
      <c r="B77" s="55"/>
      <c r="C77" s="243"/>
      <c r="D77" s="243"/>
      <c r="E77" s="147"/>
      <c r="F77" s="147"/>
      <c r="G77" s="446"/>
      <c r="H77" s="1"/>
      <c r="I77" s="1"/>
      <c r="J77" s="1"/>
      <c r="K77" s="1"/>
      <c r="L77" s="1"/>
    </row>
    <row r="78" spans="1:12" x14ac:dyDescent="0.25">
      <c r="A78" s="180" t="s">
        <v>336</v>
      </c>
      <c r="B78" s="55"/>
      <c r="C78" s="151">
        <f>-SUM(C79:C81)</f>
        <v>-754</v>
      </c>
      <c r="D78" s="151">
        <f t="shared" ref="D78:G78" si="11">-SUM(D79:D81)</f>
        <v>-648</v>
      </c>
      <c r="E78" s="143">
        <f t="shared" si="11"/>
        <v>-444</v>
      </c>
      <c r="F78" s="143">
        <f t="shared" si="11"/>
        <v>-623</v>
      </c>
      <c r="G78" s="323">
        <f t="shared" si="11"/>
        <v>-511</v>
      </c>
      <c r="H78" s="1"/>
      <c r="I78" s="1"/>
      <c r="J78" s="1"/>
      <c r="K78" s="1"/>
      <c r="L78" s="1"/>
    </row>
    <row r="79" spans="1:12" x14ac:dyDescent="0.25">
      <c r="A79" s="180" t="s">
        <v>202</v>
      </c>
      <c r="B79" s="55"/>
      <c r="C79" s="151">
        <v>54</v>
      </c>
      <c r="D79" s="151">
        <v>55</v>
      </c>
      <c r="E79" s="143">
        <v>72</v>
      </c>
      <c r="F79" s="143">
        <v>91</v>
      </c>
      <c r="G79" s="323">
        <v>123</v>
      </c>
      <c r="H79" s="1"/>
      <c r="I79" s="1"/>
      <c r="J79" s="1"/>
      <c r="K79" s="1"/>
      <c r="L79" s="1"/>
    </row>
    <row r="80" spans="1:12" x14ac:dyDescent="0.25">
      <c r="A80" s="180" t="s">
        <v>204</v>
      </c>
      <c r="B80" s="55"/>
      <c r="C80" s="151">
        <v>341</v>
      </c>
      <c r="D80" s="151">
        <v>348</v>
      </c>
      <c r="E80" s="143">
        <v>338</v>
      </c>
      <c r="F80" s="143">
        <v>372</v>
      </c>
      <c r="G80" s="323">
        <v>379</v>
      </c>
      <c r="H80" s="1"/>
      <c r="I80" s="1"/>
      <c r="J80" s="1"/>
      <c r="K80" s="1"/>
      <c r="L80" s="1"/>
    </row>
    <row r="81" spans="1:12" x14ac:dyDescent="0.25">
      <c r="A81" s="180" t="s">
        <v>206</v>
      </c>
      <c r="B81" s="55"/>
      <c r="C81" s="151">
        <v>359</v>
      </c>
      <c r="D81" s="151">
        <v>245</v>
      </c>
      <c r="E81" s="143">
        <v>34</v>
      </c>
      <c r="F81" s="143">
        <v>160</v>
      </c>
      <c r="G81" s="323">
        <v>9</v>
      </c>
      <c r="H81" s="1"/>
      <c r="I81" s="1"/>
      <c r="J81" s="1"/>
      <c r="K81" s="1"/>
      <c r="L81" s="1"/>
    </row>
    <row r="82" spans="1:12" x14ac:dyDescent="0.25">
      <c r="A82" s="180" t="s">
        <v>461</v>
      </c>
      <c r="B82" s="55"/>
      <c r="C82" s="152">
        <f>-SUM(C83:C84)</f>
        <v>-79</v>
      </c>
      <c r="D82" s="152">
        <f t="shared" ref="D82:G82" si="12">-SUM(D83:D84)</f>
        <v>-71</v>
      </c>
      <c r="E82" s="144">
        <f t="shared" si="12"/>
        <v>-45</v>
      </c>
      <c r="F82" s="144">
        <f t="shared" si="12"/>
        <v>-20</v>
      </c>
      <c r="G82" s="344">
        <f t="shared" si="12"/>
        <v>-36</v>
      </c>
      <c r="H82" s="1"/>
      <c r="I82" s="1"/>
      <c r="J82" s="1"/>
      <c r="K82" s="1"/>
      <c r="L82" s="1"/>
    </row>
    <row r="83" spans="1:12" x14ac:dyDescent="0.25">
      <c r="A83" s="180" t="s">
        <v>210</v>
      </c>
      <c r="B83" s="55"/>
      <c r="C83" s="151">
        <v>57</v>
      </c>
      <c r="D83" s="151">
        <v>50</v>
      </c>
      <c r="E83" s="143">
        <v>10</v>
      </c>
      <c r="F83" s="143">
        <v>-5</v>
      </c>
      <c r="G83" s="323">
        <v>21</v>
      </c>
      <c r="H83" s="1"/>
      <c r="I83" s="1"/>
      <c r="J83" s="1"/>
      <c r="K83" s="1"/>
      <c r="L83" s="1"/>
    </row>
    <row r="84" spans="1:12" ht="14.45" customHeight="1" x14ac:dyDescent="0.25">
      <c r="A84" s="447" t="s">
        <v>212</v>
      </c>
      <c r="B84" s="55"/>
      <c r="C84" s="151">
        <v>22</v>
      </c>
      <c r="D84" s="151">
        <v>21</v>
      </c>
      <c r="E84" s="143">
        <v>35</v>
      </c>
      <c r="F84" s="143">
        <v>25</v>
      </c>
      <c r="G84" s="323">
        <v>15</v>
      </c>
      <c r="H84" s="1"/>
      <c r="I84" s="1"/>
      <c r="J84" s="1"/>
      <c r="K84" s="1"/>
      <c r="L84" s="1"/>
    </row>
    <row r="85" spans="1:12" x14ac:dyDescent="0.25">
      <c r="A85" s="321"/>
      <c r="B85" s="55"/>
      <c r="C85" s="150"/>
      <c r="D85" s="151"/>
      <c r="E85" s="145"/>
      <c r="F85" s="145"/>
      <c r="G85" s="331"/>
      <c r="H85" s="1"/>
      <c r="I85" s="1"/>
      <c r="J85" s="1"/>
      <c r="K85" s="1"/>
      <c r="L85" s="1"/>
    </row>
    <row r="86" spans="1:12" x14ac:dyDescent="0.25">
      <c r="A86" s="357" t="s">
        <v>303</v>
      </c>
      <c r="B86" s="445"/>
      <c r="C86" s="156">
        <f>SUM(C76,C78,C82)</f>
        <v>215</v>
      </c>
      <c r="D86" s="156">
        <f>SUM(D76,D78,D82)</f>
        <v>443</v>
      </c>
      <c r="E86" s="146">
        <f>SUM(E76,E78,E82)</f>
        <v>710</v>
      </c>
      <c r="F86" s="146">
        <f>SUM(F76,F78,F82)</f>
        <v>588</v>
      </c>
      <c r="G86" s="326">
        <f>SUM(G76,G78,G82)</f>
        <v>687</v>
      </c>
      <c r="H86" s="1"/>
      <c r="I86" s="1"/>
      <c r="J86" s="1"/>
      <c r="K86" s="1"/>
      <c r="L86" s="1"/>
    </row>
    <row r="87" spans="1:12" x14ac:dyDescent="0.25">
      <c r="A87" s="321"/>
      <c r="B87" s="55"/>
      <c r="C87" s="150"/>
      <c r="D87" s="151"/>
      <c r="E87" s="145"/>
      <c r="F87" s="145"/>
      <c r="G87" s="331"/>
      <c r="H87" s="1"/>
      <c r="I87" s="1"/>
      <c r="J87" s="1"/>
      <c r="K87" s="1"/>
      <c r="L87" s="1"/>
    </row>
    <row r="88" spans="1:12" x14ac:dyDescent="0.25">
      <c r="A88" s="180" t="s">
        <v>217</v>
      </c>
      <c r="B88" s="55"/>
      <c r="C88" s="151">
        <v>1</v>
      </c>
      <c r="D88" s="151">
        <v>52</v>
      </c>
      <c r="E88" s="143">
        <v>0</v>
      </c>
      <c r="F88" s="143">
        <v>14</v>
      </c>
      <c r="G88" s="323">
        <v>4</v>
      </c>
      <c r="H88" s="1"/>
      <c r="I88" s="1"/>
      <c r="J88" s="1"/>
      <c r="K88" s="1"/>
      <c r="L88" s="1"/>
    </row>
    <row r="89" spans="1:12" x14ac:dyDescent="0.25">
      <c r="A89" s="180" t="s">
        <v>219</v>
      </c>
      <c r="B89" s="55"/>
      <c r="C89" s="151">
        <f>SUM(C93,-C102,C103)</f>
        <v>-138</v>
      </c>
      <c r="D89" s="151">
        <f t="shared" ref="D89:G89" si="13">SUM(D93,-D102,D103)</f>
        <v>-161</v>
      </c>
      <c r="E89" s="143">
        <f t="shared" si="13"/>
        <v>-134</v>
      </c>
      <c r="F89" s="143">
        <f t="shared" si="13"/>
        <v>-112</v>
      </c>
      <c r="G89" s="323">
        <f t="shared" si="13"/>
        <v>-110</v>
      </c>
      <c r="H89" s="1"/>
      <c r="I89" s="1"/>
      <c r="J89" s="1"/>
      <c r="K89" s="1"/>
      <c r="L89" s="1"/>
    </row>
    <row r="90" spans="1:12" x14ac:dyDescent="0.25">
      <c r="A90" s="180" t="s">
        <v>221</v>
      </c>
      <c r="B90" s="55"/>
      <c r="C90" s="151"/>
      <c r="D90" s="151"/>
      <c r="E90" s="143"/>
      <c r="F90" s="143"/>
      <c r="G90" s="323"/>
      <c r="H90" s="1"/>
      <c r="I90" s="1"/>
      <c r="J90" s="1"/>
      <c r="K90" s="1"/>
      <c r="L90" s="1"/>
    </row>
    <row r="91" spans="1:12" x14ac:dyDescent="0.25">
      <c r="A91" s="180" t="s">
        <v>223</v>
      </c>
      <c r="B91" s="55"/>
      <c r="C91" s="151"/>
      <c r="D91" s="151"/>
      <c r="E91" s="143"/>
      <c r="F91" s="143">
        <v>0</v>
      </c>
      <c r="G91" s="323">
        <v>4</v>
      </c>
      <c r="H91" s="1"/>
      <c r="I91" s="1"/>
      <c r="J91" s="1"/>
      <c r="K91" s="1"/>
      <c r="L91" s="1"/>
    </row>
    <row r="92" spans="1:12" x14ac:dyDescent="0.25">
      <c r="A92" s="180" t="s">
        <v>224</v>
      </c>
      <c r="B92" s="55"/>
      <c r="C92" s="151"/>
      <c r="D92" s="151"/>
      <c r="E92" s="143"/>
      <c r="F92" s="143">
        <v>16</v>
      </c>
      <c r="G92" s="323">
        <v>12</v>
      </c>
      <c r="H92" s="1"/>
      <c r="I92" s="1"/>
      <c r="J92" s="1"/>
      <c r="K92" s="1"/>
      <c r="L92" s="1"/>
    </row>
    <row r="93" spans="1:12" x14ac:dyDescent="0.25">
      <c r="A93" s="180" t="s">
        <v>225</v>
      </c>
      <c r="B93" s="55"/>
      <c r="C93" s="151">
        <v>28</v>
      </c>
      <c r="D93" s="151">
        <v>34</v>
      </c>
      <c r="E93" s="143">
        <v>19</v>
      </c>
      <c r="F93" s="143">
        <f t="shared" ref="F93" si="14">SUM(F91:F92)</f>
        <v>16</v>
      </c>
      <c r="G93" s="323">
        <f>SUM(G91:G92)</f>
        <v>16</v>
      </c>
      <c r="H93" s="1"/>
      <c r="I93" s="1"/>
      <c r="J93" s="1"/>
      <c r="K93" s="1"/>
      <c r="L93" s="1"/>
    </row>
    <row r="94" spans="1:12" x14ac:dyDescent="0.25">
      <c r="A94" s="180" t="s">
        <v>226</v>
      </c>
      <c r="B94" s="55"/>
      <c r="C94" s="151"/>
      <c r="D94" s="151"/>
      <c r="E94" s="143"/>
      <c r="F94" s="143"/>
      <c r="G94" s="323"/>
      <c r="H94" s="1"/>
      <c r="I94" s="1"/>
      <c r="J94" s="1"/>
      <c r="K94" s="1"/>
      <c r="L94" s="1"/>
    </row>
    <row r="95" spans="1:12" x14ac:dyDescent="0.25">
      <c r="A95" s="180" t="s">
        <v>228</v>
      </c>
      <c r="B95" s="55"/>
      <c r="C95" s="151">
        <v>125</v>
      </c>
      <c r="D95" s="151">
        <v>125</v>
      </c>
      <c r="E95" s="143">
        <v>104</v>
      </c>
      <c r="F95" s="143">
        <v>102</v>
      </c>
      <c r="G95" s="323">
        <v>94</v>
      </c>
      <c r="H95" s="1"/>
      <c r="I95" s="1"/>
      <c r="J95" s="1"/>
      <c r="K95" s="1"/>
      <c r="L95" s="1"/>
    </row>
    <row r="96" spans="1:12" x14ac:dyDescent="0.25">
      <c r="A96" s="180" t="s">
        <v>230</v>
      </c>
      <c r="B96" s="55"/>
      <c r="C96" s="151">
        <v>15</v>
      </c>
      <c r="D96" s="151">
        <v>9</v>
      </c>
      <c r="E96" s="143">
        <v>9</v>
      </c>
      <c r="F96" s="143">
        <v>6</v>
      </c>
      <c r="G96" s="323">
        <v>4</v>
      </c>
      <c r="H96" s="1"/>
      <c r="I96" s="1"/>
      <c r="J96" s="1"/>
      <c r="K96" s="1"/>
      <c r="L96" s="1"/>
    </row>
    <row r="97" spans="1:12" x14ac:dyDescent="0.25">
      <c r="A97" s="180" t="s">
        <v>232</v>
      </c>
      <c r="B97" s="55"/>
      <c r="C97" s="151">
        <v>5</v>
      </c>
      <c r="D97" s="151">
        <v>6</v>
      </c>
      <c r="E97" s="143">
        <v>8</v>
      </c>
      <c r="F97" s="143">
        <v>8</v>
      </c>
      <c r="G97" s="323">
        <v>7</v>
      </c>
      <c r="H97" s="1"/>
      <c r="I97" s="1"/>
      <c r="J97" s="1"/>
      <c r="K97" s="1"/>
      <c r="L97" s="1"/>
    </row>
    <row r="98" spans="1:12" x14ac:dyDescent="0.25">
      <c r="A98" s="180" t="s">
        <v>234</v>
      </c>
      <c r="B98" s="55"/>
      <c r="C98" s="151">
        <v>0</v>
      </c>
      <c r="D98" s="151">
        <v>1</v>
      </c>
      <c r="E98" s="143">
        <v>2</v>
      </c>
      <c r="F98" s="143">
        <v>2</v>
      </c>
      <c r="G98" s="323">
        <v>1</v>
      </c>
      <c r="H98" s="1"/>
      <c r="I98" s="1"/>
      <c r="J98" s="1"/>
      <c r="K98" s="1"/>
      <c r="L98" s="1"/>
    </row>
    <row r="99" spans="1:12" x14ac:dyDescent="0.25">
      <c r="A99" s="180" t="s">
        <v>236</v>
      </c>
      <c r="B99" s="55"/>
      <c r="C99" s="151">
        <v>17</v>
      </c>
      <c r="D99" s="151">
        <v>51</v>
      </c>
      <c r="E99" s="143">
        <v>35</v>
      </c>
      <c r="F99" s="143">
        <v>14</v>
      </c>
      <c r="G99" s="323">
        <v>24</v>
      </c>
      <c r="H99" s="1"/>
      <c r="I99" s="1"/>
      <c r="J99" s="1"/>
      <c r="K99" s="1"/>
      <c r="L99" s="1"/>
    </row>
    <row r="100" spans="1:12" x14ac:dyDescent="0.25">
      <c r="A100" s="180" t="s">
        <v>238</v>
      </c>
      <c r="B100" s="55"/>
      <c r="C100" s="151">
        <v>162</v>
      </c>
      <c r="D100" s="151">
        <f>SUM(D95:D99)</f>
        <v>192</v>
      </c>
      <c r="E100" s="143">
        <f>SUM(E95:E99)</f>
        <v>158</v>
      </c>
      <c r="F100" s="143">
        <f>SUM(F95:F99)</f>
        <v>132</v>
      </c>
      <c r="G100" s="323">
        <f>SUM(G95:G99)</f>
        <v>130</v>
      </c>
      <c r="H100" s="1"/>
      <c r="I100" s="1"/>
      <c r="J100" s="1"/>
      <c r="K100" s="1"/>
      <c r="L100" s="1"/>
    </row>
    <row r="101" spans="1:12" x14ac:dyDescent="0.25">
      <c r="A101" s="180" t="s">
        <v>240</v>
      </c>
      <c r="B101" s="55"/>
      <c r="C101" s="151">
        <v>0</v>
      </c>
      <c r="D101" s="151">
        <v>0</v>
      </c>
      <c r="E101" s="143">
        <v>0</v>
      </c>
      <c r="F101" s="143">
        <v>0</v>
      </c>
      <c r="G101" s="323">
        <v>0</v>
      </c>
      <c r="H101" s="1"/>
      <c r="I101" s="1"/>
      <c r="J101" s="1"/>
      <c r="K101" s="1"/>
      <c r="L101" s="1"/>
    </row>
    <row r="102" spans="1:12" x14ac:dyDescent="0.25">
      <c r="A102" s="180" t="s">
        <v>242</v>
      </c>
      <c r="B102" s="55"/>
      <c r="C102" s="151">
        <f>SUM(C100:C101)</f>
        <v>162</v>
      </c>
      <c r="D102" s="151">
        <f>SUM(D100:D101)</f>
        <v>192</v>
      </c>
      <c r="E102" s="143">
        <f>SUM(E100:E101)</f>
        <v>158</v>
      </c>
      <c r="F102" s="143">
        <f>SUM(F100:F101)</f>
        <v>132</v>
      </c>
      <c r="G102" s="323">
        <f>SUM(G100:G101)</f>
        <v>130</v>
      </c>
      <c r="H102" s="1"/>
      <c r="I102" s="1"/>
      <c r="J102" s="1"/>
      <c r="K102" s="1"/>
      <c r="L102" s="1"/>
    </row>
    <row r="103" spans="1:12" x14ac:dyDescent="0.25">
      <c r="A103" s="180" t="s">
        <v>244</v>
      </c>
      <c r="B103" s="55"/>
      <c r="C103" s="151">
        <v>-4</v>
      </c>
      <c r="D103" s="151">
        <v>-3</v>
      </c>
      <c r="E103" s="143">
        <v>5</v>
      </c>
      <c r="F103" s="143">
        <v>4</v>
      </c>
      <c r="G103" s="323">
        <v>4</v>
      </c>
      <c r="H103" s="1"/>
      <c r="I103" s="1"/>
      <c r="J103" s="1"/>
      <c r="K103" s="1"/>
      <c r="L103" s="1"/>
    </row>
    <row r="104" spans="1:12" x14ac:dyDescent="0.25">
      <c r="A104" s="180" t="s">
        <v>246</v>
      </c>
      <c r="B104" s="55"/>
      <c r="C104" s="151"/>
      <c r="D104" s="151">
        <v>0</v>
      </c>
      <c r="E104" s="143">
        <v>0</v>
      </c>
      <c r="F104" s="143">
        <v>0</v>
      </c>
      <c r="G104" s="323">
        <v>0</v>
      </c>
      <c r="H104" s="1"/>
      <c r="I104" s="1"/>
      <c r="J104" s="1"/>
      <c r="K104" s="1"/>
      <c r="L104" s="1"/>
    </row>
    <row r="105" spans="1:12" x14ac:dyDescent="0.25">
      <c r="A105" s="443" t="s">
        <v>375</v>
      </c>
      <c r="B105" s="55"/>
      <c r="C105" s="151">
        <f>SUM(C88:C89)</f>
        <v>-137</v>
      </c>
      <c r="D105" s="151">
        <f t="shared" ref="D105:G105" si="15">SUM(D88:D89)</f>
        <v>-109</v>
      </c>
      <c r="E105" s="143">
        <f t="shared" si="15"/>
        <v>-134</v>
      </c>
      <c r="F105" s="143">
        <f t="shared" si="15"/>
        <v>-98</v>
      </c>
      <c r="G105" s="323">
        <f t="shared" si="15"/>
        <v>-106</v>
      </c>
      <c r="H105" s="1"/>
      <c r="I105" s="1"/>
      <c r="J105" s="1"/>
      <c r="K105" s="1"/>
      <c r="L105" s="1"/>
    </row>
    <row r="106" spans="1:12" x14ac:dyDescent="0.25">
      <c r="A106" s="101"/>
      <c r="B106" s="55"/>
      <c r="C106" s="432"/>
      <c r="D106" s="432"/>
      <c r="E106" s="433"/>
      <c r="F106" s="433"/>
      <c r="G106" s="448"/>
      <c r="H106" s="1"/>
      <c r="I106" s="1"/>
      <c r="J106" s="1"/>
      <c r="K106" s="1"/>
      <c r="L106" s="1"/>
    </row>
    <row r="107" spans="1:12" x14ac:dyDescent="0.25">
      <c r="A107" s="357" t="s">
        <v>304</v>
      </c>
      <c r="B107" s="445"/>
      <c r="C107" s="156">
        <f>SUM(C86,C88,C89)</f>
        <v>78</v>
      </c>
      <c r="D107" s="156">
        <f>SUM(D86,D88,D89)</f>
        <v>334</v>
      </c>
      <c r="E107" s="146">
        <f>SUM(E86,E88,E89)</f>
        <v>576</v>
      </c>
      <c r="F107" s="146">
        <f>SUM(F86,F88,F89)</f>
        <v>490</v>
      </c>
      <c r="G107" s="326">
        <f>SUM(G86,G88,G89)</f>
        <v>581</v>
      </c>
      <c r="H107" s="1"/>
      <c r="I107" s="1"/>
      <c r="J107" s="1"/>
      <c r="K107" s="1"/>
      <c r="L107" s="1"/>
    </row>
    <row r="108" spans="1:12" x14ac:dyDescent="0.25">
      <c r="A108" s="101"/>
      <c r="B108" s="55"/>
      <c r="C108" s="432"/>
      <c r="D108" s="432"/>
      <c r="E108" s="433"/>
      <c r="F108" s="433"/>
      <c r="G108" s="448"/>
      <c r="H108" s="1"/>
      <c r="I108" s="1"/>
      <c r="J108" s="1"/>
      <c r="K108" s="1"/>
      <c r="L108" s="1"/>
    </row>
    <row r="109" spans="1:12" x14ac:dyDescent="0.25">
      <c r="A109" s="180" t="s">
        <v>254</v>
      </c>
      <c r="B109" s="55"/>
      <c r="C109" s="151">
        <v>105</v>
      </c>
      <c r="D109" s="151">
        <v>138</v>
      </c>
      <c r="E109" s="143">
        <v>107</v>
      </c>
      <c r="F109" s="143">
        <v>146</v>
      </c>
      <c r="G109" s="323">
        <v>147</v>
      </c>
      <c r="H109" s="1"/>
      <c r="I109" s="1"/>
      <c r="J109" s="1"/>
      <c r="K109" s="1"/>
      <c r="L109" s="1"/>
    </row>
    <row r="110" spans="1:12" x14ac:dyDescent="0.25">
      <c r="A110" s="180" t="s">
        <v>256</v>
      </c>
      <c r="B110" s="55"/>
      <c r="C110" s="151">
        <v>23</v>
      </c>
      <c r="D110" s="151">
        <v>25</v>
      </c>
      <c r="E110" s="143">
        <v>26</v>
      </c>
      <c r="F110" s="143">
        <v>30</v>
      </c>
      <c r="G110" s="323">
        <v>30</v>
      </c>
      <c r="H110" s="1"/>
      <c r="I110" s="1"/>
      <c r="J110" s="1"/>
      <c r="K110" s="1"/>
      <c r="L110" s="1"/>
    </row>
    <row r="111" spans="1:12" x14ac:dyDescent="0.25">
      <c r="A111" s="180" t="s">
        <v>258</v>
      </c>
      <c r="B111" s="55"/>
      <c r="C111" s="151">
        <v>-17</v>
      </c>
      <c r="D111" s="151">
        <v>4</v>
      </c>
      <c r="E111" s="143">
        <v>-1</v>
      </c>
      <c r="F111" s="143">
        <v>2</v>
      </c>
      <c r="G111" s="323">
        <v>5</v>
      </c>
      <c r="H111" s="1"/>
      <c r="I111" s="1"/>
      <c r="J111" s="1"/>
      <c r="K111" s="1"/>
      <c r="L111" s="1"/>
    </row>
    <row r="112" spans="1:12" x14ac:dyDescent="0.25">
      <c r="A112" s="443" t="s">
        <v>260</v>
      </c>
      <c r="B112" s="55"/>
      <c r="C112" s="152">
        <f>SUM(C109:C111)</f>
        <v>111</v>
      </c>
      <c r="D112" s="152">
        <f>SUM(D109:D111)</f>
        <v>167</v>
      </c>
      <c r="E112" s="144">
        <f>SUM(E109:E111)</f>
        <v>132</v>
      </c>
      <c r="F112" s="144">
        <f>SUM(F109:F111)</f>
        <v>178</v>
      </c>
      <c r="G112" s="344">
        <f>SUM(G109:G111)</f>
        <v>182</v>
      </c>
      <c r="H112" s="1"/>
      <c r="I112" s="1"/>
      <c r="J112" s="1"/>
      <c r="K112" s="1"/>
      <c r="L112" s="1"/>
    </row>
    <row r="113" spans="1:12" x14ac:dyDescent="0.25">
      <c r="A113" s="180" t="s">
        <v>341</v>
      </c>
      <c r="B113" s="55"/>
      <c r="C113" s="151">
        <v>142</v>
      </c>
      <c r="D113" s="151">
        <v>44</v>
      </c>
      <c r="E113" s="143">
        <v>88</v>
      </c>
      <c r="F113" s="143">
        <v>33</v>
      </c>
      <c r="G113" s="323">
        <v>71</v>
      </c>
      <c r="H113" s="1"/>
      <c r="I113" s="1"/>
      <c r="J113" s="1"/>
      <c r="K113" s="1"/>
      <c r="L113" s="1"/>
    </row>
    <row r="114" spans="1:12" x14ac:dyDescent="0.25">
      <c r="A114" s="180" t="s">
        <v>342</v>
      </c>
      <c r="B114" s="55"/>
      <c r="C114" s="151">
        <v>-120</v>
      </c>
      <c r="D114" s="151">
        <v>-89</v>
      </c>
      <c r="E114" s="143">
        <v>-28</v>
      </c>
      <c r="F114" s="143">
        <v>-54</v>
      </c>
      <c r="G114" s="323">
        <v>-64</v>
      </c>
      <c r="H114" s="1"/>
      <c r="I114" s="1"/>
      <c r="J114" s="1"/>
      <c r="K114" s="1"/>
      <c r="L114" s="1"/>
    </row>
    <row r="115" spans="1:12" x14ac:dyDescent="0.25">
      <c r="A115" s="180" t="s">
        <v>305</v>
      </c>
      <c r="B115" s="55"/>
      <c r="C115" s="151">
        <f>-SUM(C112:C114)</f>
        <v>-133</v>
      </c>
      <c r="D115" s="151">
        <f t="shared" ref="D115:G115" si="16">-SUM(D112:D114)</f>
        <v>-122</v>
      </c>
      <c r="E115" s="143">
        <f t="shared" si="16"/>
        <v>-192</v>
      </c>
      <c r="F115" s="143">
        <f t="shared" si="16"/>
        <v>-157</v>
      </c>
      <c r="G115" s="323">
        <f t="shared" si="16"/>
        <v>-189</v>
      </c>
      <c r="H115" s="1"/>
      <c r="I115" s="1"/>
      <c r="J115" s="1"/>
      <c r="K115" s="1"/>
      <c r="L115" s="1"/>
    </row>
    <row r="116" spans="1:12" x14ac:dyDescent="0.25">
      <c r="A116" s="180" t="s">
        <v>337</v>
      </c>
      <c r="B116" s="55"/>
      <c r="C116" s="151">
        <f>SUM(C117:C118)</f>
        <v>130</v>
      </c>
      <c r="D116" s="151">
        <f t="shared" ref="D116:G116" si="17">SUM(D117:D118)</f>
        <v>20</v>
      </c>
      <c r="E116" s="143">
        <f t="shared" si="17"/>
        <v>-91</v>
      </c>
      <c r="F116" s="143">
        <f t="shared" si="17"/>
        <v>11</v>
      </c>
      <c r="G116" s="323">
        <f t="shared" si="17"/>
        <v>-3</v>
      </c>
      <c r="H116" s="1"/>
      <c r="I116" s="1"/>
      <c r="J116" s="1"/>
      <c r="K116" s="1"/>
      <c r="L116" s="1"/>
    </row>
    <row r="117" spans="1:12" x14ac:dyDescent="0.25">
      <c r="A117" s="180" t="s">
        <v>269</v>
      </c>
      <c r="B117" s="55"/>
      <c r="C117" s="151">
        <v>0</v>
      </c>
      <c r="D117" s="151">
        <v>19</v>
      </c>
      <c r="E117" s="143">
        <v>-85</v>
      </c>
      <c r="F117" s="143">
        <v>21</v>
      </c>
      <c r="G117" s="323">
        <v>1</v>
      </c>
      <c r="H117" s="1"/>
      <c r="I117" s="1"/>
      <c r="J117" s="1"/>
      <c r="K117" s="1"/>
      <c r="L117" s="1"/>
    </row>
    <row r="118" spans="1:12" x14ac:dyDescent="0.25">
      <c r="A118" s="180" t="s">
        <v>273</v>
      </c>
      <c r="B118" s="55"/>
      <c r="C118" s="151">
        <v>130</v>
      </c>
      <c r="D118" s="151">
        <v>1</v>
      </c>
      <c r="E118" s="143">
        <v>-6</v>
      </c>
      <c r="F118" s="143">
        <v>-10</v>
      </c>
      <c r="G118" s="323">
        <v>-4</v>
      </c>
      <c r="H118" s="1"/>
      <c r="I118" s="1"/>
      <c r="J118" s="1"/>
      <c r="K118" s="1"/>
      <c r="L118" s="1"/>
    </row>
    <row r="119" spans="1:12" x14ac:dyDescent="0.25">
      <c r="A119" s="180"/>
      <c r="B119" s="55"/>
      <c r="C119" s="151"/>
      <c r="D119" s="151"/>
      <c r="E119" s="143"/>
      <c r="F119" s="143"/>
      <c r="G119" s="323"/>
      <c r="H119" s="1"/>
      <c r="I119" s="1"/>
      <c r="J119" s="1"/>
      <c r="K119" s="1"/>
      <c r="L119" s="1"/>
    </row>
    <row r="120" spans="1:12" ht="15.75" thickBot="1" x14ac:dyDescent="0.3">
      <c r="A120" s="364" t="s">
        <v>338</v>
      </c>
      <c r="B120" s="449"/>
      <c r="C120" s="347">
        <f>SUM(C107,C115:C116)</f>
        <v>75</v>
      </c>
      <c r="D120" s="347">
        <f>SUM(D107,D115:D116)</f>
        <v>232</v>
      </c>
      <c r="E120" s="450">
        <f>SUM(E107,E115:E116)</f>
        <v>293</v>
      </c>
      <c r="F120" s="450">
        <f>SUM(F107,F115:F116)</f>
        <v>344</v>
      </c>
      <c r="G120" s="348">
        <f>SUM(G107,G115:G116)</f>
        <v>389</v>
      </c>
      <c r="H120" s="1"/>
      <c r="I120" s="1"/>
      <c r="J120" s="1"/>
      <c r="K120" s="1"/>
      <c r="L120" s="1"/>
    </row>
    <row r="121" spans="1:12" x14ac:dyDescent="0.25">
      <c r="A121" s="1"/>
      <c r="B121" s="1"/>
      <c r="C121" s="1"/>
      <c r="D121" s="1"/>
      <c r="E121" s="1"/>
      <c r="F121" s="1"/>
      <c r="G121" s="1"/>
      <c r="H121" s="1"/>
      <c r="I121" s="1"/>
      <c r="J121" s="1"/>
      <c r="K121" s="1"/>
      <c r="L121" s="1"/>
    </row>
    <row r="122" spans="1:12" ht="15.75" thickBot="1" x14ac:dyDescent="0.3">
      <c r="A122" s="1"/>
      <c r="B122" s="1"/>
      <c r="C122" s="1"/>
      <c r="D122" s="1"/>
      <c r="E122" s="1"/>
      <c r="F122" s="1"/>
      <c r="G122" s="1"/>
      <c r="H122" s="1"/>
      <c r="I122" s="1"/>
      <c r="J122" s="1"/>
      <c r="K122" s="1"/>
      <c r="L122" s="1"/>
    </row>
    <row r="123" spans="1:12" ht="24" x14ac:dyDescent="0.4">
      <c r="A123" s="367" t="s">
        <v>348</v>
      </c>
      <c r="B123" s="256"/>
      <c r="C123" s="257"/>
      <c r="D123" s="257"/>
      <c r="E123" s="257"/>
      <c r="F123" s="258"/>
      <c r="G123" s="1"/>
      <c r="H123" s="1"/>
      <c r="I123" s="1"/>
      <c r="J123" s="1"/>
      <c r="K123" s="1"/>
      <c r="L123" s="1"/>
    </row>
    <row r="124" spans="1:12" x14ac:dyDescent="0.25">
      <c r="A124" s="259"/>
      <c r="B124" s="64"/>
      <c r="C124" s="579" t="s">
        <v>163</v>
      </c>
      <c r="D124" s="579"/>
      <c r="E124" s="579"/>
      <c r="F124" s="580"/>
      <c r="G124" s="1"/>
      <c r="H124" s="1"/>
      <c r="I124" s="1"/>
      <c r="J124" s="1"/>
      <c r="K124" s="1"/>
      <c r="L124" s="1"/>
    </row>
    <row r="125" spans="1:12" x14ac:dyDescent="0.25">
      <c r="A125" s="260"/>
      <c r="B125" s="125" t="s">
        <v>1</v>
      </c>
      <c r="C125" s="112">
        <v>42735</v>
      </c>
      <c r="D125" s="112">
        <v>43100</v>
      </c>
      <c r="E125" s="112">
        <v>43465</v>
      </c>
      <c r="F125" s="261">
        <v>43830</v>
      </c>
      <c r="G125" s="1"/>
      <c r="H125" s="1"/>
      <c r="I125" s="1"/>
      <c r="J125" s="1"/>
      <c r="K125" s="1"/>
      <c r="L125" s="1"/>
    </row>
    <row r="126" spans="1:12" x14ac:dyDescent="0.25">
      <c r="A126" s="180"/>
      <c r="B126" s="5"/>
      <c r="C126" s="31"/>
      <c r="D126" s="29"/>
      <c r="E126" s="29"/>
      <c r="F126" s="263"/>
      <c r="G126" s="1"/>
      <c r="H126" s="1"/>
      <c r="I126" s="1"/>
      <c r="J126" s="1"/>
      <c r="K126" s="1"/>
      <c r="L126" s="1"/>
    </row>
    <row r="127" spans="1:12" x14ac:dyDescent="0.25">
      <c r="A127" s="321" t="s">
        <v>303</v>
      </c>
      <c r="B127" s="5"/>
      <c r="C127" s="183">
        <v>443</v>
      </c>
      <c r="D127" s="184">
        <v>710</v>
      </c>
      <c r="E127" s="184">
        <v>588</v>
      </c>
      <c r="F127" s="264">
        <v>687</v>
      </c>
      <c r="G127" s="1"/>
      <c r="H127" s="1"/>
      <c r="I127" s="1"/>
      <c r="J127" s="1"/>
      <c r="K127" s="1"/>
      <c r="L127" s="1"/>
    </row>
    <row r="128" spans="1:12" x14ac:dyDescent="0.25">
      <c r="A128" s="180" t="s">
        <v>349</v>
      </c>
      <c r="B128" s="5"/>
      <c r="C128" s="185">
        <v>-122</v>
      </c>
      <c r="D128" s="186">
        <v>-192</v>
      </c>
      <c r="E128" s="186">
        <v>-157</v>
      </c>
      <c r="F128" s="265">
        <v>-189</v>
      </c>
      <c r="G128" s="1"/>
      <c r="H128" s="1"/>
      <c r="I128" s="1"/>
      <c r="J128" s="1"/>
      <c r="K128" s="1"/>
      <c r="L128" s="1"/>
    </row>
    <row r="129" spans="1:12" x14ac:dyDescent="0.25">
      <c r="A129" s="180" t="s">
        <v>378</v>
      </c>
      <c r="B129" s="5"/>
      <c r="C129" s="181">
        <v>-39.814371257485028</v>
      </c>
      <c r="D129" s="182">
        <v>-44.666666666666664</v>
      </c>
      <c r="E129" s="182">
        <v>-31.400000000000002</v>
      </c>
      <c r="F129" s="451">
        <v>-34.481927710843372</v>
      </c>
      <c r="G129" s="1"/>
      <c r="H129" s="1"/>
      <c r="I129" s="1"/>
      <c r="J129" s="1"/>
      <c r="K129" s="1"/>
      <c r="L129" s="1"/>
    </row>
    <row r="130" spans="1:12" x14ac:dyDescent="0.25">
      <c r="A130" s="357" t="s">
        <v>350</v>
      </c>
      <c r="B130" s="25"/>
      <c r="C130" s="187">
        <f>C127+C128+C129</f>
        <v>281.18562874251495</v>
      </c>
      <c r="D130" s="187">
        <f t="shared" ref="D130:F130" si="18">D127+D128+D129</f>
        <v>473.33333333333331</v>
      </c>
      <c r="E130" s="187">
        <f t="shared" si="18"/>
        <v>399.6</v>
      </c>
      <c r="F130" s="454">
        <f t="shared" si="18"/>
        <v>463.51807228915663</v>
      </c>
      <c r="G130" s="1"/>
      <c r="H130" s="1"/>
      <c r="I130" s="1"/>
      <c r="J130" s="1"/>
      <c r="K130" s="1"/>
      <c r="L130" s="1"/>
    </row>
    <row r="131" spans="1:12" x14ac:dyDescent="0.25">
      <c r="A131" s="180"/>
      <c r="B131" s="5"/>
      <c r="C131" s="185"/>
      <c r="D131" s="186"/>
      <c r="E131" s="186"/>
      <c r="F131" s="265"/>
      <c r="G131" s="1"/>
      <c r="H131" s="1"/>
      <c r="I131" s="1"/>
      <c r="J131" s="1"/>
      <c r="K131" s="1"/>
      <c r="L131" s="1"/>
    </row>
    <row r="132" spans="1:12" x14ac:dyDescent="0.25">
      <c r="A132" s="180" t="s">
        <v>372</v>
      </c>
      <c r="B132" s="5"/>
      <c r="C132" s="185">
        <v>25</v>
      </c>
      <c r="D132" s="186">
        <v>12</v>
      </c>
      <c r="E132" s="186">
        <v>-40</v>
      </c>
      <c r="F132" s="265">
        <v>3</v>
      </c>
      <c r="G132" s="1"/>
      <c r="H132" s="1"/>
      <c r="I132" s="1"/>
      <c r="J132" s="1"/>
      <c r="K132" s="1"/>
      <c r="L132" s="1"/>
    </row>
    <row r="133" spans="1:12" x14ac:dyDescent="0.25">
      <c r="A133" s="180" t="s">
        <v>351</v>
      </c>
      <c r="B133" s="5"/>
      <c r="C133" s="185">
        <v>-336</v>
      </c>
      <c r="D133" s="186">
        <v>150</v>
      </c>
      <c r="E133" s="186">
        <v>-110</v>
      </c>
      <c r="F133" s="265">
        <v>-71</v>
      </c>
      <c r="G133" s="1"/>
      <c r="H133" s="1"/>
      <c r="I133" s="1"/>
      <c r="J133" s="1"/>
      <c r="K133" s="1"/>
      <c r="L133" s="1"/>
    </row>
    <row r="134" spans="1:12" x14ac:dyDescent="0.25">
      <c r="A134" s="180" t="s">
        <v>371</v>
      </c>
      <c r="B134" s="5"/>
      <c r="C134" s="185">
        <v>214</v>
      </c>
      <c r="D134" s="186">
        <v>-3</v>
      </c>
      <c r="E134" s="186">
        <v>32</v>
      </c>
      <c r="F134" s="265">
        <v>68</v>
      </c>
      <c r="G134" s="1"/>
      <c r="H134" s="1"/>
      <c r="I134" s="1"/>
      <c r="J134" s="1"/>
      <c r="K134" s="1"/>
      <c r="L134" s="1"/>
    </row>
    <row r="135" spans="1:12" x14ac:dyDescent="0.25">
      <c r="A135" s="357" t="s">
        <v>373</v>
      </c>
      <c r="B135" s="25"/>
      <c r="C135" s="187">
        <f>C132+C133+C134</f>
        <v>-97</v>
      </c>
      <c r="D135" s="187">
        <f t="shared" ref="D135:F135" si="19">D132+D133+D134</f>
        <v>159</v>
      </c>
      <c r="E135" s="187">
        <f t="shared" si="19"/>
        <v>-118</v>
      </c>
      <c r="F135" s="454">
        <f t="shared" si="19"/>
        <v>0</v>
      </c>
      <c r="G135" s="1"/>
      <c r="H135" s="1"/>
      <c r="I135" s="1"/>
      <c r="J135" s="1"/>
      <c r="K135" s="1"/>
      <c r="L135" s="1"/>
    </row>
    <row r="136" spans="1:12" x14ac:dyDescent="0.25">
      <c r="A136" s="180"/>
      <c r="B136" s="5"/>
      <c r="C136" s="185"/>
      <c r="D136" s="186"/>
      <c r="E136" s="186"/>
      <c r="F136" s="265"/>
      <c r="G136" s="1"/>
      <c r="H136" s="1"/>
      <c r="I136" s="1"/>
      <c r="J136" s="1"/>
      <c r="K136" s="1"/>
      <c r="L136" s="1"/>
    </row>
    <row r="137" spans="1:12" x14ac:dyDescent="0.25">
      <c r="A137" s="180" t="s">
        <v>352</v>
      </c>
      <c r="B137" s="5"/>
      <c r="C137" s="185">
        <v>-8</v>
      </c>
      <c r="D137" s="186">
        <v>-82</v>
      </c>
      <c r="E137" s="186">
        <v>69</v>
      </c>
      <c r="F137" s="265">
        <v>-167</v>
      </c>
      <c r="G137" s="1"/>
      <c r="H137" s="1"/>
      <c r="I137" s="1"/>
      <c r="J137" s="1"/>
      <c r="K137" s="1"/>
      <c r="L137" s="1"/>
    </row>
    <row r="138" spans="1:12" x14ac:dyDescent="0.25">
      <c r="A138" s="180" t="s">
        <v>353</v>
      </c>
      <c r="B138" s="5"/>
      <c r="C138" s="185">
        <v>218</v>
      </c>
      <c r="D138" s="186">
        <v>-224</v>
      </c>
      <c r="E138" s="186">
        <v>99</v>
      </c>
      <c r="F138" s="265">
        <v>241</v>
      </c>
      <c r="G138" s="1"/>
      <c r="H138" s="1"/>
      <c r="I138" s="1"/>
      <c r="J138" s="1"/>
      <c r="K138" s="1"/>
      <c r="L138" s="1"/>
    </row>
    <row r="139" spans="1:12" x14ac:dyDescent="0.25">
      <c r="A139" s="357" t="s">
        <v>374</v>
      </c>
      <c r="B139" s="25"/>
      <c r="C139" s="187">
        <f>C135+C137+C138</f>
        <v>113</v>
      </c>
      <c r="D139" s="187">
        <f t="shared" ref="D139:F139" si="20">D135+D137+D138</f>
        <v>-147</v>
      </c>
      <c r="E139" s="187">
        <f t="shared" si="20"/>
        <v>50</v>
      </c>
      <c r="F139" s="454">
        <f t="shared" si="20"/>
        <v>74</v>
      </c>
      <c r="G139" s="1"/>
      <c r="H139" s="1"/>
      <c r="I139" s="1"/>
      <c r="J139" s="1"/>
      <c r="K139" s="1"/>
      <c r="L139" s="1"/>
    </row>
    <row r="140" spans="1:12" x14ac:dyDescent="0.25">
      <c r="A140" s="180"/>
      <c r="B140" s="5"/>
      <c r="C140" s="185"/>
      <c r="D140" s="186"/>
      <c r="E140" s="186"/>
      <c r="F140" s="265"/>
      <c r="G140" s="1"/>
      <c r="H140" s="1"/>
      <c r="I140" s="1"/>
      <c r="J140" s="1"/>
      <c r="K140" s="1"/>
      <c r="L140" s="1"/>
    </row>
    <row r="141" spans="1:12" x14ac:dyDescent="0.25">
      <c r="A141" s="180" t="s">
        <v>354</v>
      </c>
      <c r="B141" s="5"/>
      <c r="C141" s="185">
        <v>-1066</v>
      </c>
      <c r="D141" s="186">
        <v>-80</v>
      </c>
      <c r="E141" s="186">
        <v>-1076</v>
      </c>
      <c r="F141" s="265">
        <v>-837</v>
      </c>
      <c r="G141" s="1"/>
      <c r="H141" s="1"/>
      <c r="I141" s="1"/>
      <c r="J141" s="1"/>
      <c r="K141" s="1"/>
      <c r="L141" s="1"/>
    </row>
    <row r="142" spans="1:12" x14ac:dyDescent="0.25">
      <c r="A142" s="180" t="s">
        <v>355</v>
      </c>
      <c r="B142" s="5"/>
      <c r="C142" s="185">
        <v>648</v>
      </c>
      <c r="D142" s="186">
        <v>444</v>
      </c>
      <c r="E142" s="186">
        <v>623</v>
      </c>
      <c r="F142" s="265">
        <v>511</v>
      </c>
      <c r="G142" s="1"/>
      <c r="H142" s="1"/>
      <c r="I142" s="1"/>
      <c r="J142" s="1"/>
      <c r="K142" s="1"/>
      <c r="L142" s="1"/>
    </row>
    <row r="143" spans="1:12" x14ac:dyDescent="0.25">
      <c r="A143" s="180" t="s">
        <v>356</v>
      </c>
      <c r="B143" s="5"/>
      <c r="C143" s="185">
        <v>95</v>
      </c>
      <c r="D143" s="185">
        <v>-46</v>
      </c>
      <c r="E143" s="185">
        <v>17</v>
      </c>
      <c r="F143" s="268">
        <v>34</v>
      </c>
      <c r="G143" s="1"/>
      <c r="H143" s="1"/>
      <c r="I143" s="1"/>
      <c r="J143" s="1"/>
      <c r="K143" s="1"/>
      <c r="L143" s="1"/>
    </row>
    <row r="144" spans="1:12" x14ac:dyDescent="0.25">
      <c r="A144" s="180" t="s">
        <v>357</v>
      </c>
      <c r="B144" s="5"/>
      <c r="C144" s="185">
        <v>33</v>
      </c>
      <c r="D144" s="185">
        <v>-46</v>
      </c>
      <c r="E144" s="185">
        <v>-5</v>
      </c>
      <c r="F144" s="268">
        <v>-7</v>
      </c>
      <c r="G144" s="1"/>
      <c r="H144" s="1"/>
      <c r="I144" s="1"/>
      <c r="J144" s="1"/>
      <c r="K144" s="1"/>
      <c r="L144" s="1"/>
    </row>
    <row r="145" spans="1:12" x14ac:dyDescent="0.25">
      <c r="A145" s="180" t="s">
        <v>370</v>
      </c>
      <c r="B145" s="5"/>
      <c r="C145" s="185">
        <v>-33</v>
      </c>
      <c r="D145" s="185">
        <v>40</v>
      </c>
      <c r="E145" s="185">
        <v>37</v>
      </c>
      <c r="F145" s="268">
        <v>-13</v>
      </c>
      <c r="G145" s="1"/>
      <c r="H145" s="1"/>
      <c r="I145" s="1"/>
      <c r="J145" s="1"/>
      <c r="K145" s="1"/>
      <c r="L145" s="1"/>
    </row>
    <row r="146" spans="1:12" x14ac:dyDescent="0.25">
      <c r="A146" s="180" t="s">
        <v>358</v>
      </c>
      <c r="B146" s="5"/>
      <c r="C146" s="185">
        <v>20</v>
      </c>
      <c r="D146" s="186">
        <v>-91</v>
      </c>
      <c r="E146" s="186">
        <v>11</v>
      </c>
      <c r="F146" s="265">
        <v>-3</v>
      </c>
      <c r="G146" s="1"/>
      <c r="H146" s="1"/>
      <c r="I146" s="1"/>
      <c r="J146" s="1"/>
      <c r="K146" s="1"/>
      <c r="L146" s="1"/>
    </row>
    <row r="147" spans="1:12" x14ac:dyDescent="0.25">
      <c r="A147" s="368" t="s">
        <v>359</v>
      </c>
      <c r="B147" s="20"/>
      <c r="C147" s="189">
        <f>C130+C139+SUM(C141:C146)</f>
        <v>91.18562874251495</v>
      </c>
      <c r="D147" s="189">
        <f t="shared" ref="D147:F147" si="21">D130+D139+SUM(D141:D146)</f>
        <v>547.33333333333326</v>
      </c>
      <c r="E147" s="189">
        <f t="shared" si="21"/>
        <v>56.600000000000023</v>
      </c>
      <c r="F147" s="269">
        <f t="shared" si="21"/>
        <v>222.51807228915663</v>
      </c>
      <c r="G147" s="1"/>
      <c r="H147" s="1"/>
      <c r="I147" s="1"/>
      <c r="J147" s="1"/>
      <c r="K147" s="1"/>
      <c r="L147" s="1"/>
    </row>
    <row r="148" spans="1:12" x14ac:dyDescent="0.25">
      <c r="A148" s="180" t="s">
        <v>360</v>
      </c>
      <c r="B148" s="5"/>
      <c r="C148" s="193">
        <f>C147/C127</f>
        <v>0.20583663373028205</v>
      </c>
      <c r="D148" s="193">
        <f t="shared" ref="D148:F148" si="22">D147/D127</f>
        <v>0.77089201877934266</v>
      </c>
      <c r="E148" s="193">
        <f t="shared" si="22"/>
        <v>9.6258503401360579E-2</v>
      </c>
      <c r="F148" s="270">
        <f t="shared" si="22"/>
        <v>0.3238982129390926</v>
      </c>
      <c r="G148" s="1"/>
      <c r="H148" s="1"/>
      <c r="I148" s="1"/>
      <c r="J148" s="1"/>
      <c r="K148" s="1"/>
      <c r="L148" s="1"/>
    </row>
    <row r="149" spans="1:12" x14ac:dyDescent="0.25">
      <c r="A149" s="180"/>
      <c r="B149" s="5"/>
      <c r="C149" s="185"/>
      <c r="D149" s="186"/>
      <c r="E149" s="186"/>
      <c r="F149" s="265"/>
      <c r="G149" s="1"/>
      <c r="H149" s="1"/>
      <c r="I149" s="1"/>
      <c r="J149" s="1"/>
      <c r="K149" s="1"/>
      <c r="L149" s="1"/>
    </row>
    <row r="150" spans="1:12" x14ac:dyDescent="0.25">
      <c r="A150" s="180" t="s">
        <v>361</v>
      </c>
      <c r="B150" s="5"/>
      <c r="C150" s="185">
        <f>C7+C8-D7-D8 +D105</f>
        <v>-109</v>
      </c>
      <c r="D150" s="185">
        <f t="shared" ref="D150:F150" si="23">D7+D8-E7-E8 +E105</f>
        <v>-125</v>
      </c>
      <c r="E150" s="185">
        <f t="shared" si="23"/>
        <v>-50</v>
      </c>
      <c r="F150" s="268">
        <f t="shared" si="23"/>
        <v>-128</v>
      </c>
      <c r="G150" s="1"/>
      <c r="H150" s="1"/>
      <c r="I150" s="1"/>
      <c r="J150" s="1"/>
      <c r="K150" s="1"/>
      <c r="L150" s="1"/>
    </row>
    <row r="151" spans="1:12" x14ac:dyDescent="0.25">
      <c r="A151" s="180" t="s">
        <v>362</v>
      </c>
      <c r="B151" s="5"/>
      <c r="C151" s="185">
        <f>C44-D44</f>
        <v>3</v>
      </c>
      <c r="D151" s="185">
        <f t="shared" ref="D151:F151" si="24">D44-E44</f>
        <v>171</v>
      </c>
      <c r="E151" s="185">
        <f t="shared" si="24"/>
        <v>-263</v>
      </c>
      <c r="F151" s="268">
        <f t="shared" si="24"/>
        <v>-64</v>
      </c>
      <c r="G151" s="1"/>
      <c r="H151" s="1"/>
      <c r="I151" s="1"/>
      <c r="J151" s="1"/>
      <c r="K151" s="1"/>
      <c r="L151" s="1"/>
    </row>
    <row r="152" spans="1:12" x14ac:dyDescent="0.25">
      <c r="A152" s="180" t="s">
        <v>379</v>
      </c>
      <c r="B152" s="5"/>
      <c r="C152" s="250">
        <f>-C129</f>
        <v>39.814371257485028</v>
      </c>
      <c r="D152" s="250">
        <f t="shared" ref="D152:F152" si="25">-D129</f>
        <v>44.666666666666664</v>
      </c>
      <c r="E152" s="250">
        <f t="shared" si="25"/>
        <v>31.400000000000002</v>
      </c>
      <c r="F152" s="455">
        <f t="shared" si="25"/>
        <v>34.481927710843372</v>
      </c>
      <c r="G152" s="1"/>
      <c r="H152" s="1"/>
      <c r="I152" s="1"/>
      <c r="J152" s="1"/>
      <c r="K152" s="1"/>
      <c r="L152" s="1"/>
    </row>
    <row r="153" spans="1:12" x14ac:dyDescent="0.25">
      <c r="A153" s="368" t="s">
        <v>363</v>
      </c>
      <c r="B153" s="20"/>
      <c r="C153" s="452">
        <f>C147+C150+C151+C152</f>
        <v>24.999999999999979</v>
      </c>
      <c r="D153" s="452">
        <f t="shared" ref="D153:F153" si="26">D147+D150+D151+D152</f>
        <v>637.99999999999989</v>
      </c>
      <c r="E153" s="452">
        <f t="shared" si="26"/>
        <v>-224.99999999999997</v>
      </c>
      <c r="F153" s="456">
        <f t="shared" si="26"/>
        <v>65</v>
      </c>
      <c r="G153" s="1"/>
      <c r="H153" s="1"/>
      <c r="I153" s="1"/>
      <c r="J153" s="1"/>
      <c r="K153" s="1"/>
      <c r="L153" s="1"/>
    </row>
    <row r="154" spans="1:12" x14ac:dyDescent="0.25">
      <c r="A154" s="180" t="s">
        <v>364</v>
      </c>
      <c r="B154" s="5"/>
      <c r="C154" s="453">
        <f>C153/C127</f>
        <v>5.6433408577878055E-2</v>
      </c>
      <c r="D154" s="453">
        <f t="shared" ref="D154:F154" si="27">D153/D127</f>
        <v>0.89859154929577445</v>
      </c>
      <c r="E154" s="453">
        <f t="shared" si="27"/>
        <v>-0.38265306122448972</v>
      </c>
      <c r="F154" s="457">
        <f t="shared" si="27"/>
        <v>9.4614264919941779E-2</v>
      </c>
      <c r="G154" s="1"/>
      <c r="H154" s="1"/>
      <c r="I154" s="1"/>
      <c r="J154" s="1"/>
      <c r="K154" s="1"/>
      <c r="L154" s="1"/>
    </row>
    <row r="155" spans="1:12" x14ac:dyDescent="0.25">
      <c r="A155" s="180"/>
      <c r="B155" s="5"/>
      <c r="C155" s="191"/>
      <c r="D155" s="192"/>
      <c r="E155" s="192"/>
      <c r="F155" s="272"/>
      <c r="G155" s="1"/>
      <c r="H155" s="1"/>
      <c r="I155" s="1"/>
      <c r="J155" s="1"/>
      <c r="K155" s="1"/>
      <c r="L155" s="1"/>
    </row>
    <row r="156" spans="1:12" x14ac:dyDescent="0.25">
      <c r="A156" s="180" t="s">
        <v>365</v>
      </c>
      <c r="B156" s="5"/>
      <c r="C156" s="192">
        <f>C38-D38-D120</f>
        <v>-212</v>
      </c>
      <c r="D156" s="192">
        <f t="shared" ref="D156:F156" si="28">D38-E38-E120</f>
        <v>-559</v>
      </c>
      <c r="E156" s="192">
        <f t="shared" si="28"/>
        <v>166</v>
      </c>
      <c r="F156" s="272">
        <f t="shared" si="28"/>
        <v>-261</v>
      </c>
      <c r="G156" s="1"/>
      <c r="H156" s="1"/>
      <c r="I156" s="1"/>
      <c r="J156" s="1"/>
      <c r="K156" s="1"/>
      <c r="L156" s="1"/>
    </row>
    <row r="157" spans="1:12" x14ac:dyDescent="0.25">
      <c r="A157" s="321" t="s">
        <v>366</v>
      </c>
      <c r="B157" s="5"/>
      <c r="C157" s="191">
        <f>C153+C156</f>
        <v>-187.00000000000003</v>
      </c>
      <c r="D157" s="191">
        <f t="shared" ref="D157:F157" si="29">D153+D156</f>
        <v>78.999999999999886</v>
      </c>
      <c r="E157" s="191">
        <f t="shared" si="29"/>
        <v>-58.999999999999972</v>
      </c>
      <c r="F157" s="273">
        <f t="shared" si="29"/>
        <v>-196</v>
      </c>
      <c r="G157" s="1"/>
      <c r="H157" s="1"/>
      <c r="I157" s="1"/>
      <c r="J157" s="1"/>
      <c r="K157" s="1"/>
      <c r="L157" s="1"/>
    </row>
    <row r="158" spans="1:12" x14ac:dyDescent="0.25">
      <c r="A158" s="321" t="s">
        <v>483</v>
      </c>
      <c r="B158" s="5"/>
      <c r="C158" s="191">
        <f>C46-D46</f>
        <v>-47</v>
      </c>
      <c r="D158" s="191">
        <f t="shared" ref="D158:F158" si="30">D46-E46</f>
        <v>210</v>
      </c>
      <c r="E158" s="191">
        <f t="shared" si="30"/>
        <v>-8</v>
      </c>
      <c r="F158" s="273">
        <f t="shared" si="30"/>
        <v>6</v>
      </c>
      <c r="G158" s="1"/>
      <c r="H158" s="1"/>
      <c r="I158" s="1"/>
      <c r="J158" s="1"/>
      <c r="K158" s="1"/>
      <c r="L158" s="1"/>
    </row>
    <row r="159" spans="1:12" x14ac:dyDescent="0.25">
      <c r="A159" s="180"/>
      <c r="B159" s="5"/>
      <c r="C159" s="191"/>
      <c r="D159" s="191"/>
      <c r="E159" s="191"/>
      <c r="F159" s="273"/>
      <c r="G159" s="1"/>
      <c r="H159" s="1"/>
      <c r="I159" s="1"/>
      <c r="J159" s="1"/>
      <c r="K159" s="1"/>
      <c r="L159" s="1"/>
    </row>
    <row r="160" spans="1:12" x14ac:dyDescent="0.25">
      <c r="A160" s="180" t="s">
        <v>367</v>
      </c>
      <c r="B160" s="5"/>
      <c r="C160" s="191">
        <v>636</v>
      </c>
      <c r="D160" s="192">
        <v>402</v>
      </c>
      <c r="E160" s="192">
        <v>691</v>
      </c>
      <c r="F160" s="272">
        <v>624</v>
      </c>
      <c r="G160" s="1"/>
      <c r="H160" s="1"/>
      <c r="I160" s="1"/>
      <c r="J160" s="1"/>
      <c r="K160" s="1"/>
      <c r="L160" s="1"/>
    </row>
    <row r="161" spans="1:12" x14ac:dyDescent="0.25">
      <c r="A161" s="180" t="s">
        <v>368</v>
      </c>
      <c r="B161" s="5"/>
      <c r="C161" s="191">
        <v>402</v>
      </c>
      <c r="D161" s="192">
        <v>691</v>
      </c>
      <c r="E161" s="192">
        <v>624</v>
      </c>
      <c r="F161" s="272">
        <v>434</v>
      </c>
      <c r="G161" s="1"/>
      <c r="H161" s="1"/>
      <c r="I161" s="1"/>
      <c r="J161" s="1"/>
      <c r="K161" s="1"/>
      <c r="L161" s="1"/>
    </row>
    <row r="162" spans="1:12" ht="15.75" thickBot="1" x14ac:dyDescent="0.3">
      <c r="A162" s="369" t="s">
        <v>369</v>
      </c>
      <c r="B162" s="275"/>
      <c r="C162" s="276">
        <v>-234</v>
      </c>
      <c r="D162" s="276">
        <v>289</v>
      </c>
      <c r="E162" s="276">
        <v>-67</v>
      </c>
      <c r="F162" s="277">
        <v>-190</v>
      </c>
      <c r="G162" s="1"/>
      <c r="H162" s="1"/>
      <c r="I162" s="1"/>
      <c r="J162" s="1"/>
      <c r="K162" s="1"/>
      <c r="L162" s="1"/>
    </row>
    <row r="163" spans="1:12" ht="15.75" thickBot="1" x14ac:dyDescent="0.3">
      <c r="A163" s="262"/>
      <c r="B163" s="55"/>
      <c r="C163" s="55"/>
      <c r="D163" s="55"/>
      <c r="E163" s="55"/>
      <c r="F163" s="295"/>
      <c r="G163" s="1"/>
      <c r="H163" s="1"/>
      <c r="I163" s="1"/>
      <c r="J163" s="1"/>
      <c r="K163" s="1"/>
      <c r="L163" s="1"/>
    </row>
    <row r="164" spans="1:12" ht="15.75" thickBot="1" x14ac:dyDescent="0.3">
      <c r="A164" s="278" t="s">
        <v>380</v>
      </c>
      <c r="B164" s="279"/>
      <c r="C164" s="279">
        <f>IF(C157+C158=C162,0,"differentfrom0")</f>
        <v>0</v>
      </c>
      <c r="D164" s="279">
        <f t="shared" ref="D164:F164" si="31">IF(D157+D158=D162,0,"differentfrom0")</f>
        <v>0</v>
      </c>
      <c r="E164" s="279">
        <f t="shared" si="31"/>
        <v>0</v>
      </c>
      <c r="F164" s="280">
        <f t="shared" si="31"/>
        <v>0</v>
      </c>
      <c r="G164" s="1"/>
      <c r="H164" s="1"/>
      <c r="I164" s="1"/>
      <c r="J164" s="1"/>
      <c r="K164" s="1"/>
      <c r="L164" s="1"/>
    </row>
    <row r="165" spans="1:12" x14ac:dyDescent="0.25">
      <c r="A165" s="1"/>
      <c r="B165" s="1"/>
      <c r="C165" s="1"/>
      <c r="D165" s="1"/>
      <c r="E165" s="1"/>
      <c r="F165" s="1"/>
      <c r="G165" s="1"/>
      <c r="H165" s="1"/>
      <c r="I165" s="1"/>
      <c r="J165" s="1"/>
      <c r="K165" s="1"/>
      <c r="L165" s="1"/>
    </row>
    <row r="166" spans="1:12" x14ac:dyDescent="0.25">
      <c r="A166" s="1"/>
      <c r="B166" s="1"/>
      <c r="C166" s="1"/>
      <c r="D166" s="1"/>
      <c r="E166" s="1"/>
      <c r="F166" s="1"/>
      <c r="G166" s="1"/>
      <c r="H166" s="1"/>
      <c r="I166" s="1"/>
      <c r="J166" s="1"/>
      <c r="K166" s="1"/>
      <c r="L166" s="1"/>
    </row>
    <row r="167" spans="1:12" x14ac:dyDescent="0.25">
      <c r="A167" s="1"/>
      <c r="B167" s="1"/>
      <c r="C167" s="1"/>
      <c r="D167" s="1"/>
      <c r="E167" s="1"/>
      <c r="F167" s="1"/>
      <c r="G167" s="1"/>
      <c r="H167" s="1"/>
      <c r="I167" s="1"/>
      <c r="J167" s="1"/>
      <c r="K167" s="1"/>
      <c r="L167" s="1"/>
    </row>
    <row r="168" spans="1:12" x14ac:dyDescent="0.25">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53"/>
  <sheetViews>
    <sheetView topLeftCell="A67" zoomScale="80" zoomScaleNormal="80" workbookViewId="0">
      <selection activeCell="C1" sqref="C1"/>
    </sheetView>
  </sheetViews>
  <sheetFormatPr defaultRowHeight="15" x14ac:dyDescent="0.25"/>
  <cols>
    <col min="1" max="1" width="61.140625" customWidth="1"/>
    <col min="2" max="2" width="9.28515625" customWidth="1"/>
    <col min="3" max="3" width="21.7109375" customWidth="1"/>
    <col min="4" max="4" width="19" customWidth="1"/>
    <col min="5" max="5" width="15.7109375" customWidth="1"/>
    <col min="6" max="6" width="14.28515625" customWidth="1"/>
    <col min="7" max="8" width="15.7109375" customWidth="1"/>
    <col min="9" max="9" width="14.140625" customWidth="1"/>
  </cols>
  <sheetData>
    <row r="1" spans="1:20" ht="26.25" x14ac:dyDescent="0.4">
      <c r="A1" s="529" t="s">
        <v>458</v>
      </c>
      <c r="B1" s="530"/>
      <c r="C1" s="129"/>
      <c r="D1" s="129"/>
      <c r="E1" s="129"/>
      <c r="F1" s="129"/>
      <c r="G1" s="318"/>
    </row>
    <row r="2" spans="1:20" x14ac:dyDescent="0.25">
      <c r="A2" s="319"/>
      <c r="B2" s="573" t="s">
        <v>158</v>
      </c>
      <c r="C2" s="573"/>
      <c r="D2" s="573"/>
      <c r="E2" s="573"/>
      <c r="F2" s="573"/>
      <c r="G2" s="574"/>
    </row>
    <row r="3" spans="1:20" x14ac:dyDescent="0.25">
      <c r="A3" s="260"/>
      <c r="B3" s="126" t="s">
        <v>1</v>
      </c>
      <c r="C3" s="128">
        <v>42461</v>
      </c>
      <c r="D3" s="128">
        <v>42826</v>
      </c>
      <c r="E3" s="128">
        <v>43191</v>
      </c>
      <c r="F3" s="128">
        <v>43556</v>
      </c>
      <c r="G3" s="320">
        <v>43922</v>
      </c>
    </row>
    <row r="4" spans="1:20" x14ac:dyDescent="0.25">
      <c r="A4" s="321"/>
      <c r="B4" s="5"/>
      <c r="C4" s="31"/>
      <c r="D4" s="29"/>
      <c r="E4" s="29"/>
      <c r="F4" s="29"/>
      <c r="G4" s="263"/>
    </row>
    <row r="5" spans="1:20" x14ac:dyDescent="0.25">
      <c r="A5" s="322" t="s">
        <v>328</v>
      </c>
      <c r="B5" s="141"/>
      <c r="C5" s="151">
        <v>5022</v>
      </c>
      <c r="D5" s="151">
        <v>5026</v>
      </c>
      <c r="E5" s="151">
        <f>+(4592)</f>
        <v>4592</v>
      </c>
      <c r="F5" s="151">
        <v>4703</v>
      </c>
      <c r="G5" s="323">
        <v>4917</v>
      </c>
    </row>
    <row r="6" spans="1:20" x14ac:dyDescent="0.25">
      <c r="A6" s="322" t="s">
        <v>329</v>
      </c>
      <c r="B6" s="141"/>
      <c r="C6" s="151">
        <v>1360</v>
      </c>
      <c r="D6" s="151">
        <v>1756</v>
      </c>
      <c r="E6" s="151">
        <v>1902</v>
      </c>
      <c r="F6" s="151">
        <v>2344</v>
      </c>
      <c r="G6" s="323">
        <v>2429</v>
      </c>
    </row>
    <row r="7" spans="1:20" x14ac:dyDescent="0.25">
      <c r="A7" s="322" t="s">
        <v>324</v>
      </c>
      <c r="B7" s="141"/>
      <c r="C7" s="151">
        <f>70+76</f>
        <v>146</v>
      </c>
      <c r="D7" s="151">
        <f>62+78</f>
        <v>140</v>
      </c>
      <c r="E7" s="151">
        <f>+(63+42)</f>
        <v>105</v>
      </c>
      <c r="F7" s="151">
        <f>18+26</f>
        <v>44</v>
      </c>
      <c r="G7" s="323">
        <f>+(24+71)</f>
        <v>95</v>
      </c>
    </row>
    <row r="8" spans="1:20" x14ac:dyDescent="0.25">
      <c r="A8" s="324" t="s">
        <v>330</v>
      </c>
      <c r="B8" s="325"/>
      <c r="C8" s="156">
        <f>SUM(C5:C7)</f>
        <v>6528</v>
      </c>
      <c r="D8" s="156">
        <f>SUM(D5:D7)</f>
        <v>6922</v>
      </c>
      <c r="E8" s="156">
        <f>E5+E6+E7</f>
        <v>6599</v>
      </c>
      <c r="F8" s="156">
        <f>F5+F6+F7</f>
        <v>7091</v>
      </c>
      <c r="G8" s="326">
        <f>SUM(G5:G7)</f>
        <v>7441</v>
      </c>
    </row>
    <row r="9" spans="1:20" x14ac:dyDescent="0.25">
      <c r="A9" s="322"/>
      <c r="B9" s="141"/>
      <c r="C9" s="151"/>
      <c r="D9" s="151"/>
      <c r="E9" s="151"/>
      <c r="F9" s="151"/>
      <c r="G9" s="323"/>
    </row>
    <row r="10" spans="1:20" x14ac:dyDescent="0.25">
      <c r="A10" s="322" t="s">
        <v>319</v>
      </c>
      <c r="B10" s="141"/>
      <c r="C10" s="151">
        <v>98</v>
      </c>
      <c r="D10" s="151">
        <v>118</v>
      </c>
      <c r="E10" s="151">
        <v>80</v>
      </c>
      <c r="F10" s="151">
        <v>119</v>
      </c>
      <c r="G10" s="323">
        <v>104</v>
      </c>
    </row>
    <row r="11" spans="1:20" x14ac:dyDescent="0.25">
      <c r="A11" s="322" t="s">
        <v>320</v>
      </c>
      <c r="B11" s="141"/>
      <c r="C11" s="151">
        <v>1547</v>
      </c>
      <c r="D11" s="151">
        <v>1878</v>
      </c>
      <c r="E11" s="151">
        <f>+(1826)</f>
        <v>1826</v>
      </c>
      <c r="F11" s="151">
        <v>2077</v>
      </c>
      <c r="G11" s="323">
        <v>2056</v>
      </c>
    </row>
    <row r="12" spans="1:20" x14ac:dyDescent="0.25">
      <c r="A12" s="322" t="s">
        <v>325</v>
      </c>
      <c r="B12" s="141"/>
      <c r="C12" s="151">
        <v>-1012</v>
      </c>
      <c r="D12" s="151">
        <f>-(1151)</f>
        <v>-1151</v>
      </c>
      <c r="E12" s="151">
        <f>-(1150)</f>
        <v>-1150</v>
      </c>
      <c r="F12" s="151">
        <f>-(1321)</f>
        <v>-1321</v>
      </c>
      <c r="G12" s="323">
        <f>-(1323)</f>
        <v>-1323</v>
      </c>
    </row>
    <row r="13" spans="1:20" x14ac:dyDescent="0.25">
      <c r="A13" s="327" t="s">
        <v>331</v>
      </c>
      <c r="B13" s="328"/>
      <c r="C13" s="159">
        <f>SUM(C10:C12)</f>
        <v>633</v>
      </c>
      <c r="D13" s="159">
        <f>SUM(D10:D12)</f>
        <v>845</v>
      </c>
      <c r="E13" s="159">
        <f>E10+E11+E12</f>
        <v>756</v>
      </c>
      <c r="F13" s="159">
        <f>F10+F11+F12</f>
        <v>875</v>
      </c>
      <c r="G13" s="329">
        <f>G10+G11+G12</f>
        <v>837</v>
      </c>
    </row>
    <row r="14" spans="1:20" x14ac:dyDescent="0.25">
      <c r="A14" s="330"/>
      <c r="B14" s="140"/>
      <c r="C14" s="151"/>
      <c r="D14" s="151"/>
      <c r="E14" s="151"/>
      <c r="F14" s="151"/>
      <c r="G14" s="331"/>
    </row>
    <row r="15" spans="1:20" x14ac:dyDescent="0.25">
      <c r="A15" s="332" t="s">
        <v>459</v>
      </c>
      <c r="B15" s="141"/>
      <c r="C15" s="151"/>
      <c r="D15" s="151"/>
      <c r="E15" s="151"/>
      <c r="F15" s="151"/>
      <c r="G15" s="323"/>
      <c r="H15" s="312"/>
      <c r="I15" s="312"/>
      <c r="J15" s="55"/>
      <c r="K15" s="312"/>
      <c r="L15" s="312"/>
      <c r="M15" s="55"/>
    </row>
    <row r="16" spans="1:20" x14ac:dyDescent="0.25">
      <c r="A16" s="322" t="s">
        <v>321</v>
      </c>
      <c r="B16" s="141"/>
      <c r="C16" s="151">
        <v>335</v>
      </c>
      <c r="D16" s="151">
        <v>248</v>
      </c>
      <c r="E16" s="151">
        <v>201</v>
      </c>
      <c r="F16" s="151">
        <v>391</v>
      </c>
      <c r="G16" s="323">
        <v>946</v>
      </c>
      <c r="H16" s="55"/>
      <c r="I16" s="55"/>
      <c r="J16" s="55"/>
      <c r="K16" s="55"/>
      <c r="L16" s="55"/>
      <c r="M16" s="55"/>
      <c r="N16" s="55"/>
      <c r="O16" s="55"/>
      <c r="P16" s="55"/>
      <c r="Q16" s="55"/>
      <c r="R16" s="55"/>
      <c r="S16" s="55"/>
      <c r="T16" s="55"/>
    </row>
    <row r="17" spans="1:20" x14ac:dyDescent="0.25">
      <c r="A17" s="322" t="s">
        <v>322</v>
      </c>
      <c r="B17" s="141"/>
      <c r="C17" s="151">
        <v>233</v>
      </c>
      <c r="D17" s="151">
        <v>200</v>
      </c>
      <c r="E17" s="151">
        <f>+(7)</f>
        <v>7</v>
      </c>
      <c r="F17" s="151">
        <v>11</v>
      </c>
      <c r="G17" s="323">
        <v>13</v>
      </c>
      <c r="H17" s="55"/>
      <c r="I17" s="55"/>
      <c r="J17" s="55"/>
      <c r="K17" s="55"/>
      <c r="L17" s="55"/>
      <c r="M17" s="55"/>
      <c r="N17" s="55"/>
      <c r="O17" s="55"/>
      <c r="P17" s="55"/>
      <c r="Q17" s="55"/>
      <c r="R17" s="55"/>
      <c r="S17" s="55"/>
      <c r="T17" s="55"/>
    </row>
    <row r="18" spans="1:20" ht="12.6" customHeight="1" x14ac:dyDescent="0.25">
      <c r="A18" s="333" t="s">
        <v>31</v>
      </c>
      <c r="B18" s="153"/>
      <c r="C18" s="151">
        <v>6</v>
      </c>
      <c r="D18" s="151">
        <v>22</v>
      </c>
      <c r="E18" s="151">
        <v>8</v>
      </c>
      <c r="F18" s="151">
        <v>22</v>
      </c>
      <c r="G18" s="323">
        <v>28</v>
      </c>
      <c r="H18" s="55"/>
      <c r="I18" s="55"/>
      <c r="J18" s="55"/>
      <c r="K18" s="55"/>
      <c r="L18" s="55"/>
      <c r="M18" s="55"/>
      <c r="N18" s="55"/>
      <c r="O18" s="55"/>
      <c r="P18" s="55"/>
      <c r="Q18" s="55"/>
      <c r="R18" s="55"/>
      <c r="S18" s="55"/>
      <c r="T18" s="55"/>
    </row>
    <row r="19" spans="1:20" x14ac:dyDescent="0.25">
      <c r="A19" s="322" t="s">
        <v>75</v>
      </c>
      <c r="B19" s="141"/>
      <c r="C19" s="151">
        <v>69</v>
      </c>
      <c r="D19" s="151">
        <v>70</v>
      </c>
      <c r="E19" s="151">
        <v>67</v>
      </c>
      <c r="F19" s="151">
        <v>49</v>
      </c>
      <c r="G19" s="331">
        <v>51</v>
      </c>
      <c r="H19" s="55"/>
      <c r="I19" s="55"/>
      <c r="J19" s="55"/>
      <c r="K19" s="55"/>
      <c r="L19" s="55"/>
      <c r="M19" s="55"/>
      <c r="N19" s="55"/>
      <c r="O19" s="55"/>
      <c r="P19" s="55"/>
      <c r="Q19" s="55"/>
      <c r="R19" s="55"/>
      <c r="S19" s="55"/>
      <c r="T19" s="55"/>
    </row>
    <row r="20" spans="1:20" ht="15" customHeight="1" x14ac:dyDescent="0.25">
      <c r="A20" s="333" t="s">
        <v>323</v>
      </c>
      <c r="B20" s="141"/>
      <c r="C20" s="151">
        <v>2</v>
      </c>
      <c r="D20" s="151">
        <f>+(2)</f>
        <v>2</v>
      </c>
      <c r="E20" s="151">
        <v>226</v>
      </c>
      <c r="F20" s="151">
        <v>110</v>
      </c>
      <c r="G20" s="323">
        <v>0</v>
      </c>
      <c r="H20" s="55"/>
      <c r="I20" s="55"/>
      <c r="J20" s="55"/>
      <c r="K20" s="55"/>
      <c r="L20" s="55"/>
      <c r="M20" s="55"/>
      <c r="N20" s="55"/>
      <c r="O20" s="55"/>
      <c r="P20" s="55"/>
      <c r="Q20" s="55"/>
      <c r="R20" s="55"/>
      <c r="S20" s="55"/>
      <c r="T20" s="55"/>
    </row>
    <row r="21" spans="1:20" x14ac:dyDescent="0.25">
      <c r="A21" s="332" t="s">
        <v>343</v>
      </c>
      <c r="B21" s="141"/>
      <c r="C21" s="151"/>
      <c r="D21" s="151"/>
      <c r="E21" s="151"/>
      <c r="F21" s="151"/>
      <c r="G21" s="334"/>
      <c r="H21" s="55"/>
      <c r="I21" s="55"/>
      <c r="J21" s="55"/>
      <c r="K21" s="55"/>
      <c r="L21" s="55"/>
      <c r="M21" s="55"/>
      <c r="N21" s="55"/>
      <c r="O21" s="55"/>
      <c r="P21" s="55"/>
      <c r="Q21" s="55"/>
      <c r="R21" s="55"/>
      <c r="S21" s="55"/>
      <c r="T21" s="55"/>
    </row>
    <row r="22" spans="1:20" x14ac:dyDescent="0.25">
      <c r="A22" s="322" t="s">
        <v>120</v>
      </c>
      <c r="B22" s="141"/>
      <c r="C22" s="151">
        <v>-95</v>
      </c>
      <c r="D22" s="151">
        <v>-109</v>
      </c>
      <c r="E22" s="151">
        <f>-(154)</f>
        <v>-154</v>
      </c>
      <c r="F22" s="151">
        <v>-151</v>
      </c>
      <c r="G22" s="323">
        <f>-(154)</f>
        <v>-154</v>
      </c>
      <c r="H22" s="55"/>
      <c r="I22" s="55"/>
      <c r="J22" s="55"/>
      <c r="K22" s="55"/>
      <c r="L22" s="55"/>
      <c r="M22" s="55"/>
      <c r="N22" s="55"/>
      <c r="O22" s="55"/>
      <c r="P22" s="55"/>
      <c r="Q22" s="55"/>
      <c r="R22" s="55"/>
      <c r="S22" s="55"/>
      <c r="T22" s="55"/>
    </row>
    <row r="23" spans="1:20" x14ac:dyDescent="0.25">
      <c r="A23" s="322" t="s">
        <v>153</v>
      </c>
      <c r="B23" s="141"/>
      <c r="C23" s="151">
        <v>-85</v>
      </c>
      <c r="D23" s="151">
        <f>-(103)</f>
        <v>-103</v>
      </c>
      <c r="E23" s="151">
        <f>-(41)</f>
        <v>-41</v>
      </c>
      <c r="F23" s="151">
        <v>-91</v>
      </c>
      <c r="G23" s="323">
        <f>-(53)</f>
        <v>-53</v>
      </c>
      <c r="H23" s="55"/>
      <c r="I23" s="55"/>
      <c r="J23" s="55"/>
      <c r="K23" s="55"/>
      <c r="L23" s="55"/>
      <c r="M23" s="55"/>
      <c r="N23" s="55"/>
      <c r="O23" s="55"/>
      <c r="P23" s="55"/>
      <c r="Q23" s="55"/>
      <c r="R23" s="55"/>
      <c r="S23" s="55"/>
      <c r="T23" s="55"/>
    </row>
    <row r="24" spans="1:20" x14ac:dyDescent="0.25">
      <c r="A24" s="322" t="s">
        <v>326</v>
      </c>
      <c r="B24" s="141"/>
      <c r="C24" s="151">
        <v>-707</v>
      </c>
      <c r="D24" s="151">
        <f>-(681)</f>
        <v>-681</v>
      </c>
      <c r="E24" s="151">
        <f>-(632)</f>
        <v>-632</v>
      </c>
      <c r="F24" s="151">
        <v>-882</v>
      </c>
      <c r="G24" s="323">
        <f>-(1352)</f>
        <v>-1352</v>
      </c>
      <c r="H24" s="55"/>
      <c r="I24" s="55"/>
      <c r="J24" s="55"/>
      <c r="K24" s="55"/>
      <c r="L24" s="55"/>
      <c r="M24" s="55"/>
      <c r="N24" s="55"/>
      <c r="O24" s="55"/>
      <c r="P24" s="55"/>
      <c r="Q24" s="55"/>
      <c r="R24" s="55"/>
      <c r="S24" s="55"/>
      <c r="T24" s="55"/>
    </row>
    <row r="25" spans="1:20" x14ac:dyDescent="0.25">
      <c r="A25" s="322" t="s">
        <v>377</v>
      </c>
      <c r="B25" s="141"/>
      <c r="C25" s="151">
        <v>0</v>
      </c>
      <c r="D25" s="151">
        <f>-(2)</f>
        <v>-2</v>
      </c>
      <c r="E25" s="151">
        <v>0</v>
      </c>
      <c r="F25" s="151">
        <v>0</v>
      </c>
      <c r="G25" s="323">
        <v>0</v>
      </c>
      <c r="H25" s="55"/>
      <c r="I25" s="55"/>
      <c r="J25" s="55"/>
      <c r="K25" s="55"/>
      <c r="L25" s="55"/>
      <c r="M25" s="55"/>
      <c r="N25" s="55"/>
      <c r="O25" s="55"/>
      <c r="P25" s="55"/>
      <c r="Q25" s="55"/>
      <c r="R25" s="55"/>
      <c r="S25" s="55"/>
      <c r="T25" s="55"/>
    </row>
    <row r="26" spans="1:20" x14ac:dyDescent="0.25">
      <c r="A26" s="324" t="s">
        <v>332</v>
      </c>
      <c r="B26" s="325"/>
      <c r="C26" s="156">
        <f>C13+SUM(C16:C25)</f>
        <v>391</v>
      </c>
      <c r="D26" s="156">
        <f>D13+SUM(D16:D25)</f>
        <v>492</v>
      </c>
      <c r="E26" s="156">
        <f>E13+E16+E17+E18+E19+E20+E22+E23+E24+E25</f>
        <v>438</v>
      </c>
      <c r="F26" s="156">
        <f>F13+F16+F17+F18+F19+F20+F22+F23+F24</f>
        <v>334</v>
      </c>
      <c r="G26" s="335">
        <f>G13+G16+G17+G18+G19+G20+G22+G23+G24+G25</f>
        <v>316</v>
      </c>
      <c r="H26" s="55"/>
      <c r="I26" s="55"/>
      <c r="J26" s="55"/>
      <c r="K26" s="55"/>
      <c r="L26" s="55"/>
      <c r="M26" s="55"/>
      <c r="N26" s="55"/>
      <c r="O26" s="55"/>
      <c r="P26" s="55"/>
      <c r="Q26" s="55"/>
      <c r="R26" s="55"/>
      <c r="S26" s="55"/>
      <c r="T26" s="55"/>
    </row>
    <row r="27" spans="1:20" x14ac:dyDescent="0.25">
      <c r="A27" s="322"/>
      <c r="B27" s="141"/>
      <c r="C27" s="151"/>
      <c r="D27" s="151"/>
      <c r="E27" s="151"/>
      <c r="F27" s="151"/>
      <c r="G27" s="323"/>
      <c r="H27" s="55"/>
      <c r="I27" s="55"/>
      <c r="J27" s="55"/>
      <c r="K27" s="55"/>
      <c r="L27" s="55"/>
      <c r="M27" s="55"/>
      <c r="N27" s="55"/>
      <c r="O27" s="55"/>
      <c r="P27" s="55"/>
      <c r="Q27" s="55"/>
      <c r="R27" s="55"/>
      <c r="S27" s="55"/>
      <c r="T27" s="55"/>
    </row>
    <row r="28" spans="1:20" x14ac:dyDescent="0.25">
      <c r="A28" s="322" t="s">
        <v>376</v>
      </c>
      <c r="B28" s="141"/>
      <c r="C28" s="151">
        <v>305</v>
      </c>
      <c r="D28" s="151">
        <f>+(357)</f>
        <v>357</v>
      </c>
      <c r="E28" s="151">
        <f>+(295)</f>
        <v>295</v>
      </c>
      <c r="F28" s="151">
        <v>274</v>
      </c>
      <c r="G28" s="323">
        <f>+(286)</f>
        <v>286</v>
      </c>
      <c r="H28" s="55"/>
      <c r="I28" s="55"/>
      <c r="J28" s="55"/>
      <c r="K28" s="55"/>
      <c r="L28" s="55"/>
      <c r="M28" s="55"/>
      <c r="N28" s="55"/>
      <c r="O28" s="55"/>
      <c r="P28" s="55"/>
      <c r="Q28" s="55"/>
      <c r="R28" s="55"/>
      <c r="S28" s="55"/>
      <c r="T28" s="55"/>
    </row>
    <row r="29" spans="1:20" x14ac:dyDescent="0.25">
      <c r="A29" s="322" t="s">
        <v>113</v>
      </c>
      <c r="B29" s="141"/>
      <c r="C29" s="151">
        <v>-327</v>
      </c>
      <c r="D29" s="151">
        <f>-(359)</f>
        <v>-359</v>
      </c>
      <c r="E29" s="151">
        <f>-(315)</f>
        <v>-315</v>
      </c>
      <c r="F29" s="151">
        <v>-311</v>
      </c>
      <c r="G29" s="323">
        <f>-(300)</f>
        <v>-300</v>
      </c>
      <c r="H29" s="55"/>
      <c r="I29" s="55"/>
      <c r="J29" s="55"/>
      <c r="K29" s="55"/>
      <c r="L29" s="55"/>
      <c r="M29" s="55"/>
      <c r="N29" s="55"/>
      <c r="O29" s="55"/>
      <c r="P29" s="55"/>
      <c r="Q29" s="55"/>
      <c r="R29" s="55"/>
      <c r="S29" s="55"/>
      <c r="T29" s="55"/>
    </row>
    <row r="30" spans="1:20" x14ac:dyDescent="0.25">
      <c r="A30" s="322" t="s">
        <v>327</v>
      </c>
      <c r="B30" s="141"/>
      <c r="C30" s="151">
        <f>-(604)</f>
        <v>-604</v>
      </c>
      <c r="D30" s="151">
        <f>-(666)</f>
        <v>-666</v>
      </c>
      <c r="E30" s="151">
        <f>-(626)</f>
        <v>-626</v>
      </c>
      <c r="F30" s="151">
        <f>-(637)</f>
        <v>-637</v>
      </c>
      <c r="G30" s="323">
        <f>-(668)</f>
        <v>-668</v>
      </c>
    </row>
    <row r="31" spans="1:20" x14ac:dyDescent="0.25">
      <c r="A31" s="336" t="s">
        <v>333</v>
      </c>
      <c r="B31" s="337"/>
      <c r="C31" s="155">
        <f>C8+C26+SUM(C28:C30)</f>
        <v>6293</v>
      </c>
      <c r="D31" s="155">
        <f>D8+D26+D28+D29+D30</f>
        <v>6746</v>
      </c>
      <c r="E31" s="155">
        <f>E8+E26+E28+E29+E30</f>
        <v>6391</v>
      </c>
      <c r="F31" s="155">
        <f>F8+F26+F28+F29+F30</f>
        <v>6751</v>
      </c>
      <c r="G31" s="338">
        <f>G8+G26+G28+G29+G30</f>
        <v>7075</v>
      </c>
    </row>
    <row r="32" spans="1:20" x14ac:dyDescent="0.25">
      <c r="A32" s="322"/>
      <c r="B32" s="141"/>
      <c r="C32" s="151"/>
      <c r="D32" s="143"/>
      <c r="E32" s="143"/>
      <c r="F32" s="143"/>
      <c r="G32" s="323"/>
    </row>
    <row r="33" spans="1:22" x14ac:dyDescent="0.25">
      <c r="A33" s="322"/>
      <c r="B33" s="141"/>
      <c r="C33" s="151"/>
      <c r="D33" s="143"/>
      <c r="E33" s="143"/>
      <c r="F33" s="143"/>
      <c r="G33" s="323"/>
    </row>
    <row r="34" spans="1:22" x14ac:dyDescent="0.25">
      <c r="A34" s="322"/>
      <c r="B34" s="141"/>
      <c r="C34" s="151"/>
      <c r="D34" s="143"/>
      <c r="E34" s="143"/>
      <c r="F34" s="143"/>
      <c r="G34" s="323"/>
    </row>
    <row r="35" spans="1:22" x14ac:dyDescent="0.25">
      <c r="A35" s="339" t="s">
        <v>340</v>
      </c>
      <c r="B35" s="340"/>
      <c r="C35" s="156">
        <v>-3132</v>
      </c>
      <c r="D35" s="156">
        <f>-(3462)</f>
        <v>-3462</v>
      </c>
      <c r="E35" s="156">
        <f>-(3191)</f>
        <v>-3191</v>
      </c>
      <c r="F35" s="156">
        <f>-(3614)</f>
        <v>-3614</v>
      </c>
      <c r="G35" s="326">
        <f>-(3746)</f>
        <v>-3746</v>
      </c>
    </row>
    <row r="36" spans="1:22" x14ac:dyDescent="0.25">
      <c r="A36" s="322"/>
      <c r="B36" s="141"/>
      <c r="C36" s="151"/>
      <c r="D36" s="151"/>
      <c r="E36" s="151"/>
      <c r="F36" s="151"/>
      <c r="G36" s="323"/>
    </row>
    <row r="37" spans="1:22" x14ac:dyDescent="0.25">
      <c r="A37" s="322" t="s">
        <v>105</v>
      </c>
      <c r="B37" s="141"/>
      <c r="C37" s="151">
        <v>-3090</v>
      </c>
      <c r="D37" s="151">
        <f>-(3730)</f>
        <v>-3730</v>
      </c>
      <c r="E37" s="151">
        <f>-(3515)</f>
        <v>-3515</v>
      </c>
      <c r="F37" s="151">
        <f>-(3074)</f>
        <v>-3074</v>
      </c>
      <c r="G37" s="323">
        <f>-(3052)</f>
        <v>-3052</v>
      </c>
    </row>
    <row r="38" spans="1:22" x14ac:dyDescent="0.25">
      <c r="A38" s="322" t="s">
        <v>150</v>
      </c>
      <c r="B38" s="141"/>
      <c r="C38" s="151">
        <v>-630</v>
      </c>
      <c r="D38" s="151">
        <f>-(243)</f>
        <v>-243</v>
      </c>
      <c r="E38" s="151">
        <f>-(411)</f>
        <v>-411</v>
      </c>
      <c r="F38" s="151">
        <f>-(667)</f>
        <v>-667</v>
      </c>
      <c r="G38" s="323">
        <f>-(584)</f>
        <v>-584</v>
      </c>
    </row>
    <row r="39" spans="1:22" x14ac:dyDescent="0.25">
      <c r="A39" s="341" t="s">
        <v>339</v>
      </c>
      <c r="B39" s="342"/>
      <c r="C39" s="159">
        <f>C37+C38</f>
        <v>-3720</v>
      </c>
      <c r="D39" s="159">
        <f>D37+D38</f>
        <v>-3973</v>
      </c>
      <c r="E39" s="159">
        <f>E37+E38</f>
        <v>-3926</v>
      </c>
      <c r="F39" s="159">
        <f>F37+F38</f>
        <v>-3741</v>
      </c>
      <c r="G39" s="343">
        <f>G37+G38</f>
        <v>-3636</v>
      </c>
    </row>
    <row r="40" spans="1:22" x14ac:dyDescent="0.25">
      <c r="A40" s="332"/>
      <c r="B40" s="142"/>
      <c r="C40" s="151"/>
      <c r="D40" s="151"/>
      <c r="E40" s="151"/>
      <c r="F40" s="151"/>
      <c r="G40" s="344"/>
    </row>
    <row r="41" spans="1:22" x14ac:dyDescent="0.25">
      <c r="A41" s="322" t="s">
        <v>77</v>
      </c>
      <c r="B41" s="141"/>
      <c r="C41" s="151">
        <v>559</v>
      </c>
      <c r="D41" s="151">
        <f>+(689)</f>
        <v>689</v>
      </c>
      <c r="E41" s="151">
        <v>726</v>
      </c>
      <c r="F41" s="151">
        <v>604</v>
      </c>
      <c r="G41" s="323">
        <f>+(307)</f>
        <v>307</v>
      </c>
    </row>
    <row r="42" spans="1:22" x14ac:dyDescent="0.25">
      <c r="A42" s="324" t="s">
        <v>334</v>
      </c>
      <c r="B42" s="325"/>
      <c r="C42" s="156">
        <f>C39+C41</f>
        <v>-3161</v>
      </c>
      <c r="D42" s="156">
        <f>D39+D41</f>
        <v>-3284</v>
      </c>
      <c r="E42" s="156">
        <f>E39+E41</f>
        <v>-3200</v>
      </c>
      <c r="F42" s="156">
        <f>F39+F41</f>
        <v>-3137</v>
      </c>
      <c r="G42" s="326">
        <f>G39+G41</f>
        <v>-3329</v>
      </c>
    </row>
    <row r="43" spans="1:22" x14ac:dyDescent="0.25">
      <c r="A43" s="322"/>
      <c r="B43" s="141"/>
      <c r="C43" s="151"/>
      <c r="D43" s="151"/>
      <c r="E43" s="151"/>
      <c r="F43" s="151"/>
      <c r="G43" s="323"/>
      <c r="O43" s="249"/>
      <c r="P43" s="249"/>
      <c r="Q43" s="249"/>
    </row>
    <row r="44" spans="1:22" ht="15.75" thickBot="1" x14ac:dyDescent="0.3">
      <c r="A44" s="345" t="s">
        <v>333</v>
      </c>
      <c r="B44" s="346"/>
      <c r="C44" s="347">
        <f>C35+C42</f>
        <v>-6293</v>
      </c>
      <c r="D44" s="347">
        <f>D35+D42</f>
        <v>-6746</v>
      </c>
      <c r="E44" s="347">
        <f>E35+E42</f>
        <v>-6391</v>
      </c>
      <c r="F44" s="347">
        <f>F35+F42</f>
        <v>-6751</v>
      </c>
      <c r="G44" s="348">
        <f>G35+G42</f>
        <v>-7075</v>
      </c>
      <c r="L44" s="249"/>
      <c r="M44" s="249"/>
      <c r="O44" s="249"/>
      <c r="P44" s="249"/>
      <c r="Q44" s="249"/>
    </row>
    <row r="45" spans="1:22" x14ac:dyDescent="0.25">
      <c r="L45" s="249"/>
      <c r="M45" s="249"/>
      <c r="O45" s="249"/>
      <c r="P45" s="249"/>
      <c r="Q45" s="249"/>
    </row>
    <row r="46" spans="1:22" x14ac:dyDescent="0.25">
      <c r="A46" s="317" t="s">
        <v>460</v>
      </c>
      <c r="B46" s="317"/>
      <c r="C46" s="317" t="str">
        <f t="shared" ref="C46:F46" si="0">IF(C31+C44=0,"Correct","Incorrect")</f>
        <v>Correct</v>
      </c>
      <c r="D46" s="317" t="str">
        <f t="shared" si="0"/>
        <v>Correct</v>
      </c>
      <c r="E46" s="317" t="str">
        <f t="shared" si="0"/>
        <v>Correct</v>
      </c>
      <c r="F46" s="317" t="str">
        <f t="shared" si="0"/>
        <v>Correct</v>
      </c>
      <c r="G46" s="317" t="str">
        <f>IF(G31+G44=0,"Correct","Incorrect")</f>
        <v>Correct</v>
      </c>
      <c r="L46" s="249"/>
      <c r="M46" s="249"/>
      <c r="O46" s="249"/>
      <c r="P46" s="249"/>
      <c r="Q46" s="249"/>
    </row>
    <row r="47" spans="1:22" ht="15.75" thickBot="1" x14ac:dyDescent="0.3">
      <c r="L47" s="249"/>
      <c r="M47" s="249"/>
      <c r="O47" s="249"/>
      <c r="P47" s="249"/>
      <c r="Q47" s="249"/>
    </row>
    <row r="48" spans="1:22" ht="24" x14ac:dyDescent="0.4">
      <c r="A48" s="349" t="s">
        <v>445</v>
      </c>
      <c r="B48" s="350"/>
      <c r="C48" s="350"/>
      <c r="D48" s="350"/>
      <c r="E48" s="350"/>
      <c r="F48" s="350"/>
      <c r="G48" s="351"/>
      <c r="H48" s="283"/>
      <c r="I48" s="283"/>
      <c r="J48" s="283"/>
      <c r="K48" s="283"/>
      <c r="L48" s="283"/>
      <c r="M48" s="283"/>
      <c r="N48" s="283"/>
      <c r="O48" s="283"/>
      <c r="P48" s="283"/>
      <c r="Q48" s="283"/>
      <c r="R48" s="283"/>
      <c r="S48" s="283"/>
      <c r="T48" s="283"/>
      <c r="U48" s="283"/>
      <c r="V48" s="283"/>
    </row>
    <row r="49" spans="1:22" x14ac:dyDescent="0.25">
      <c r="A49" s="352"/>
      <c r="B49" s="111"/>
      <c r="C49" s="577" t="s">
        <v>163</v>
      </c>
      <c r="D49" s="577"/>
      <c r="E49" s="577"/>
      <c r="F49" s="577"/>
      <c r="G49" s="578"/>
      <c r="H49" s="283"/>
      <c r="I49" s="283"/>
      <c r="J49" s="283"/>
      <c r="K49" s="283"/>
      <c r="L49" s="283"/>
      <c r="M49" s="283"/>
      <c r="N49" s="283"/>
      <c r="O49" s="283"/>
      <c r="P49" s="283"/>
      <c r="Q49" s="283"/>
      <c r="R49" s="283"/>
      <c r="S49" s="283"/>
      <c r="T49" s="283"/>
      <c r="U49" s="283"/>
      <c r="V49" s="283"/>
    </row>
    <row r="50" spans="1:22" x14ac:dyDescent="0.25">
      <c r="A50" s="353"/>
      <c r="B50" s="125" t="s">
        <v>1</v>
      </c>
      <c r="C50" s="112" t="s">
        <v>448</v>
      </c>
      <c r="D50" s="313" t="s">
        <v>449</v>
      </c>
      <c r="E50" s="313" t="s">
        <v>450</v>
      </c>
      <c r="F50" s="313" t="s">
        <v>451</v>
      </c>
      <c r="G50" s="354" t="s">
        <v>452</v>
      </c>
      <c r="H50" s="283"/>
      <c r="I50" s="283"/>
      <c r="J50" s="283"/>
      <c r="K50" s="283"/>
      <c r="L50" s="283"/>
      <c r="M50" s="283"/>
      <c r="N50" s="283"/>
      <c r="O50" s="283"/>
      <c r="P50" s="283"/>
      <c r="Q50" s="283"/>
      <c r="R50" s="283"/>
      <c r="S50" s="283"/>
      <c r="T50" s="283"/>
      <c r="U50" s="283"/>
      <c r="V50" s="283"/>
    </row>
    <row r="51" spans="1:22" x14ac:dyDescent="0.25">
      <c r="A51" s="355"/>
      <c r="B51" s="171"/>
      <c r="C51" s="177"/>
      <c r="D51" s="178"/>
      <c r="E51" s="178"/>
      <c r="F51" s="178"/>
      <c r="G51" s="356"/>
      <c r="H51" s="283"/>
      <c r="I51" s="283"/>
      <c r="J51" s="283"/>
      <c r="K51" s="283"/>
      <c r="L51" s="283"/>
      <c r="M51" s="283"/>
      <c r="N51" s="283"/>
      <c r="O51" s="283"/>
      <c r="P51" s="283"/>
      <c r="Q51" s="283"/>
      <c r="R51" s="283"/>
      <c r="S51" s="283"/>
      <c r="T51" s="283"/>
      <c r="U51" s="283"/>
      <c r="V51" s="283"/>
    </row>
    <row r="52" spans="1:22" x14ac:dyDescent="0.25">
      <c r="A52" s="321" t="s">
        <v>345</v>
      </c>
      <c r="B52" s="171"/>
      <c r="C52" s="150">
        <f>(1287-1379) + 'Reorganised Statements'!D52</f>
        <v>4829</v>
      </c>
      <c r="D52" s="145">
        <f>(1812-1622) + 'Reorganised Statements'!E52</f>
        <v>5050</v>
      </c>
      <c r="E52" s="145">
        <f>(1812-1622) + 'Reorganised Statements'!F52</f>
        <v>5986</v>
      </c>
      <c r="F52" s="145">
        <f>(2119-1812) + 'Reorganised Statements'!G52</f>
        <v>6801</v>
      </c>
      <c r="G52" s="331">
        <f>1707-2110 +'Reorganised Statements'!H52</f>
        <v>6921</v>
      </c>
      <c r="H52" s="316"/>
      <c r="I52" s="283"/>
      <c r="J52" s="316"/>
      <c r="K52" s="316"/>
      <c r="L52" s="283"/>
      <c r="M52" s="316"/>
      <c r="N52" s="316"/>
      <c r="O52" s="283"/>
      <c r="P52" s="316"/>
      <c r="Q52" s="316"/>
      <c r="R52" s="283"/>
      <c r="S52" s="316"/>
      <c r="T52" s="316"/>
      <c r="U52" s="283"/>
      <c r="V52" s="283"/>
    </row>
    <row r="53" spans="1:22" x14ac:dyDescent="0.25">
      <c r="A53" s="180" t="s">
        <v>446</v>
      </c>
      <c r="B53" s="171"/>
      <c r="C53" s="151">
        <f>-(817-885) +SUM('Reorganised Statements'!D58:D60)</f>
        <v>-3176</v>
      </c>
      <c r="D53" s="143">
        <f>-(1239 - 1069)+SUM('Reorganised Statements'!E58:E60)</f>
        <v>-3272</v>
      </c>
      <c r="E53" s="143">
        <f>-(1239 - 1069)+SUM('Reorganised Statements'!F58:F60)</f>
        <v>-4132</v>
      </c>
      <c r="F53" s="143">
        <f>-(1605-1239)+SUM('Reorganised Statements'!G58:G60)</f>
        <v>-4964</v>
      </c>
      <c r="G53" s="323">
        <f>-(1196-1605) + SUM('Reorganised Statements'!H58:H60)</f>
        <v>-4981</v>
      </c>
      <c r="H53" s="283"/>
      <c r="I53" s="283"/>
      <c r="J53" s="283"/>
      <c r="K53" s="283"/>
      <c r="L53" s="283"/>
      <c r="M53" s="283"/>
      <c r="N53" s="283"/>
      <c r="O53" s="283"/>
      <c r="P53" s="283"/>
      <c r="Q53" s="283"/>
      <c r="R53" s="283"/>
      <c r="S53" s="283"/>
      <c r="T53" s="283"/>
      <c r="U53" s="283"/>
      <c r="V53" s="283"/>
    </row>
    <row r="54" spans="1:22" x14ac:dyDescent="0.25">
      <c r="A54" s="180" t="s">
        <v>447</v>
      </c>
      <c r="B54" s="171"/>
      <c r="C54" s="143">
        <f>-(165-160) + 'Reorganised Statements'!D61</f>
        <v>-634</v>
      </c>
      <c r="D54" s="143">
        <f>-(165-160) + 'Reorganised Statements'!E61</f>
        <v>-601</v>
      </c>
      <c r="E54" s="143">
        <f>-(165-160) + 'Reorganised Statements'!F61</f>
        <v>-640</v>
      </c>
      <c r="F54" s="143">
        <f>-(177-165)+'Reorganised Statements'!G61</f>
        <v>-677</v>
      </c>
      <c r="G54" s="323">
        <f xml:space="preserve"> -(180-177)+'Reorganised Statements'!H61</f>
        <v>-703</v>
      </c>
      <c r="H54" s="283"/>
      <c r="I54" s="283"/>
      <c r="J54" s="283"/>
      <c r="K54" s="283"/>
      <c r="L54" s="283"/>
      <c r="M54" s="283"/>
      <c r="N54" s="283"/>
      <c r="O54" s="283"/>
      <c r="P54" s="283"/>
      <c r="Q54" s="283"/>
      <c r="R54" s="283"/>
      <c r="S54" s="283"/>
      <c r="T54" s="283"/>
      <c r="U54" s="283"/>
      <c r="V54" s="283"/>
    </row>
    <row r="55" spans="1:22" x14ac:dyDescent="0.25">
      <c r="A55" s="321"/>
      <c r="B55" s="171"/>
      <c r="C55" s="151"/>
      <c r="D55" s="151"/>
      <c r="E55" s="143"/>
      <c r="F55" s="143"/>
      <c r="G55" s="323"/>
      <c r="H55" s="283"/>
      <c r="I55" s="283"/>
      <c r="J55" s="283"/>
      <c r="K55" s="283"/>
      <c r="L55" s="283"/>
      <c r="M55" s="283"/>
      <c r="N55" s="283"/>
      <c r="O55" s="283"/>
      <c r="P55" s="283"/>
      <c r="Q55" s="283"/>
      <c r="R55" s="283"/>
      <c r="S55" s="283"/>
      <c r="T55" s="283"/>
      <c r="U55" s="283"/>
      <c r="V55" s="283"/>
    </row>
    <row r="56" spans="1:22" x14ac:dyDescent="0.25">
      <c r="A56" s="357" t="s">
        <v>306</v>
      </c>
      <c r="B56" s="175"/>
      <c r="C56" s="146">
        <f>SUM(C52:C54)</f>
        <v>1019</v>
      </c>
      <c r="D56" s="146">
        <f>SUM(D52:D54)</f>
        <v>1177</v>
      </c>
      <c r="E56" s="146">
        <f>SUM(E52:E54)</f>
        <v>1214</v>
      </c>
      <c r="F56" s="326">
        <f>SUM(F52:F54)</f>
        <v>1160</v>
      </c>
      <c r="G56" s="326">
        <f>SUM(G52:G54)</f>
        <v>1237</v>
      </c>
      <c r="H56" s="283"/>
      <c r="I56" s="283"/>
      <c r="J56" s="283"/>
      <c r="K56" s="283"/>
      <c r="L56" s="283"/>
      <c r="M56" s="283"/>
      <c r="N56" s="283"/>
      <c r="O56" s="283"/>
      <c r="P56" s="283"/>
      <c r="Q56" s="283"/>
      <c r="R56" s="283"/>
      <c r="S56" s="283"/>
      <c r="T56" s="283"/>
      <c r="U56" s="283"/>
      <c r="V56" s="283"/>
    </row>
    <row r="57" spans="1:22" x14ac:dyDescent="0.25">
      <c r="A57" s="180" t="s">
        <v>453</v>
      </c>
      <c r="B57" s="171"/>
      <c r="C57" s="145">
        <f>-(121-110) + 'Reorganised Statements'!D72+'Reorganised Statements'!D76</f>
        <v>-844</v>
      </c>
      <c r="D57" s="145">
        <f>-(121-110) + 'Reorganised Statements'!E72+'Reorganised Statements'!E76</f>
        <v>-730</v>
      </c>
      <c r="E57" s="145">
        <f>-(121-110) + 'Reorganised Statements'!F72+'Reorganised Statements'!F76</f>
        <v>-500</v>
      </c>
      <c r="F57" s="145">
        <f>-(131-121) + 'Reorganised Statements'!G72+'Reorganised Statements'!G76</f>
        <v>-653</v>
      </c>
      <c r="G57" s="331">
        <f>-(135-131) + 'Reorganised Statements'!H72+'Reorganised Statements'!H76</f>
        <v>-551</v>
      </c>
      <c r="H57" s="283"/>
      <c r="I57" s="283"/>
      <c r="J57" s="283"/>
      <c r="K57" s="283"/>
      <c r="L57" s="283"/>
      <c r="M57" s="283"/>
      <c r="N57" s="283"/>
      <c r="O57" s="283"/>
      <c r="P57" s="283"/>
      <c r="Q57" s="283"/>
      <c r="R57" s="283"/>
      <c r="S57" s="283"/>
      <c r="T57" s="283"/>
      <c r="U57" s="283"/>
      <c r="V57" s="283"/>
    </row>
    <row r="58" spans="1:22" x14ac:dyDescent="0.25">
      <c r="A58" s="321"/>
      <c r="B58" s="171"/>
      <c r="C58" s="151"/>
      <c r="D58" s="151"/>
      <c r="E58" s="145"/>
      <c r="F58" s="145"/>
      <c r="G58" s="331"/>
      <c r="H58" s="283"/>
      <c r="I58" s="283"/>
      <c r="J58" s="283"/>
      <c r="K58" s="283"/>
      <c r="L58" s="283"/>
      <c r="M58" s="283"/>
      <c r="N58" s="283"/>
      <c r="O58" s="283"/>
      <c r="P58" s="283"/>
      <c r="Q58" s="283"/>
      <c r="R58" s="283"/>
      <c r="S58" s="283"/>
      <c r="T58" s="283"/>
      <c r="U58" s="283"/>
      <c r="V58" s="283"/>
    </row>
    <row r="59" spans="1:22" x14ac:dyDescent="0.25">
      <c r="A59" s="357" t="s">
        <v>303</v>
      </c>
      <c r="B59" s="175"/>
      <c r="C59" s="326">
        <f>C56+C57</f>
        <v>175</v>
      </c>
      <c r="D59" s="326">
        <f>D56+D57</f>
        <v>447</v>
      </c>
      <c r="E59" s="326">
        <f>E56+E57</f>
        <v>714</v>
      </c>
      <c r="F59" s="326">
        <f>F56+F57</f>
        <v>507</v>
      </c>
      <c r="G59" s="326">
        <f>G56+G57</f>
        <v>686</v>
      </c>
      <c r="H59" s="283"/>
      <c r="I59" s="283"/>
      <c r="J59" s="283"/>
      <c r="K59" s="283"/>
      <c r="L59" s="283"/>
      <c r="M59" s="283"/>
      <c r="N59" s="283"/>
      <c r="O59" s="283"/>
      <c r="P59" s="283"/>
      <c r="Q59" s="283"/>
      <c r="R59" s="283"/>
      <c r="S59" s="283"/>
      <c r="T59" s="283"/>
      <c r="U59" s="283"/>
      <c r="V59" s="283"/>
    </row>
    <row r="60" spans="1:22" x14ac:dyDescent="0.25">
      <c r="A60" s="180" t="s">
        <v>454</v>
      </c>
      <c r="B60" s="171"/>
      <c r="C60" s="143">
        <f>(0-0) + 'Reorganised Statements'!D82</f>
        <v>1</v>
      </c>
      <c r="D60" s="143">
        <f>(0-0) + 'Reorganised Statements'!E82</f>
        <v>52</v>
      </c>
      <c r="E60" s="143">
        <f>(0-0) + 'Reorganised Statements'!F82</f>
        <v>0</v>
      </c>
      <c r="F60" s="143">
        <f xml:space="preserve"> (0-0) + 'Reorganised Statements'!G82</f>
        <v>14</v>
      </c>
      <c r="G60" s="323">
        <f>'Reorganised Statements'!H82+0</f>
        <v>4</v>
      </c>
      <c r="H60" s="283"/>
      <c r="I60" s="283"/>
      <c r="J60" s="283"/>
      <c r="K60" s="283"/>
      <c r="L60" s="283"/>
      <c r="M60" s="283"/>
      <c r="N60" s="283"/>
      <c r="O60" s="283"/>
      <c r="P60" s="283"/>
      <c r="Q60" s="283"/>
      <c r="R60" s="283"/>
      <c r="S60" s="283"/>
      <c r="T60" s="283"/>
      <c r="U60" s="283"/>
      <c r="V60" s="283"/>
    </row>
    <row r="61" spans="1:22" x14ac:dyDescent="0.25">
      <c r="A61" s="180" t="s">
        <v>442</v>
      </c>
      <c r="B61" s="312"/>
      <c r="C61" s="315">
        <f>-(29-25) + 'Reorganised Statements'!D83</f>
        <v>-142</v>
      </c>
      <c r="D61" s="315">
        <f>-(29-25) + 'Reorganised Statements'!E83</f>
        <v>-165</v>
      </c>
      <c r="E61" s="315">
        <f>-(29-25) + 'Reorganised Statements'!F83</f>
        <v>-138</v>
      </c>
      <c r="F61" s="315">
        <f>-(24-29) + 'Reorganised Statements'!G83</f>
        <v>-107</v>
      </c>
      <c r="G61" s="268">
        <f>-(18-24) + 'Reorganised Statements'!H83</f>
        <v>-104</v>
      </c>
      <c r="H61" s="283"/>
      <c r="I61" s="283"/>
      <c r="J61" s="283"/>
      <c r="K61" s="283"/>
      <c r="L61" s="283"/>
      <c r="M61" s="283"/>
      <c r="N61" s="283"/>
      <c r="O61" s="283"/>
      <c r="P61" s="283"/>
      <c r="Q61" s="283"/>
      <c r="R61" s="283"/>
      <c r="S61" s="283"/>
      <c r="T61" s="283"/>
      <c r="U61" s="283"/>
      <c r="V61" s="283"/>
    </row>
    <row r="62" spans="1:22" x14ac:dyDescent="0.25">
      <c r="A62" s="358" t="s">
        <v>361</v>
      </c>
      <c r="B62" s="171"/>
      <c r="C62" s="244">
        <f>C60+C61</f>
        <v>-141</v>
      </c>
      <c r="D62" s="244">
        <f>D60+D61</f>
        <v>-113</v>
      </c>
      <c r="E62" s="244">
        <f>E60+E61</f>
        <v>-138</v>
      </c>
      <c r="F62" s="244">
        <f>F60+F61</f>
        <v>-93</v>
      </c>
      <c r="G62" s="244">
        <f>G60+G61</f>
        <v>-100</v>
      </c>
      <c r="H62" s="283"/>
      <c r="I62" s="283"/>
      <c r="J62" s="283"/>
      <c r="K62" s="283"/>
      <c r="L62" s="283"/>
      <c r="M62" s="283"/>
      <c r="N62" s="283"/>
      <c r="O62" s="283"/>
      <c r="P62" s="283"/>
      <c r="Q62" s="283"/>
      <c r="R62" s="283"/>
      <c r="S62" s="283"/>
      <c r="T62" s="283"/>
      <c r="U62" s="283"/>
      <c r="V62" s="283"/>
    </row>
    <row r="63" spans="1:22" x14ac:dyDescent="0.25">
      <c r="A63" s="357" t="s">
        <v>304</v>
      </c>
      <c r="B63" s="175"/>
      <c r="C63" s="146">
        <f>C59+C62</f>
        <v>34</v>
      </c>
      <c r="D63" s="146">
        <f>D59+D62</f>
        <v>334</v>
      </c>
      <c r="E63" s="146">
        <f>E59+E62</f>
        <v>576</v>
      </c>
      <c r="F63" s="146">
        <f>F59+F62</f>
        <v>414</v>
      </c>
      <c r="G63" s="146">
        <f>G59+G62</f>
        <v>586</v>
      </c>
      <c r="H63" s="283"/>
      <c r="I63" s="283"/>
      <c r="J63" s="283"/>
      <c r="K63" s="283"/>
      <c r="L63" s="283"/>
      <c r="M63" s="283"/>
      <c r="N63" s="283"/>
      <c r="O63" s="283"/>
      <c r="P63" s="283"/>
      <c r="Q63" s="283"/>
      <c r="R63" s="283"/>
      <c r="S63" s="283"/>
      <c r="T63" s="283"/>
      <c r="U63" s="283"/>
      <c r="V63" s="283"/>
    </row>
    <row r="64" spans="1:22" x14ac:dyDescent="0.25">
      <c r="A64" s="359" t="s">
        <v>455</v>
      </c>
      <c r="B64" s="171"/>
      <c r="C64" s="176">
        <f>-(83-78) + 'Reorganised Statements'!D109</f>
        <v>-138</v>
      </c>
      <c r="D64" s="176">
        <f>-(83-78) + 'Reorganised Statements'!E109</f>
        <v>-127</v>
      </c>
      <c r="E64" s="176">
        <f>-(83-78) + 'Reorganised Statements'!F109</f>
        <v>-197</v>
      </c>
      <c r="F64" s="176">
        <f>-(59-83) + 'Reorganised Statements'!G109</f>
        <v>-133</v>
      </c>
      <c r="G64" s="360">
        <f>-(58-59)+'Reorganised Statements'!H109</f>
        <v>-188</v>
      </c>
      <c r="H64" s="283"/>
      <c r="I64" s="283"/>
      <c r="J64" s="283"/>
      <c r="K64" s="283"/>
      <c r="L64" s="283"/>
      <c r="M64" s="283"/>
      <c r="N64" s="283"/>
      <c r="O64" s="283"/>
      <c r="P64" s="283"/>
      <c r="Q64" s="283"/>
      <c r="R64" s="283"/>
      <c r="S64" s="283"/>
      <c r="T64" s="283"/>
      <c r="U64" s="283"/>
      <c r="V64" s="283"/>
    </row>
    <row r="65" spans="1:22" x14ac:dyDescent="0.25">
      <c r="A65" s="361" t="s">
        <v>443</v>
      </c>
      <c r="B65" s="314"/>
      <c r="C65" s="362">
        <f>C63+C64</f>
        <v>-104</v>
      </c>
      <c r="D65" s="362">
        <f>D63+D64</f>
        <v>207</v>
      </c>
      <c r="E65" s="362">
        <f>E63+E64</f>
        <v>379</v>
      </c>
      <c r="F65" s="362">
        <f>F63+F64</f>
        <v>281</v>
      </c>
      <c r="G65" s="362">
        <f>G63+G64</f>
        <v>398</v>
      </c>
      <c r="H65" s="283"/>
      <c r="I65" s="283"/>
      <c r="J65" s="283"/>
      <c r="K65" s="283"/>
      <c r="L65" s="283"/>
      <c r="M65" s="283"/>
      <c r="N65" s="283"/>
      <c r="O65" s="283"/>
      <c r="P65" s="283"/>
      <c r="Q65" s="283"/>
      <c r="R65" s="283"/>
      <c r="S65" s="283"/>
      <c r="T65" s="283"/>
      <c r="U65" s="283"/>
      <c r="V65" s="283"/>
    </row>
    <row r="66" spans="1:22" x14ac:dyDescent="0.25">
      <c r="A66" s="180" t="s">
        <v>444</v>
      </c>
      <c r="B66" s="171"/>
      <c r="C66" s="143">
        <f>(2-4) + 'Reorganised Statements'!D111</f>
        <v>-2</v>
      </c>
      <c r="D66" s="143">
        <f>(2-4) + 'Reorganised Statements'!E111</f>
        <v>17</v>
      </c>
      <c r="E66" s="143">
        <f>(2-4) + 'Reorganised Statements'!F111</f>
        <v>-87</v>
      </c>
      <c r="F66" s="143">
        <f>(0-2) + 'Reorganised Statements'!G111</f>
        <v>19</v>
      </c>
      <c r="G66" s="323">
        <f xml:space="preserve">  0 + 'Reorganised Statements'!H111</f>
        <v>1</v>
      </c>
      <c r="H66" s="283"/>
      <c r="I66" s="283"/>
      <c r="J66" s="283"/>
      <c r="K66" s="283"/>
      <c r="L66" s="283"/>
      <c r="M66" s="283"/>
      <c r="N66" s="283"/>
      <c r="O66" s="283"/>
      <c r="P66" s="283"/>
      <c r="Q66" s="283"/>
      <c r="R66" s="283"/>
      <c r="S66" s="283"/>
      <c r="T66" s="283"/>
      <c r="U66" s="283"/>
      <c r="V66" s="283"/>
    </row>
    <row r="67" spans="1:22" x14ac:dyDescent="0.25">
      <c r="A67" s="180"/>
      <c r="B67" s="171"/>
      <c r="C67" s="143"/>
      <c r="D67" s="143"/>
      <c r="E67" s="143"/>
      <c r="F67" s="143"/>
      <c r="G67" s="323"/>
      <c r="H67" s="283"/>
      <c r="I67" s="283"/>
      <c r="J67" s="283"/>
      <c r="K67" s="283"/>
      <c r="L67" s="283"/>
      <c r="M67" s="283"/>
      <c r="N67" s="283"/>
      <c r="O67" s="283"/>
      <c r="P67" s="283"/>
      <c r="Q67" s="283"/>
      <c r="R67" s="283"/>
      <c r="S67" s="283"/>
      <c r="T67" s="283"/>
      <c r="U67" s="283"/>
      <c r="V67" s="283"/>
    </row>
    <row r="68" spans="1:22" x14ac:dyDescent="0.25">
      <c r="A68" s="357" t="s">
        <v>456</v>
      </c>
      <c r="B68" s="175"/>
      <c r="C68" s="363">
        <f>C65+C66</f>
        <v>-106</v>
      </c>
      <c r="D68" s="363">
        <f>D65+D66</f>
        <v>224</v>
      </c>
      <c r="E68" s="363">
        <f>E65+E66</f>
        <v>292</v>
      </c>
      <c r="F68" s="363">
        <f>F65+F66</f>
        <v>300</v>
      </c>
      <c r="G68" s="363">
        <f>G65+G66</f>
        <v>399</v>
      </c>
      <c r="H68" s="283"/>
      <c r="I68" s="283"/>
      <c r="J68" s="283"/>
      <c r="K68" s="283"/>
      <c r="L68" s="283"/>
      <c r="M68" s="283"/>
      <c r="N68" s="283"/>
      <c r="O68" s="283"/>
      <c r="P68" s="283"/>
      <c r="Q68" s="283"/>
      <c r="R68" s="283"/>
      <c r="S68" s="283"/>
      <c r="T68" s="283"/>
      <c r="U68" s="283"/>
      <c r="V68" s="283"/>
    </row>
    <row r="69" spans="1:22" x14ac:dyDescent="0.25">
      <c r="A69" s="180" t="s">
        <v>457</v>
      </c>
      <c r="B69" s="171"/>
      <c r="C69" s="143">
        <f>-(4-4) + 'Reorganised Statements'!D112</f>
        <v>130</v>
      </c>
      <c r="D69" s="143">
        <f>-(4-4) + 'Reorganised Statements'!E112</f>
        <v>1</v>
      </c>
      <c r="E69" s="143">
        <f>-(4-4) + 'Reorganised Statements'!F112</f>
        <v>-6</v>
      </c>
      <c r="F69" s="143">
        <f>-(10-4) + 'Reorganised Statements'!G112</f>
        <v>-16</v>
      </c>
      <c r="G69" s="323">
        <f>-(8-10) + 'Reorganised Statements'!H112</f>
        <v>-2</v>
      </c>
      <c r="H69" s="283"/>
      <c r="I69" s="283"/>
      <c r="J69" s="283"/>
      <c r="K69" s="283"/>
      <c r="L69" s="283"/>
      <c r="M69" s="283"/>
      <c r="N69" s="283"/>
      <c r="O69" s="283"/>
      <c r="P69" s="283"/>
      <c r="Q69" s="283"/>
      <c r="R69" s="283"/>
      <c r="S69" s="283"/>
      <c r="T69" s="283"/>
      <c r="U69" s="283"/>
      <c r="V69" s="283"/>
    </row>
    <row r="70" spans="1:22" x14ac:dyDescent="0.25">
      <c r="A70" s="180"/>
      <c r="B70" s="171"/>
      <c r="C70" s="143"/>
      <c r="D70" s="143"/>
      <c r="E70" s="143"/>
      <c r="F70" s="143"/>
      <c r="G70" s="323"/>
    </row>
    <row r="71" spans="1:22" ht="15.75" thickBot="1" x14ac:dyDescent="0.3">
      <c r="A71" s="364" t="s">
        <v>338</v>
      </c>
      <c r="B71" s="365"/>
      <c r="C71" s="348">
        <f>C68+C69</f>
        <v>24</v>
      </c>
      <c r="D71" s="348">
        <f>D68+D69</f>
        <v>225</v>
      </c>
      <c r="E71" s="348">
        <f>E68+E69</f>
        <v>286</v>
      </c>
      <c r="F71" s="348">
        <f>F68+F69</f>
        <v>284</v>
      </c>
      <c r="G71" s="348">
        <f>G68+G69</f>
        <v>397</v>
      </c>
    </row>
    <row r="72" spans="1:22" x14ac:dyDescent="0.25">
      <c r="A72" s="55"/>
      <c r="B72" s="55"/>
      <c r="C72" s="55"/>
      <c r="D72" s="55"/>
      <c r="E72" s="55"/>
      <c r="F72" s="55"/>
      <c r="G72" s="55"/>
    </row>
    <row r="73" spans="1:22" x14ac:dyDescent="0.25">
      <c r="A73" s="55"/>
      <c r="B73" s="55"/>
      <c r="C73" s="55"/>
      <c r="D73" s="55"/>
      <c r="E73" s="55"/>
      <c r="F73" s="55"/>
      <c r="G73" s="55"/>
    </row>
    <row r="74" spans="1:22" x14ac:dyDescent="0.25">
      <c r="A74" s="55"/>
      <c r="B74" s="55"/>
      <c r="C74" s="55"/>
      <c r="D74" s="55"/>
      <c r="E74" s="55"/>
      <c r="F74" s="55"/>
      <c r="G74" s="55"/>
    </row>
    <row r="75" spans="1:22" x14ac:dyDescent="0.25">
      <c r="A75" s="55"/>
      <c r="B75" s="55"/>
      <c r="C75" s="55"/>
      <c r="D75" s="55"/>
      <c r="E75" s="55"/>
      <c r="F75" s="55"/>
      <c r="G75" s="55"/>
    </row>
    <row r="82" spans="1:22" ht="15.75" thickBot="1" x14ac:dyDescent="0.3"/>
    <row r="83" spans="1:22" ht="24" x14ac:dyDescent="0.4">
      <c r="A83" s="367" t="s">
        <v>348</v>
      </c>
      <c r="B83" s="256"/>
      <c r="C83" s="257"/>
      <c r="D83" s="257"/>
      <c r="E83" s="257"/>
      <c r="F83" s="258"/>
    </row>
    <row r="84" spans="1:22" x14ac:dyDescent="0.25">
      <c r="A84" s="259"/>
      <c r="B84" s="64"/>
      <c r="C84" s="579" t="s">
        <v>163</v>
      </c>
      <c r="D84" s="579"/>
      <c r="E84" s="579"/>
      <c r="F84" s="580"/>
    </row>
    <row r="85" spans="1:22" x14ac:dyDescent="0.25">
      <c r="A85" s="260"/>
      <c r="B85" s="125" t="s">
        <v>1</v>
      </c>
      <c r="C85" s="313" t="s">
        <v>449</v>
      </c>
      <c r="D85" s="313" t="s">
        <v>450</v>
      </c>
      <c r="E85" s="313" t="s">
        <v>451</v>
      </c>
      <c r="F85" s="354" t="s">
        <v>452</v>
      </c>
    </row>
    <row r="86" spans="1:22" x14ac:dyDescent="0.25">
      <c r="A86" s="180"/>
      <c r="B86" s="5"/>
      <c r="C86" s="31"/>
      <c r="D86" s="29"/>
      <c r="E86" s="29"/>
      <c r="F86" s="263"/>
    </row>
    <row r="87" spans="1:22" x14ac:dyDescent="0.25">
      <c r="A87" s="321" t="s">
        <v>303</v>
      </c>
      <c r="B87" s="5"/>
      <c r="C87" s="183">
        <f>D59</f>
        <v>447</v>
      </c>
      <c r="D87" s="183">
        <f t="shared" ref="D87:F87" si="1">E59</f>
        <v>714</v>
      </c>
      <c r="E87" s="183">
        <f t="shared" si="1"/>
        <v>507</v>
      </c>
      <c r="F87" s="183">
        <f t="shared" si="1"/>
        <v>686</v>
      </c>
    </row>
    <row r="88" spans="1:22" x14ac:dyDescent="0.25">
      <c r="A88" s="180" t="s">
        <v>349</v>
      </c>
      <c r="B88" s="5"/>
      <c r="C88" s="185">
        <f>D64</f>
        <v>-127</v>
      </c>
      <c r="D88" s="185">
        <f t="shared" ref="D88:F88" si="2">E64</f>
        <v>-197</v>
      </c>
      <c r="E88" s="185">
        <f t="shared" si="2"/>
        <v>-133</v>
      </c>
      <c r="F88" s="185">
        <f t="shared" si="2"/>
        <v>-188</v>
      </c>
    </row>
    <row r="89" spans="1:22" x14ac:dyDescent="0.25">
      <c r="A89" s="180" t="s">
        <v>378</v>
      </c>
      <c r="B89" s="5"/>
      <c r="C89" s="266">
        <f>-(D64/D63)*(D62)</f>
        <v>-42.967065868263475</v>
      </c>
      <c r="D89" s="266">
        <f t="shared" ref="D89:F89" si="3">-(E64/E63)*(E62)</f>
        <v>-47.197916666666664</v>
      </c>
      <c r="E89" s="266">
        <f t="shared" si="3"/>
        <v>-29.876811594202898</v>
      </c>
      <c r="F89" s="266">
        <f t="shared" si="3"/>
        <v>-32.081911262798634</v>
      </c>
    </row>
    <row r="90" spans="1:22" x14ac:dyDescent="0.25">
      <c r="A90" s="357" t="s">
        <v>350</v>
      </c>
      <c r="B90" s="25"/>
      <c r="C90" s="267">
        <f t="shared" ref="C90:E90" si="4">C87+C88+C89</f>
        <v>277.03293413173651</v>
      </c>
      <c r="D90" s="267">
        <f t="shared" si="4"/>
        <v>469.80208333333331</v>
      </c>
      <c r="E90" s="267">
        <f t="shared" si="4"/>
        <v>344.12318840579712</v>
      </c>
      <c r="F90" s="267">
        <f>F87+F88+F89</f>
        <v>465.91808873720134</v>
      </c>
    </row>
    <row r="91" spans="1:22" x14ac:dyDescent="0.25">
      <c r="A91" s="180"/>
      <c r="B91" s="5"/>
      <c r="C91" s="185"/>
      <c r="D91" s="186"/>
      <c r="E91" s="186"/>
      <c r="F91" s="265"/>
    </row>
    <row r="92" spans="1:22" x14ac:dyDescent="0.25">
      <c r="A92" s="180" t="s">
        <v>372</v>
      </c>
      <c r="B92" s="5"/>
      <c r="C92" s="185">
        <f>C10-D10</f>
        <v>-20</v>
      </c>
      <c r="D92" s="185">
        <f t="shared" ref="D92:F92" si="5">D10-E10</f>
        <v>38</v>
      </c>
      <c r="E92" s="185">
        <f t="shared" si="5"/>
        <v>-39</v>
      </c>
      <c r="F92" s="185">
        <f t="shared" si="5"/>
        <v>15</v>
      </c>
      <c r="G92" s="108"/>
      <c r="H92" s="108"/>
      <c r="I92" s="108"/>
      <c r="J92" s="108"/>
      <c r="K92" s="108"/>
      <c r="L92" s="108"/>
      <c r="M92" s="108"/>
      <c r="N92" s="108"/>
      <c r="O92" s="108"/>
      <c r="P92" s="108"/>
      <c r="Q92" s="108"/>
      <c r="R92" s="108"/>
      <c r="S92" s="108"/>
      <c r="T92" s="108"/>
      <c r="U92" s="108"/>
    </row>
    <row r="93" spans="1:22" x14ac:dyDescent="0.25">
      <c r="A93" s="180" t="s">
        <v>351</v>
      </c>
      <c r="B93" s="5"/>
      <c r="C93" s="185">
        <f>C11-D11</f>
        <v>-331</v>
      </c>
      <c r="D93" s="185">
        <f t="shared" ref="D93:F93" si="6">D11-E11</f>
        <v>52</v>
      </c>
      <c r="E93" s="185">
        <f t="shared" si="6"/>
        <v>-251</v>
      </c>
      <c r="F93" s="185">
        <f t="shared" si="6"/>
        <v>21</v>
      </c>
      <c r="G93" s="283"/>
      <c r="H93" s="283"/>
      <c r="I93" s="283"/>
      <c r="J93" s="283"/>
      <c r="K93" s="283"/>
      <c r="L93" s="283"/>
      <c r="M93" s="283"/>
      <c r="N93" s="283"/>
      <c r="O93" s="283"/>
      <c r="P93" s="283"/>
      <c r="Q93" s="283"/>
      <c r="R93" s="283"/>
      <c r="S93" s="283"/>
      <c r="T93" s="283"/>
      <c r="U93" s="283"/>
      <c r="V93" s="249"/>
    </row>
    <row r="94" spans="1:22" x14ac:dyDescent="0.25">
      <c r="A94" s="180" t="s">
        <v>371</v>
      </c>
      <c r="B94" s="5"/>
      <c r="C94" s="185">
        <f>C12-D12</f>
        <v>139</v>
      </c>
      <c r="D94" s="185">
        <f t="shared" ref="D94:F94" si="7">D12-E12</f>
        <v>-1</v>
      </c>
      <c r="E94" s="185">
        <f t="shared" si="7"/>
        <v>171</v>
      </c>
      <c r="F94" s="185">
        <f t="shared" si="7"/>
        <v>2</v>
      </c>
      <c r="G94" s="283"/>
      <c r="H94" s="283"/>
      <c r="I94" s="283"/>
      <c r="J94" s="283"/>
      <c r="K94" s="283"/>
      <c r="L94" s="283"/>
      <c r="M94" s="283"/>
      <c r="N94" s="283"/>
      <c r="O94" s="283"/>
      <c r="P94" s="283"/>
      <c r="Q94" s="283"/>
      <c r="R94" s="283"/>
      <c r="S94" s="283"/>
      <c r="T94" s="283"/>
      <c r="U94" s="283"/>
      <c r="V94" s="249"/>
    </row>
    <row r="95" spans="1:22" x14ac:dyDescent="0.25">
      <c r="A95" s="357" t="s">
        <v>373</v>
      </c>
      <c r="B95" s="25"/>
      <c r="C95" s="187">
        <f>C92+C93+C94</f>
        <v>-212</v>
      </c>
      <c r="D95" s="187">
        <f t="shared" ref="D95:F95" si="8">D92+D93+D94</f>
        <v>89</v>
      </c>
      <c r="E95" s="187">
        <f t="shared" si="8"/>
        <v>-119</v>
      </c>
      <c r="F95" s="187">
        <f t="shared" si="8"/>
        <v>38</v>
      </c>
      <c r="G95" s="283"/>
      <c r="H95" s="283"/>
      <c r="I95" s="283"/>
      <c r="J95" s="283"/>
      <c r="K95" s="283"/>
      <c r="L95" s="283"/>
      <c r="M95" s="283"/>
      <c r="N95" s="283"/>
      <c r="O95" s="283"/>
      <c r="P95" s="283"/>
      <c r="Q95" s="283"/>
      <c r="R95" s="283"/>
      <c r="S95" s="283"/>
      <c r="T95" s="283"/>
      <c r="U95" s="283"/>
      <c r="V95" s="249"/>
    </row>
    <row r="96" spans="1:22" x14ac:dyDescent="0.25">
      <c r="A96" s="180"/>
      <c r="B96" s="5"/>
      <c r="C96" s="185"/>
      <c r="D96" s="186"/>
      <c r="E96" s="186"/>
      <c r="F96" s="265"/>
      <c r="G96" s="366"/>
      <c r="H96" s="316"/>
      <c r="I96" s="283"/>
      <c r="J96" s="316"/>
      <c r="K96" s="316"/>
      <c r="L96" s="283"/>
      <c r="M96" s="316"/>
      <c r="N96" s="316"/>
      <c r="O96" s="283"/>
      <c r="P96" s="316"/>
      <c r="Q96" s="316"/>
      <c r="R96" s="283"/>
      <c r="S96" s="316"/>
      <c r="T96" s="316"/>
      <c r="U96" s="283"/>
      <c r="V96" s="249"/>
    </row>
    <row r="97" spans="1:22" x14ac:dyDescent="0.25">
      <c r="A97" s="180" t="s">
        <v>352</v>
      </c>
      <c r="B97" s="5"/>
      <c r="C97" s="185">
        <f>SUM(C16:C20)-SUM(D16:D20)</f>
        <v>103</v>
      </c>
      <c r="D97" s="185">
        <f t="shared" ref="D97:F97" si="9">SUM(D16:D20)-SUM(E16:E20)</f>
        <v>33</v>
      </c>
      <c r="E97" s="185">
        <f t="shared" si="9"/>
        <v>-74</v>
      </c>
      <c r="F97" s="185">
        <f t="shared" si="9"/>
        <v>-455</v>
      </c>
      <c r="G97" s="283"/>
      <c r="H97" s="283"/>
      <c r="I97" s="283"/>
      <c r="J97" s="283"/>
      <c r="K97" s="283"/>
      <c r="L97" s="283"/>
      <c r="M97" s="283"/>
      <c r="N97" s="283"/>
      <c r="O97" s="283"/>
      <c r="P97" s="283"/>
      <c r="Q97" s="283"/>
      <c r="R97" s="283"/>
      <c r="S97" s="283"/>
      <c r="T97" s="283"/>
      <c r="U97" s="283"/>
      <c r="V97" s="249"/>
    </row>
    <row r="98" spans="1:22" x14ac:dyDescent="0.25">
      <c r="A98" s="180" t="s">
        <v>353</v>
      </c>
      <c r="B98" s="5"/>
      <c r="C98" s="185">
        <f>SUM(C22:C25)-SUM(D22:D25)</f>
        <v>8</v>
      </c>
      <c r="D98" s="185">
        <f t="shared" ref="D98:F98" si="10">SUM(D22:D25)-SUM(E22:E25)</f>
        <v>-68</v>
      </c>
      <c r="E98" s="185">
        <f t="shared" si="10"/>
        <v>297</v>
      </c>
      <c r="F98" s="185">
        <f t="shared" si="10"/>
        <v>435</v>
      </c>
      <c r="G98" s="283"/>
      <c r="H98" s="283"/>
      <c r="I98" s="283"/>
      <c r="J98" s="283"/>
      <c r="K98" s="283"/>
      <c r="L98" s="283"/>
      <c r="M98" s="283"/>
      <c r="N98" s="283"/>
      <c r="O98" s="283"/>
      <c r="P98" s="283"/>
      <c r="Q98" s="283"/>
      <c r="R98" s="283"/>
      <c r="S98" s="283"/>
      <c r="T98" s="283"/>
      <c r="U98" s="283"/>
      <c r="V98" s="249"/>
    </row>
    <row r="99" spans="1:22" x14ac:dyDescent="0.25">
      <c r="A99" s="357" t="s">
        <v>374</v>
      </c>
      <c r="B99" s="25"/>
      <c r="C99" s="187">
        <f>C95+C97+C98</f>
        <v>-101</v>
      </c>
      <c r="D99" s="187">
        <f t="shared" ref="D99:F99" si="11">D95+D97+D98</f>
        <v>54</v>
      </c>
      <c r="E99" s="187">
        <f t="shared" si="11"/>
        <v>104</v>
      </c>
      <c r="F99" s="187">
        <f t="shared" si="11"/>
        <v>18</v>
      </c>
      <c r="G99" s="283"/>
      <c r="H99" s="283"/>
      <c r="I99" s="283"/>
      <c r="J99" s="283"/>
      <c r="K99" s="283"/>
      <c r="L99" s="283"/>
      <c r="M99" s="283"/>
      <c r="N99" s="283"/>
      <c r="O99" s="283"/>
      <c r="P99" s="283"/>
      <c r="Q99" s="283"/>
      <c r="R99" s="283"/>
      <c r="S99" s="283"/>
      <c r="T99" s="283"/>
      <c r="U99" s="283"/>
      <c r="V99" s="249"/>
    </row>
    <row r="100" spans="1:22" x14ac:dyDescent="0.25">
      <c r="A100" s="180"/>
      <c r="B100" s="5"/>
      <c r="C100" s="185"/>
      <c r="D100" s="186"/>
      <c r="E100" s="186"/>
      <c r="F100" s="265"/>
      <c r="G100" s="283"/>
      <c r="H100" s="283"/>
      <c r="I100" s="283"/>
      <c r="J100" s="283"/>
      <c r="K100" s="283"/>
      <c r="L100" s="283"/>
      <c r="M100" s="283"/>
      <c r="N100" s="283"/>
      <c r="O100" s="283"/>
      <c r="P100" s="283"/>
      <c r="Q100" s="283"/>
      <c r="R100" s="283"/>
      <c r="S100" s="283"/>
      <c r="T100" s="283"/>
      <c r="U100" s="283"/>
      <c r="V100" s="249"/>
    </row>
    <row r="101" spans="1:22" x14ac:dyDescent="0.25">
      <c r="A101" s="180" t="s">
        <v>354</v>
      </c>
      <c r="B101" s="5"/>
      <c r="C101" s="185">
        <f>C5-D5+C6-D6+D57</f>
        <v>-1130</v>
      </c>
      <c r="D101" s="185">
        <f t="shared" ref="D101" si="12">D5+D6-E5-E6+E57</f>
        <v>-212</v>
      </c>
      <c r="E101" s="185">
        <f>E5+E6-F5-F6-E102</f>
        <v>-1186</v>
      </c>
      <c r="F101" s="185">
        <f>F5+F6-G5-G6 - F102</f>
        <v>-814</v>
      </c>
      <c r="G101" s="283"/>
      <c r="H101" s="283"/>
      <c r="I101" s="283"/>
      <c r="J101" s="283"/>
      <c r="K101" s="283"/>
      <c r="L101" s="283"/>
      <c r="M101" s="283"/>
      <c r="N101" s="283"/>
      <c r="O101" s="283"/>
      <c r="P101" s="283"/>
      <c r="Q101" s="283"/>
      <c r="R101" s="283"/>
      <c r="S101" s="283"/>
      <c r="T101" s="283"/>
      <c r="U101" s="283"/>
      <c r="V101" s="249"/>
    </row>
    <row r="102" spans="1:22" x14ac:dyDescent="0.25">
      <c r="A102" s="180" t="s">
        <v>355</v>
      </c>
      <c r="B102" s="5"/>
      <c r="C102" s="185">
        <f>-D57</f>
        <v>730</v>
      </c>
      <c r="D102" s="185">
        <f t="shared" ref="D102" si="13">-E57</f>
        <v>500</v>
      </c>
      <c r="E102" s="185">
        <f>-'Reorganised Statements'!G72 + (131-121)</f>
        <v>633</v>
      </c>
      <c r="F102" s="185">
        <f>-'Reorganised Statements'!H72+(135-131)</f>
        <v>515</v>
      </c>
      <c r="G102" s="283"/>
      <c r="H102" s="283"/>
      <c r="I102" s="283"/>
      <c r="J102" s="283"/>
      <c r="K102" s="283"/>
      <c r="L102" s="283"/>
      <c r="M102" s="283"/>
      <c r="N102" s="283"/>
      <c r="O102" s="283"/>
      <c r="P102" s="283"/>
      <c r="Q102" s="283"/>
      <c r="R102" s="283"/>
      <c r="S102" s="283"/>
      <c r="T102" s="283"/>
      <c r="U102" s="283"/>
      <c r="V102" s="249"/>
    </row>
    <row r="103" spans="1:22" x14ac:dyDescent="0.25">
      <c r="A103" s="180" t="s">
        <v>356</v>
      </c>
      <c r="B103" s="5"/>
      <c r="C103" s="185">
        <f>C30-D30</f>
        <v>62</v>
      </c>
      <c r="D103" s="185">
        <f t="shared" ref="D103:F103" si="14">D30-E30</f>
        <v>-40</v>
      </c>
      <c r="E103" s="185">
        <f t="shared" si="14"/>
        <v>11</v>
      </c>
      <c r="F103" s="185">
        <f t="shared" si="14"/>
        <v>31</v>
      </c>
      <c r="G103" s="283"/>
      <c r="H103" s="283"/>
      <c r="I103" s="283"/>
      <c r="J103" s="283"/>
      <c r="K103" s="283"/>
      <c r="L103" s="283"/>
      <c r="M103" s="283"/>
      <c r="N103" s="283"/>
      <c r="O103" s="283"/>
      <c r="P103" s="283"/>
      <c r="Q103" s="283"/>
      <c r="R103" s="283"/>
      <c r="S103" s="283"/>
      <c r="T103" s="283"/>
      <c r="U103" s="283"/>
      <c r="V103" s="249"/>
    </row>
    <row r="104" spans="1:22" x14ac:dyDescent="0.25">
      <c r="A104" s="180" t="s">
        <v>357</v>
      </c>
      <c r="B104" s="5"/>
      <c r="C104" s="185">
        <f>C29-D29</f>
        <v>32</v>
      </c>
      <c r="D104" s="185">
        <f t="shared" ref="D104:F104" si="15">D29-E29</f>
        <v>-44</v>
      </c>
      <c r="E104" s="185">
        <f t="shared" si="15"/>
        <v>-4</v>
      </c>
      <c r="F104" s="185">
        <f t="shared" si="15"/>
        <v>-11</v>
      </c>
      <c r="G104" s="283"/>
      <c r="H104" s="283"/>
      <c r="I104" s="283"/>
      <c r="J104" s="283"/>
      <c r="K104" s="283"/>
      <c r="L104" s="283"/>
      <c r="M104" s="283"/>
      <c r="N104" s="283"/>
      <c r="O104" s="283"/>
      <c r="P104" s="283"/>
      <c r="Q104" s="283"/>
      <c r="R104" s="283"/>
      <c r="S104" s="283"/>
      <c r="T104" s="283"/>
      <c r="U104" s="283"/>
      <c r="V104" s="249"/>
    </row>
    <row r="105" spans="1:22" x14ac:dyDescent="0.25">
      <c r="A105" s="180" t="s">
        <v>370</v>
      </c>
      <c r="B105" s="5"/>
      <c r="C105" s="185">
        <f>C28-D28</f>
        <v>-52</v>
      </c>
      <c r="D105" s="185">
        <f t="shared" ref="D105:F105" si="16">D28-E28</f>
        <v>62</v>
      </c>
      <c r="E105" s="185">
        <f t="shared" si="16"/>
        <v>21</v>
      </c>
      <c r="F105" s="185">
        <f t="shared" si="16"/>
        <v>-12</v>
      </c>
      <c r="G105" s="283"/>
      <c r="H105" s="283"/>
      <c r="I105" s="283"/>
      <c r="J105" s="283"/>
      <c r="K105" s="283"/>
      <c r="L105" s="283"/>
      <c r="M105" s="283"/>
      <c r="N105" s="283"/>
      <c r="O105" s="283"/>
      <c r="P105" s="283"/>
      <c r="Q105" s="283"/>
      <c r="R105" s="283"/>
      <c r="S105" s="283"/>
      <c r="T105" s="283"/>
      <c r="U105" s="283"/>
      <c r="V105" s="249"/>
    </row>
    <row r="106" spans="1:22" x14ac:dyDescent="0.25">
      <c r="A106" s="180" t="s">
        <v>358</v>
      </c>
      <c r="B106" s="5"/>
      <c r="C106" s="185">
        <f>D69+D66</f>
        <v>18</v>
      </c>
      <c r="D106" s="185">
        <f>E69+E66</f>
        <v>-93</v>
      </c>
      <c r="E106" s="185">
        <f>F69 + F66</f>
        <v>3</v>
      </c>
      <c r="F106" s="185">
        <f>G69 + G66</f>
        <v>-1</v>
      </c>
      <c r="G106" s="283" t="s">
        <v>462</v>
      </c>
      <c r="H106" s="283"/>
      <c r="I106" s="283"/>
      <c r="J106" s="283"/>
      <c r="K106" s="283"/>
      <c r="L106" s="283"/>
      <c r="M106" s="283"/>
      <c r="N106" s="283"/>
      <c r="O106" s="283"/>
      <c r="P106" s="283"/>
      <c r="Q106" s="283"/>
      <c r="R106" s="283"/>
      <c r="S106" s="283"/>
      <c r="T106" s="283"/>
      <c r="U106" s="283"/>
      <c r="V106" s="249"/>
    </row>
    <row r="107" spans="1:22" x14ac:dyDescent="0.25">
      <c r="A107" s="368" t="s">
        <v>359</v>
      </c>
      <c r="B107" s="20"/>
      <c r="C107" s="189">
        <f>C90+C99+SUM(C101:C106)</f>
        <v>-163.96706586826349</v>
      </c>
      <c r="D107" s="189">
        <f t="shared" ref="D107:F107" si="17">D90+D99+SUM(D101:D106)</f>
        <v>696.80208333333326</v>
      </c>
      <c r="E107" s="189">
        <f>E90+E99+SUM(E101:E106)</f>
        <v>-73.876811594202877</v>
      </c>
      <c r="F107" s="189">
        <f t="shared" si="17"/>
        <v>191.91808873720134</v>
      </c>
      <c r="G107" s="283"/>
      <c r="H107" s="283"/>
      <c r="I107" s="283"/>
      <c r="J107" s="283"/>
      <c r="K107" s="283"/>
      <c r="L107" s="283"/>
      <c r="M107" s="283"/>
      <c r="N107" s="283"/>
      <c r="O107" s="283"/>
      <c r="P107" s="283"/>
      <c r="Q107" s="283"/>
      <c r="R107" s="283"/>
      <c r="S107" s="283"/>
      <c r="T107" s="283"/>
      <c r="U107" s="283"/>
      <c r="V107" s="249"/>
    </row>
    <row r="108" spans="1:22" x14ac:dyDescent="0.25">
      <c r="A108" s="180" t="s">
        <v>360</v>
      </c>
      <c r="B108" s="5"/>
      <c r="C108" s="193"/>
      <c r="D108" s="193"/>
      <c r="E108" s="193"/>
      <c r="F108" s="270"/>
      <c r="G108" s="283"/>
      <c r="H108" s="283"/>
      <c r="I108" s="283"/>
      <c r="J108" s="283"/>
      <c r="K108" s="283"/>
      <c r="L108" s="283"/>
      <c r="M108" s="283"/>
      <c r="N108" s="283"/>
      <c r="O108" s="283"/>
      <c r="P108" s="283"/>
      <c r="Q108" s="283"/>
      <c r="R108" s="283"/>
      <c r="S108" s="283"/>
      <c r="T108" s="283"/>
      <c r="U108" s="283"/>
      <c r="V108" s="249"/>
    </row>
    <row r="109" spans="1:22" x14ac:dyDescent="0.25">
      <c r="A109" s="180"/>
      <c r="B109" s="5"/>
      <c r="C109" s="185"/>
      <c r="D109" s="186"/>
      <c r="E109" s="186"/>
      <c r="F109" s="265"/>
      <c r="G109" s="283"/>
      <c r="H109" s="283"/>
      <c r="I109" s="283"/>
      <c r="J109" s="283"/>
      <c r="K109" s="283"/>
      <c r="L109" s="283"/>
      <c r="M109" s="283"/>
      <c r="N109" s="283"/>
      <c r="O109" s="283"/>
      <c r="P109" s="283"/>
      <c r="Q109" s="283"/>
      <c r="R109" s="283"/>
      <c r="S109" s="283"/>
      <c r="T109" s="283"/>
      <c r="U109" s="283"/>
      <c r="V109" s="249"/>
    </row>
    <row r="110" spans="1:22" x14ac:dyDescent="0.25">
      <c r="A110" s="180" t="s">
        <v>361</v>
      </c>
      <c r="B110" s="5"/>
      <c r="C110" s="185">
        <f>C7-D7+D62</f>
        <v>-107</v>
      </c>
      <c r="D110" s="185">
        <f t="shared" ref="D110:F110" si="18">D7-E7+E62</f>
        <v>-103</v>
      </c>
      <c r="E110" s="185">
        <f t="shared" si="18"/>
        <v>-32</v>
      </c>
      <c r="F110" s="185">
        <f t="shared" si="18"/>
        <v>-151</v>
      </c>
      <c r="G110" s="283"/>
      <c r="H110" s="283"/>
      <c r="I110" s="283"/>
      <c r="J110" s="283"/>
      <c r="K110" s="283"/>
      <c r="L110" s="283"/>
      <c r="M110" s="283"/>
      <c r="N110" s="283"/>
      <c r="O110" s="283"/>
      <c r="P110" s="283"/>
      <c r="Q110" s="283"/>
      <c r="R110" s="283"/>
      <c r="S110" s="283"/>
      <c r="T110" s="283"/>
      <c r="U110" s="283"/>
      <c r="V110" s="249"/>
    </row>
    <row r="111" spans="1:22" x14ac:dyDescent="0.25">
      <c r="A111" s="180" t="s">
        <v>362</v>
      </c>
      <c r="B111" s="5"/>
      <c r="C111" s="185">
        <f>C39-D39</f>
        <v>253</v>
      </c>
      <c r="D111" s="185">
        <f t="shared" ref="D111:F111" si="19">D39-E39</f>
        <v>-47</v>
      </c>
      <c r="E111" s="185">
        <f t="shared" si="19"/>
        <v>-185</v>
      </c>
      <c r="F111" s="185">
        <f t="shared" si="19"/>
        <v>-105</v>
      </c>
      <c r="G111" s="283"/>
      <c r="H111" s="283"/>
      <c r="I111" s="283"/>
      <c r="J111" s="283"/>
      <c r="K111" s="283"/>
      <c r="L111" s="283"/>
      <c r="M111" s="283"/>
      <c r="N111" s="283"/>
      <c r="O111" s="283"/>
      <c r="P111" s="283"/>
      <c r="Q111" s="283"/>
      <c r="R111" s="283"/>
      <c r="S111" s="283"/>
      <c r="T111" s="283"/>
      <c r="U111" s="283"/>
      <c r="V111" s="249"/>
    </row>
    <row r="112" spans="1:22" x14ac:dyDescent="0.25">
      <c r="A112" s="180" t="s">
        <v>379</v>
      </c>
      <c r="B112" s="5"/>
      <c r="C112" s="250">
        <f>-C89</f>
        <v>42.967065868263475</v>
      </c>
      <c r="D112" s="250">
        <f t="shared" ref="D112:F112" si="20">-D89</f>
        <v>47.197916666666664</v>
      </c>
      <c r="E112" s="250">
        <f t="shared" si="20"/>
        <v>29.876811594202898</v>
      </c>
      <c r="F112" s="250">
        <f t="shared" si="20"/>
        <v>32.081911262798634</v>
      </c>
      <c r="G112" s="283"/>
      <c r="H112" s="283"/>
      <c r="I112" s="283"/>
      <c r="J112" s="283"/>
      <c r="K112" s="283"/>
      <c r="L112" s="283"/>
      <c r="M112" s="283"/>
      <c r="N112" s="283"/>
      <c r="O112" s="283"/>
      <c r="P112" s="283"/>
      <c r="Q112" s="283"/>
      <c r="R112" s="283"/>
      <c r="S112" s="283"/>
      <c r="T112" s="283"/>
      <c r="U112" s="283"/>
      <c r="V112" s="249"/>
    </row>
    <row r="113" spans="1:22" x14ac:dyDescent="0.25">
      <c r="A113" s="368" t="s">
        <v>363</v>
      </c>
      <c r="B113" s="20"/>
      <c r="C113" s="189">
        <f>C107+C110+C111+C112</f>
        <v>24.999999999999986</v>
      </c>
      <c r="D113" s="189">
        <f t="shared" ref="D113:F113" si="21">D107+D110+D111+D112</f>
        <v>593.99999999999989</v>
      </c>
      <c r="E113" s="189">
        <f t="shared" si="21"/>
        <v>-261</v>
      </c>
      <c r="F113" s="189">
        <f t="shared" si="21"/>
        <v>-32.000000000000021</v>
      </c>
      <c r="G113" s="283"/>
      <c r="H113" s="283"/>
      <c r="I113" s="283"/>
      <c r="J113" s="283"/>
      <c r="K113" s="283"/>
      <c r="L113" s="283"/>
      <c r="M113" s="283"/>
      <c r="N113" s="283"/>
      <c r="O113" s="283"/>
      <c r="P113" s="283"/>
      <c r="Q113" s="283"/>
      <c r="R113" s="283"/>
      <c r="S113" s="283"/>
      <c r="T113" s="283"/>
      <c r="U113" s="283"/>
      <c r="V113" s="249"/>
    </row>
    <row r="114" spans="1:22" x14ac:dyDescent="0.25">
      <c r="A114" s="180" t="s">
        <v>364</v>
      </c>
      <c r="B114" s="5"/>
      <c r="C114" s="185"/>
      <c r="D114" s="186"/>
      <c r="E114" s="186"/>
      <c r="F114" s="265"/>
      <c r="G114" s="283"/>
      <c r="H114" s="283"/>
      <c r="I114" s="283"/>
      <c r="J114" s="283"/>
      <c r="K114" s="283"/>
      <c r="L114" s="283"/>
      <c r="M114" s="283"/>
      <c r="N114" s="283"/>
      <c r="O114" s="283"/>
      <c r="P114" s="283"/>
      <c r="Q114" s="283"/>
      <c r="R114" s="283"/>
      <c r="S114" s="283"/>
      <c r="T114" s="283"/>
      <c r="U114" s="283"/>
      <c r="V114" s="249"/>
    </row>
    <row r="115" spans="1:22" x14ac:dyDescent="0.25">
      <c r="A115" s="180"/>
      <c r="B115" s="5"/>
      <c r="C115" s="191"/>
      <c r="D115" s="192"/>
      <c r="E115" s="192"/>
      <c r="F115" s="272"/>
      <c r="G115" s="283"/>
      <c r="H115" s="283"/>
      <c r="I115" s="283"/>
      <c r="J115" s="283"/>
      <c r="K115" s="283"/>
      <c r="L115" s="283"/>
      <c r="M115" s="283"/>
      <c r="N115" s="283"/>
      <c r="O115" s="283"/>
      <c r="P115" s="283"/>
      <c r="Q115" s="283"/>
      <c r="R115" s="283"/>
      <c r="S115" s="283"/>
      <c r="T115" s="283"/>
      <c r="U115" s="283"/>
      <c r="V115" s="249"/>
    </row>
    <row r="116" spans="1:22" x14ac:dyDescent="0.25">
      <c r="A116" s="180" t="s">
        <v>365</v>
      </c>
      <c r="B116" s="5"/>
      <c r="C116" s="192">
        <f>C35-D35-D71</f>
        <v>105</v>
      </c>
      <c r="D116" s="192">
        <f t="shared" ref="D116:E116" si="22">D35-E35-E71</f>
        <v>-557</v>
      </c>
      <c r="E116" s="192">
        <f t="shared" si="22"/>
        <v>139</v>
      </c>
      <c r="F116" s="192">
        <f>F35-G35-G71</f>
        <v>-265</v>
      </c>
      <c r="G116" s="283"/>
      <c r="H116" s="283"/>
      <c r="I116" s="283"/>
      <c r="J116" s="283"/>
      <c r="K116" s="283"/>
      <c r="L116" s="283"/>
      <c r="M116" s="283"/>
      <c r="N116" s="283"/>
      <c r="O116" s="283"/>
      <c r="P116" s="283"/>
      <c r="Q116" s="283"/>
      <c r="R116" s="283"/>
      <c r="S116" s="283"/>
      <c r="T116" s="283"/>
      <c r="U116" s="283"/>
      <c r="V116" s="249"/>
    </row>
    <row r="117" spans="1:22" x14ac:dyDescent="0.25">
      <c r="A117" s="321" t="s">
        <v>366</v>
      </c>
      <c r="B117" s="5"/>
      <c r="C117" s="273">
        <f t="shared" ref="C117" si="23">C113+C116</f>
        <v>130</v>
      </c>
      <c r="D117" s="273">
        <f t="shared" ref="D117" si="24">D113+D116</f>
        <v>36.999999999999886</v>
      </c>
      <c r="E117" s="273">
        <f t="shared" ref="E117" si="25">E113+E116</f>
        <v>-122</v>
      </c>
      <c r="F117" s="273">
        <f t="shared" ref="F117" si="26">F113+F116</f>
        <v>-297</v>
      </c>
      <c r="G117" s="283"/>
      <c r="H117" s="283"/>
      <c r="I117" s="283"/>
      <c r="J117" s="283"/>
      <c r="K117" s="283"/>
      <c r="L117" s="283"/>
      <c r="M117" s="283"/>
      <c r="N117" s="283"/>
      <c r="O117" s="283"/>
      <c r="P117" s="283"/>
      <c r="Q117" s="283"/>
      <c r="R117" s="283"/>
      <c r="S117" s="283"/>
      <c r="T117" s="283"/>
      <c r="U117" s="283"/>
      <c r="V117" s="249"/>
    </row>
    <row r="118" spans="1:22" x14ac:dyDescent="0.25">
      <c r="A118" s="180"/>
      <c r="B118" s="5"/>
      <c r="C118" s="191"/>
      <c r="D118" s="192"/>
      <c r="E118" s="192"/>
      <c r="F118" s="272"/>
      <c r="G118" s="249"/>
      <c r="H118" s="249"/>
      <c r="I118" s="249"/>
      <c r="J118" s="249"/>
      <c r="K118" s="249"/>
      <c r="L118" s="249"/>
      <c r="M118" s="249"/>
      <c r="N118" s="249"/>
      <c r="O118" s="249"/>
      <c r="P118" s="249"/>
      <c r="Q118" s="249"/>
      <c r="R118" s="249"/>
      <c r="S118" s="249"/>
      <c r="T118" s="249"/>
      <c r="U118" s="249"/>
      <c r="V118" s="249"/>
    </row>
    <row r="119" spans="1:22" x14ac:dyDescent="0.25">
      <c r="A119" s="180" t="s">
        <v>367</v>
      </c>
      <c r="B119" s="5"/>
      <c r="C119" s="191">
        <f>C41</f>
        <v>559</v>
      </c>
      <c r="D119" s="191">
        <f t="shared" ref="D119:F119" si="27">D41</f>
        <v>689</v>
      </c>
      <c r="E119" s="191">
        <f t="shared" si="27"/>
        <v>726</v>
      </c>
      <c r="F119" s="191">
        <f t="shared" si="27"/>
        <v>604</v>
      </c>
      <c r="G119" s="249"/>
      <c r="H119" s="249"/>
      <c r="I119" s="249"/>
      <c r="J119" s="249"/>
      <c r="K119" s="249"/>
      <c r="L119" s="249"/>
      <c r="M119" s="249"/>
      <c r="N119" s="249"/>
      <c r="O119" s="249"/>
      <c r="P119" s="249"/>
      <c r="Q119" s="249"/>
      <c r="R119" s="249"/>
      <c r="S119" s="249"/>
      <c r="T119" s="249"/>
      <c r="U119" s="249"/>
      <c r="V119" s="249"/>
    </row>
    <row r="120" spans="1:22" x14ac:dyDescent="0.25">
      <c r="A120" s="180" t="s">
        <v>368</v>
      </c>
      <c r="B120" s="5"/>
      <c r="C120" s="191">
        <f>D41</f>
        <v>689</v>
      </c>
      <c r="D120" s="191">
        <f t="shared" ref="D120:F120" si="28">E41</f>
        <v>726</v>
      </c>
      <c r="E120" s="191">
        <f t="shared" si="28"/>
        <v>604</v>
      </c>
      <c r="F120" s="191">
        <f t="shared" si="28"/>
        <v>307</v>
      </c>
      <c r="G120" s="249"/>
      <c r="H120" s="249"/>
      <c r="I120" s="249"/>
      <c r="J120" s="249"/>
      <c r="K120" s="249"/>
      <c r="L120" s="249"/>
      <c r="M120" s="249"/>
      <c r="N120" s="249"/>
      <c r="O120" s="249"/>
      <c r="P120" s="249"/>
      <c r="Q120" s="249"/>
      <c r="R120" s="249"/>
      <c r="S120" s="249"/>
      <c r="T120" s="249"/>
      <c r="U120" s="249"/>
      <c r="V120" s="249"/>
    </row>
    <row r="121" spans="1:22" ht="15.75" thickBot="1" x14ac:dyDescent="0.3">
      <c r="A121" s="369" t="s">
        <v>369</v>
      </c>
      <c r="B121" s="275"/>
      <c r="C121" s="276">
        <f>C120-C119</f>
        <v>130</v>
      </c>
      <c r="D121" s="276">
        <f t="shared" ref="D121:F121" si="29">D120-D119</f>
        <v>37</v>
      </c>
      <c r="E121" s="276">
        <f t="shared" si="29"/>
        <v>-122</v>
      </c>
      <c r="F121" s="276">
        <f t="shared" si="29"/>
        <v>-297</v>
      </c>
      <c r="G121" s="249"/>
      <c r="H121" s="249"/>
      <c r="I121" s="249"/>
      <c r="J121" s="249"/>
      <c r="K121" s="249"/>
      <c r="L121" s="249"/>
      <c r="M121" s="249"/>
      <c r="N121" s="249"/>
      <c r="O121" s="249"/>
      <c r="P121" s="249"/>
      <c r="Q121" s="249"/>
      <c r="R121" s="249"/>
      <c r="S121" s="249"/>
      <c r="T121" s="249"/>
      <c r="U121" s="249"/>
      <c r="V121" s="249"/>
    </row>
    <row r="122" spans="1:22" ht="15.75" thickBot="1" x14ac:dyDescent="0.3">
      <c r="A122" s="262"/>
      <c r="B122" s="55"/>
      <c r="C122" s="55"/>
      <c r="D122" s="55"/>
      <c r="E122" s="55"/>
      <c r="F122" s="295"/>
    </row>
    <row r="123" spans="1:22" ht="15.75" thickBot="1" x14ac:dyDescent="0.3">
      <c r="A123" s="278" t="s">
        <v>380</v>
      </c>
      <c r="B123" s="279"/>
      <c r="C123" s="373">
        <f t="shared" ref="C123:E123" si="30">C117-C121</f>
        <v>0</v>
      </c>
      <c r="D123" s="376">
        <f>D117-D121</f>
        <v>-1.1368683772161603E-13</v>
      </c>
      <c r="E123" s="373">
        <f t="shared" si="30"/>
        <v>0</v>
      </c>
      <c r="F123" s="373">
        <f>F117-F121</f>
        <v>0</v>
      </c>
    </row>
    <row r="125" spans="1:22" x14ac:dyDescent="0.25">
      <c r="C125" s="374"/>
    </row>
    <row r="126" spans="1:22" x14ac:dyDescent="0.25">
      <c r="C126" s="374"/>
    </row>
    <row r="127" spans="1:22" x14ac:dyDescent="0.25">
      <c r="C127" s="374"/>
    </row>
    <row r="128" spans="1:22" x14ac:dyDescent="0.25">
      <c r="C128" s="374"/>
    </row>
    <row r="129" spans="2:22" x14ac:dyDescent="0.25">
      <c r="C129" s="374"/>
    </row>
    <row r="130" spans="2:22" x14ac:dyDescent="0.25">
      <c r="C130" s="374"/>
    </row>
    <row r="131" spans="2:22" x14ac:dyDescent="0.25">
      <c r="C131" s="375"/>
    </row>
    <row r="132" spans="2:22" x14ac:dyDescent="0.25">
      <c r="C132" s="375"/>
    </row>
    <row r="133" spans="2:22" x14ac:dyDescent="0.25">
      <c r="C133" s="249"/>
    </row>
    <row r="134" spans="2:22" x14ac:dyDescent="0.25">
      <c r="B134" s="283"/>
      <c r="C134" s="283"/>
      <c r="D134" s="283"/>
      <c r="E134" s="283"/>
      <c r="F134" s="283"/>
      <c r="G134" s="283"/>
      <c r="H134" s="283"/>
      <c r="I134" s="283"/>
      <c r="J134" s="283"/>
      <c r="K134" s="283"/>
      <c r="L134" s="283"/>
      <c r="M134" s="283"/>
      <c r="N134" s="283"/>
      <c r="O134" s="283"/>
      <c r="P134" s="283"/>
      <c r="Q134" s="283"/>
      <c r="R134" s="283"/>
      <c r="S134" s="283"/>
      <c r="T134" s="283"/>
      <c r="U134" s="283"/>
      <c r="V134" s="283"/>
    </row>
    <row r="135" spans="2:22" ht="15.75" x14ac:dyDescent="0.25">
      <c r="B135" s="371"/>
      <c r="C135" s="283"/>
      <c r="D135" s="283"/>
      <c r="E135" s="283"/>
      <c r="F135" s="283"/>
      <c r="G135" s="283"/>
      <c r="H135" s="283"/>
      <c r="I135" s="283"/>
      <c r="J135" s="283"/>
      <c r="K135" s="283"/>
      <c r="L135" s="283"/>
      <c r="M135" s="283"/>
      <c r="N135" s="283"/>
      <c r="O135" s="283"/>
      <c r="P135" s="283"/>
      <c r="Q135" s="283"/>
      <c r="R135" s="283"/>
      <c r="S135" s="283"/>
      <c r="T135" s="283"/>
      <c r="U135" s="283"/>
      <c r="V135" s="283"/>
    </row>
    <row r="136" spans="2:22" x14ac:dyDescent="0.25">
      <c r="B136" s="283"/>
      <c r="C136" s="283"/>
      <c r="D136" s="283"/>
      <c r="E136" s="283"/>
      <c r="F136" s="283"/>
      <c r="G136" s="283"/>
      <c r="H136" s="283"/>
      <c r="I136" s="283"/>
      <c r="J136" s="283"/>
      <c r="K136" s="283"/>
      <c r="L136" s="283"/>
      <c r="M136" s="283"/>
      <c r="N136" s="283"/>
      <c r="O136" s="283"/>
      <c r="P136" s="283"/>
      <c r="Q136" s="283"/>
      <c r="R136" s="283"/>
      <c r="S136" s="283"/>
      <c r="T136" s="283"/>
      <c r="U136" s="283"/>
      <c r="V136" s="283"/>
    </row>
    <row r="137" spans="2:22" x14ac:dyDescent="0.25">
      <c r="B137" s="283"/>
      <c r="C137" s="283"/>
      <c r="D137" s="372"/>
      <c r="E137" s="372"/>
      <c r="F137" s="366"/>
      <c r="G137" s="366"/>
      <c r="H137" s="316"/>
      <c r="I137" s="283"/>
      <c r="J137" s="316"/>
      <c r="K137" s="316"/>
      <c r="L137" s="283"/>
      <c r="M137" s="316"/>
      <c r="N137" s="316"/>
      <c r="O137" s="283"/>
      <c r="P137" s="316"/>
      <c r="Q137" s="316"/>
      <c r="R137" s="283"/>
      <c r="S137" s="316"/>
      <c r="T137" s="316"/>
      <c r="U137" s="283"/>
      <c r="V137" s="283"/>
    </row>
    <row r="138" spans="2:22" x14ac:dyDescent="0.25">
      <c r="B138" s="283"/>
      <c r="C138" s="283"/>
      <c r="D138" s="283"/>
      <c r="E138" s="370"/>
      <c r="F138" s="283"/>
      <c r="G138" s="283"/>
      <c r="H138" s="283"/>
      <c r="I138" s="283"/>
      <c r="J138" s="283"/>
      <c r="K138" s="283"/>
      <c r="L138" s="283"/>
      <c r="M138" s="283"/>
      <c r="N138" s="283"/>
      <c r="O138" s="283"/>
      <c r="P138" s="283"/>
      <c r="Q138" s="283"/>
      <c r="R138" s="283"/>
      <c r="S138" s="283"/>
      <c r="T138" s="283"/>
      <c r="U138" s="283"/>
      <c r="V138" s="283"/>
    </row>
    <row r="139" spans="2:22" x14ac:dyDescent="0.25">
      <c r="B139" s="283"/>
      <c r="C139" s="283"/>
      <c r="D139" s="283"/>
      <c r="E139" s="370"/>
      <c r="F139" s="283"/>
      <c r="G139" s="283"/>
      <c r="H139" s="283"/>
      <c r="I139" s="283"/>
      <c r="J139" s="283"/>
      <c r="K139" s="283"/>
      <c r="L139" s="283"/>
      <c r="M139" s="283"/>
      <c r="N139" s="283"/>
      <c r="O139" s="283"/>
      <c r="P139" s="283"/>
      <c r="Q139" s="283"/>
      <c r="R139" s="283"/>
      <c r="S139" s="283"/>
      <c r="T139" s="283"/>
      <c r="U139" s="283"/>
      <c r="V139" s="283"/>
    </row>
    <row r="140" spans="2:22" x14ac:dyDescent="0.25">
      <c r="B140" s="283"/>
      <c r="C140" s="283"/>
      <c r="D140" s="283"/>
      <c r="E140" s="370"/>
      <c r="F140" s="283"/>
      <c r="G140" s="283"/>
      <c r="H140" s="283"/>
      <c r="I140" s="283"/>
      <c r="J140" s="283"/>
      <c r="K140" s="283"/>
      <c r="L140" s="283"/>
      <c r="M140" s="283"/>
      <c r="N140" s="283"/>
      <c r="O140" s="283"/>
      <c r="P140" s="283"/>
      <c r="Q140" s="283"/>
      <c r="R140" s="283"/>
      <c r="S140" s="283"/>
      <c r="T140" s="283"/>
      <c r="U140" s="283"/>
      <c r="V140" s="283"/>
    </row>
    <row r="141" spans="2:22" x14ac:dyDescent="0.25">
      <c r="B141" s="283"/>
      <c r="C141" s="283"/>
      <c r="D141" s="283"/>
      <c r="E141" s="370"/>
      <c r="F141" s="283"/>
      <c r="G141" s="283"/>
      <c r="H141" s="283"/>
      <c r="I141" s="283"/>
      <c r="J141" s="283"/>
      <c r="K141" s="283"/>
      <c r="L141" s="283"/>
      <c r="M141" s="283"/>
      <c r="N141" s="283"/>
      <c r="O141" s="283"/>
      <c r="P141" s="283"/>
      <c r="Q141" s="283"/>
      <c r="R141" s="283"/>
      <c r="S141" s="283"/>
      <c r="T141" s="283"/>
      <c r="U141" s="283"/>
      <c r="V141" s="283"/>
    </row>
    <row r="142" spans="2:22" x14ac:dyDescent="0.25">
      <c r="B142" s="283"/>
      <c r="C142" s="283"/>
      <c r="D142" s="283"/>
      <c r="E142" s="370"/>
      <c r="F142" s="283"/>
      <c r="G142" s="283"/>
      <c r="H142" s="283"/>
      <c r="I142" s="283"/>
      <c r="J142" s="283"/>
      <c r="K142" s="283"/>
      <c r="L142" s="283"/>
      <c r="M142" s="283"/>
      <c r="N142" s="283"/>
      <c r="O142" s="283"/>
      <c r="P142" s="283"/>
      <c r="Q142" s="283"/>
      <c r="R142" s="283"/>
      <c r="S142" s="283"/>
      <c r="T142" s="283"/>
      <c r="U142" s="283"/>
      <c r="V142" s="283"/>
    </row>
    <row r="143" spans="2:22" x14ac:dyDescent="0.25">
      <c r="B143" s="283"/>
      <c r="C143" s="283"/>
      <c r="D143" s="283"/>
      <c r="E143" s="370"/>
      <c r="F143" s="283"/>
      <c r="G143" s="283"/>
      <c r="H143" s="283"/>
      <c r="I143" s="283"/>
      <c r="J143" s="283"/>
      <c r="K143" s="283"/>
      <c r="L143" s="283"/>
      <c r="M143" s="283"/>
      <c r="N143" s="283"/>
      <c r="O143" s="283"/>
      <c r="P143" s="283"/>
      <c r="Q143" s="283"/>
      <c r="R143" s="283"/>
      <c r="S143" s="283"/>
      <c r="T143" s="283"/>
      <c r="U143" s="283"/>
      <c r="V143" s="283"/>
    </row>
    <row r="144" spans="2:22" x14ac:dyDescent="0.25">
      <c r="B144" s="283"/>
      <c r="C144" s="283"/>
      <c r="D144" s="283"/>
      <c r="E144" s="370"/>
      <c r="F144" s="283"/>
      <c r="G144" s="283"/>
      <c r="H144" s="283"/>
      <c r="I144" s="283"/>
      <c r="J144" s="283"/>
      <c r="K144" s="283"/>
      <c r="L144" s="283"/>
      <c r="M144" s="283"/>
      <c r="N144" s="283"/>
      <c r="O144" s="283"/>
      <c r="P144" s="283"/>
      <c r="Q144" s="283"/>
      <c r="R144" s="283"/>
      <c r="S144" s="283"/>
      <c r="T144" s="283"/>
      <c r="U144" s="283"/>
      <c r="V144" s="283"/>
    </row>
    <row r="145" spans="2:22" x14ac:dyDescent="0.25">
      <c r="B145" s="283"/>
      <c r="C145" s="283"/>
      <c r="D145" s="283"/>
      <c r="E145" s="370"/>
      <c r="F145" s="283"/>
      <c r="G145" s="283"/>
      <c r="H145" s="283"/>
      <c r="I145" s="283"/>
      <c r="J145" s="283"/>
      <c r="K145" s="283"/>
      <c r="L145" s="283"/>
      <c r="M145" s="283"/>
      <c r="N145" s="283"/>
      <c r="O145" s="283"/>
      <c r="P145" s="283"/>
      <c r="Q145" s="283"/>
      <c r="R145" s="283"/>
      <c r="S145" s="283"/>
      <c r="T145" s="283"/>
      <c r="U145" s="283"/>
      <c r="V145" s="283"/>
    </row>
    <row r="146" spans="2:22" x14ac:dyDescent="0.25">
      <c r="B146" s="283"/>
      <c r="C146" s="283"/>
      <c r="D146" s="283"/>
      <c r="E146" s="370"/>
      <c r="F146" s="283"/>
      <c r="G146" s="283"/>
      <c r="H146" s="283"/>
      <c r="I146" s="283"/>
      <c r="J146" s="283"/>
      <c r="K146" s="283"/>
      <c r="L146" s="283"/>
      <c r="M146" s="283"/>
      <c r="N146" s="283"/>
      <c r="O146" s="283"/>
      <c r="P146" s="283"/>
      <c r="Q146" s="283"/>
      <c r="R146" s="283"/>
      <c r="S146" s="283"/>
      <c r="T146" s="283"/>
      <c r="U146" s="283"/>
      <c r="V146" s="283"/>
    </row>
    <row r="147" spans="2:22" x14ac:dyDescent="0.25">
      <c r="B147" s="283"/>
      <c r="C147" s="283"/>
      <c r="D147" s="283"/>
      <c r="E147" s="370"/>
      <c r="F147" s="283"/>
      <c r="G147" s="283"/>
      <c r="H147" s="283"/>
      <c r="I147" s="283"/>
      <c r="J147" s="283"/>
      <c r="K147" s="283"/>
      <c r="L147" s="283"/>
      <c r="M147" s="283"/>
      <c r="N147" s="283"/>
      <c r="O147" s="283"/>
      <c r="P147" s="283"/>
      <c r="Q147" s="283"/>
      <c r="R147" s="283"/>
      <c r="S147" s="283"/>
      <c r="T147" s="283"/>
      <c r="U147" s="283"/>
      <c r="V147" s="283"/>
    </row>
    <row r="148" spans="2:22" x14ac:dyDescent="0.25">
      <c r="B148" s="283"/>
      <c r="C148" s="283"/>
      <c r="D148" s="283"/>
      <c r="E148" s="370"/>
      <c r="F148" s="283"/>
      <c r="G148" s="283"/>
      <c r="H148" s="283"/>
      <c r="I148" s="283"/>
      <c r="J148" s="283"/>
      <c r="K148" s="283"/>
      <c r="L148" s="283"/>
      <c r="M148" s="283"/>
      <c r="N148" s="283"/>
      <c r="O148" s="283"/>
      <c r="P148" s="283"/>
      <c r="Q148" s="283"/>
      <c r="R148" s="283"/>
      <c r="S148" s="283"/>
      <c r="T148" s="283"/>
      <c r="U148" s="283"/>
      <c r="V148" s="283"/>
    </row>
    <row r="149" spans="2:22" x14ac:dyDescent="0.25">
      <c r="B149" s="283"/>
      <c r="C149" s="283"/>
      <c r="D149" s="283"/>
      <c r="E149" s="370"/>
      <c r="F149" s="283"/>
      <c r="G149" s="283"/>
      <c r="H149" s="283"/>
      <c r="I149" s="283"/>
      <c r="J149" s="283"/>
      <c r="K149" s="283"/>
      <c r="L149" s="283"/>
      <c r="M149" s="283"/>
      <c r="N149" s="283"/>
      <c r="O149" s="283"/>
      <c r="P149" s="283"/>
      <c r="Q149" s="283"/>
      <c r="R149" s="283"/>
      <c r="S149" s="283"/>
      <c r="T149" s="283"/>
      <c r="U149" s="283"/>
      <c r="V149" s="283"/>
    </row>
    <row r="150" spans="2:22" x14ac:dyDescent="0.25">
      <c r="B150" s="283"/>
      <c r="C150" s="283"/>
      <c r="D150" s="283"/>
      <c r="E150" s="370"/>
      <c r="F150" s="283"/>
      <c r="G150" s="283"/>
      <c r="H150" s="283"/>
      <c r="I150" s="283"/>
      <c r="J150" s="283"/>
      <c r="K150" s="283"/>
      <c r="L150" s="283"/>
      <c r="M150" s="283"/>
      <c r="N150" s="283"/>
      <c r="O150" s="283"/>
      <c r="P150" s="283"/>
      <c r="Q150" s="283"/>
      <c r="R150" s="283"/>
      <c r="S150" s="283"/>
      <c r="T150" s="283"/>
      <c r="U150" s="283"/>
      <c r="V150" s="283"/>
    </row>
    <row r="151" spans="2:22" x14ac:dyDescent="0.25">
      <c r="B151" s="283"/>
      <c r="C151" s="283"/>
      <c r="D151" s="283"/>
      <c r="E151" s="370"/>
      <c r="F151" s="283"/>
      <c r="G151" s="283"/>
      <c r="H151" s="283"/>
      <c r="I151" s="283"/>
      <c r="J151" s="283"/>
      <c r="K151" s="283"/>
      <c r="L151" s="283"/>
      <c r="M151" s="283"/>
      <c r="N151" s="283"/>
      <c r="O151" s="283"/>
      <c r="P151" s="283"/>
      <c r="Q151" s="283"/>
      <c r="R151" s="283"/>
      <c r="S151" s="283"/>
      <c r="T151" s="283"/>
      <c r="U151" s="283"/>
      <c r="V151" s="283"/>
    </row>
    <row r="152" spans="2:22" x14ac:dyDescent="0.25">
      <c r="B152" s="283"/>
      <c r="C152" s="283"/>
      <c r="D152" s="283"/>
      <c r="E152" s="370"/>
      <c r="F152" s="283"/>
      <c r="G152" s="283"/>
      <c r="H152" s="283"/>
      <c r="I152" s="283"/>
      <c r="J152" s="283"/>
      <c r="K152" s="283"/>
      <c r="L152" s="283"/>
      <c r="M152" s="283"/>
      <c r="N152" s="283"/>
      <c r="O152" s="283"/>
      <c r="P152" s="283"/>
      <c r="Q152" s="283"/>
      <c r="R152" s="283"/>
      <c r="S152" s="283"/>
      <c r="T152" s="283"/>
      <c r="U152" s="283"/>
      <c r="V152" s="283"/>
    </row>
    <row r="153" spans="2:22" x14ac:dyDescent="0.25">
      <c r="B153" s="283"/>
      <c r="C153" s="283"/>
      <c r="D153" s="283"/>
      <c r="E153" s="283"/>
      <c r="F153" s="283"/>
      <c r="G153" s="283"/>
      <c r="H153" s="283"/>
      <c r="I153" s="283"/>
      <c r="J153" s="283"/>
      <c r="K153" s="283"/>
      <c r="L153" s="283"/>
      <c r="M153" s="283"/>
      <c r="N153" s="283"/>
      <c r="O153" s="283"/>
      <c r="P153" s="283"/>
      <c r="Q153" s="283"/>
      <c r="R153" s="283"/>
      <c r="S153" s="283"/>
      <c r="T153" s="283"/>
      <c r="U153" s="283"/>
      <c r="V153" s="283"/>
    </row>
  </sheetData>
  <mergeCells count="3">
    <mergeCell ref="B2:G2"/>
    <mergeCell ref="C49:G49"/>
    <mergeCell ref="C84:F8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9958-46D0-436F-824F-15C4AA54C7FC}">
  <dimension ref="A1:I65"/>
  <sheetViews>
    <sheetView topLeftCell="A34" workbookViewId="0">
      <selection activeCell="F61" sqref="F61"/>
    </sheetView>
  </sheetViews>
  <sheetFormatPr defaultRowHeight="15" x14ac:dyDescent="0.25"/>
  <cols>
    <col min="1" max="1" width="34" customWidth="1"/>
    <col min="2" max="2" width="19.140625" customWidth="1"/>
    <col min="3" max="3" width="31.7109375" customWidth="1"/>
    <col min="4" max="4" width="15.42578125" customWidth="1"/>
    <col min="5" max="5" width="20.28515625" customWidth="1"/>
    <col min="6" max="7" width="21.7109375" customWidth="1"/>
    <col min="8" max="9" width="20.5703125" customWidth="1"/>
  </cols>
  <sheetData>
    <row r="1" spans="1:9" ht="15.75" thickBot="1" x14ac:dyDescent="0.3">
      <c r="A1" s="393" t="s">
        <v>422</v>
      </c>
      <c r="B1" s="386"/>
      <c r="C1" s="108"/>
      <c r="D1" s="108"/>
      <c r="E1" s="108"/>
      <c r="F1" s="108"/>
      <c r="G1" s="108"/>
      <c r="H1" s="108"/>
      <c r="I1" s="108"/>
    </row>
    <row r="2" spans="1:9" ht="15.75" thickBot="1" x14ac:dyDescent="0.3">
      <c r="A2" s="392" t="s">
        <v>422</v>
      </c>
      <c r="B2" s="392"/>
      <c r="C2" s="55"/>
      <c r="D2" s="424" t="s">
        <v>404</v>
      </c>
      <c r="E2" s="409" t="s">
        <v>429</v>
      </c>
      <c r="F2" s="55"/>
      <c r="G2" s="384" t="s">
        <v>474</v>
      </c>
      <c r="H2" s="384" t="s">
        <v>404</v>
      </c>
      <c r="I2" s="384" t="s">
        <v>429</v>
      </c>
    </row>
    <row r="3" spans="1:9" x14ac:dyDescent="0.25">
      <c r="A3" s="55"/>
      <c r="B3" s="394" t="s">
        <v>405</v>
      </c>
      <c r="C3" s="398" t="s">
        <v>406</v>
      </c>
      <c r="D3" s="425">
        <f>'Balance sheet'!J110</f>
        <v>3651</v>
      </c>
      <c r="E3" s="399">
        <f>-'Trailing 12-months'!G35</f>
        <v>3746</v>
      </c>
      <c r="F3" s="104"/>
      <c r="G3" s="416" t="s">
        <v>425</v>
      </c>
      <c r="H3" s="417">
        <v>0.50275406224180663</v>
      </c>
      <c r="I3" s="421">
        <v>0.50917493543563952</v>
      </c>
    </row>
    <row r="4" spans="1:9" ht="15.75" thickBot="1" x14ac:dyDescent="0.3">
      <c r="A4" s="55"/>
      <c r="B4" s="395" t="s">
        <v>407</v>
      </c>
      <c r="C4" s="282" t="s">
        <v>408</v>
      </c>
      <c r="D4" s="426">
        <v>4926</v>
      </c>
      <c r="E4" s="400">
        <f>PRODUCT(1.12,3109.183856)</f>
        <v>3482.2859187200006</v>
      </c>
      <c r="F4" s="104"/>
      <c r="G4" s="418" t="s">
        <v>426</v>
      </c>
      <c r="H4" s="415">
        <v>0.49724593775819331</v>
      </c>
      <c r="I4" s="422">
        <v>0.49082506456436048</v>
      </c>
    </row>
    <row r="5" spans="1:9" x14ac:dyDescent="0.25">
      <c r="A5" s="55"/>
      <c r="B5" s="396" t="s">
        <v>409</v>
      </c>
      <c r="C5" s="401" t="s">
        <v>430</v>
      </c>
      <c r="D5" s="427">
        <f>-'Reorganised Statements'!H39</f>
        <v>3611</v>
      </c>
      <c r="E5" s="402">
        <f>-'Reorganised Statements'!H39</f>
        <v>3611</v>
      </c>
      <c r="F5" s="104"/>
      <c r="G5" s="418"/>
      <c r="H5" s="70"/>
      <c r="I5" s="422"/>
    </row>
    <row r="6" spans="1:9" ht="15.75" thickBot="1" x14ac:dyDescent="0.3">
      <c r="A6" s="55"/>
      <c r="B6" s="397" t="s">
        <v>410</v>
      </c>
      <c r="C6" s="403" t="s">
        <v>473</v>
      </c>
      <c r="D6" s="428">
        <f>(SUM(D7:D9))</f>
        <v>3754</v>
      </c>
      <c r="E6" s="404">
        <f>(SUM(E7:E9))</f>
        <v>3754</v>
      </c>
      <c r="F6" s="104"/>
      <c r="G6" s="418" t="s">
        <v>427</v>
      </c>
      <c r="H6" s="415">
        <f>D4/(D4+D6)</f>
        <v>0.56751152073732714</v>
      </c>
      <c r="I6" s="422">
        <v>0.48122558420632017</v>
      </c>
    </row>
    <row r="7" spans="1:9" ht="15.75" thickBot="1" x14ac:dyDescent="0.3">
      <c r="A7" s="55"/>
      <c r="B7" s="55"/>
      <c r="C7" s="405" t="s">
        <v>411</v>
      </c>
      <c r="D7" s="429">
        <v>3635</v>
      </c>
      <c r="E7" s="406">
        <v>3635</v>
      </c>
      <c r="F7" s="104"/>
      <c r="G7" s="419" t="s">
        <v>428</v>
      </c>
      <c r="H7" s="420">
        <f>D6/(D4+D6)</f>
        <v>0.43248847926267281</v>
      </c>
      <c r="I7" s="423">
        <v>0.51877441579367978</v>
      </c>
    </row>
    <row r="8" spans="1:9" x14ac:dyDescent="0.25">
      <c r="A8" s="55"/>
      <c r="B8" s="55"/>
      <c r="C8" s="405" t="s">
        <v>109</v>
      </c>
      <c r="D8" s="429">
        <v>2</v>
      </c>
      <c r="E8" s="406">
        <v>2</v>
      </c>
      <c r="F8" s="55"/>
      <c r="G8" s="55"/>
      <c r="H8" s="55"/>
      <c r="I8" s="55"/>
    </row>
    <row r="9" spans="1:9" x14ac:dyDescent="0.25">
      <c r="A9" s="55"/>
      <c r="B9" s="55"/>
      <c r="C9" s="407" t="s">
        <v>412</v>
      </c>
      <c r="D9" s="430">
        <v>117</v>
      </c>
      <c r="E9" s="408">
        <v>117</v>
      </c>
      <c r="F9" s="55"/>
      <c r="G9" s="55"/>
      <c r="H9" s="55"/>
      <c r="I9" s="55"/>
    </row>
    <row r="10" spans="1:9" ht="15.75" thickBot="1" x14ac:dyDescent="0.3">
      <c r="A10" s="55"/>
      <c r="B10" s="55"/>
      <c r="C10" s="55"/>
      <c r="D10" s="55"/>
      <c r="E10" s="55"/>
      <c r="F10" s="55"/>
      <c r="G10" s="55"/>
      <c r="H10" s="55"/>
      <c r="I10" s="55"/>
    </row>
    <row r="11" spans="1:9" ht="15.75" thickBot="1" x14ac:dyDescent="0.3">
      <c r="A11" s="410" t="s">
        <v>423</v>
      </c>
      <c r="B11" s="411"/>
      <c r="C11" s="412"/>
      <c r="D11" s="55"/>
      <c r="E11" s="55"/>
      <c r="F11" s="55"/>
      <c r="G11" s="55"/>
      <c r="H11" s="55"/>
      <c r="I11" s="55"/>
    </row>
    <row r="12" spans="1:9" ht="15.75" thickBot="1" x14ac:dyDescent="0.3">
      <c r="A12" s="413"/>
      <c r="B12" s="414"/>
      <c r="C12" s="414"/>
      <c r="D12" s="55"/>
      <c r="E12" s="55"/>
      <c r="F12" s="55"/>
      <c r="G12" s="55"/>
      <c r="H12" s="55"/>
      <c r="I12" s="55"/>
    </row>
    <row r="13" spans="1:9" ht="15.75" thickBot="1" x14ac:dyDescent="0.3">
      <c r="A13" s="55"/>
      <c r="B13" s="383" t="s">
        <v>476</v>
      </c>
      <c r="C13" s="383" t="s">
        <v>413</v>
      </c>
      <c r="D13" s="383" t="s">
        <v>475</v>
      </c>
      <c r="E13" s="383" t="s">
        <v>414</v>
      </c>
      <c r="F13" s="55"/>
      <c r="G13" s="55"/>
      <c r="H13" s="55"/>
      <c r="I13" s="55"/>
    </row>
    <row r="14" spans="1:9" x14ac:dyDescent="0.25">
      <c r="A14" s="55"/>
      <c r="B14" s="100" t="s">
        <v>486</v>
      </c>
      <c r="C14" s="100">
        <v>4.3749999999999997E-2</v>
      </c>
      <c r="D14" s="100">
        <v>1</v>
      </c>
      <c r="E14" s="100">
        <v>351.5</v>
      </c>
      <c r="F14" s="55"/>
      <c r="G14" s="55"/>
      <c r="H14" s="55"/>
      <c r="I14" s="55"/>
    </row>
    <row r="15" spans="1:9" x14ac:dyDescent="0.25">
      <c r="A15" s="55"/>
      <c r="B15" s="100" t="s">
        <v>415</v>
      </c>
      <c r="C15" s="100">
        <v>3.6880000000000003E-2</v>
      </c>
      <c r="D15" s="100">
        <v>2</v>
      </c>
      <c r="E15" s="100">
        <v>500</v>
      </c>
      <c r="F15" s="55"/>
      <c r="G15" s="55"/>
      <c r="H15" s="55"/>
      <c r="I15" s="55"/>
    </row>
    <row r="16" spans="1:9" x14ac:dyDescent="0.25">
      <c r="A16" s="55"/>
      <c r="B16" s="100" t="s">
        <v>484</v>
      </c>
      <c r="C16" s="100">
        <v>4.0570000000000002E-2</v>
      </c>
      <c r="D16" s="100">
        <v>4</v>
      </c>
      <c r="E16" s="100">
        <v>300</v>
      </c>
      <c r="F16" s="55"/>
      <c r="G16" s="55"/>
      <c r="H16" s="55"/>
      <c r="I16" s="55"/>
    </row>
    <row r="17" spans="1:9" x14ac:dyDescent="0.25">
      <c r="A17" s="55"/>
      <c r="B17" s="100" t="s">
        <v>485</v>
      </c>
      <c r="C17" s="100">
        <v>1.2840000000000001E-2</v>
      </c>
      <c r="D17" s="100">
        <v>4</v>
      </c>
      <c r="E17" s="100">
        <v>300</v>
      </c>
      <c r="F17" s="55"/>
      <c r="G17" s="55"/>
      <c r="H17" s="55"/>
      <c r="I17" s="55"/>
    </row>
    <row r="18" spans="1:9" x14ac:dyDescent="0.25">
      <c r="A18" s="55"/>
      <c r="B18" s="70" t="s">
        <v>416</v>
      </c>
      <c r="C18" s="70">
        <v>1.8360000000000001E-2</v>
      </c>
      <c r="D18" s="70">
        <v>5</v>
      </c>
      <c r="E18" s="70">
        <v>300</v>
      </c>
      <c r="F18" s="55"/>
      <c r="G18" s="55"/>
      <c r="H18" s="55"/>
      <c r="I18" s="55"/>
    </row>
    <row r="19" spans="1:9" x14ac:dyDescent="0.25">
      <c r="A19" s="55"/>
      <c r="B19" s="70" t="s">
        <v>417</v>
      </c>
      <c r="C19" s="70">
        <v>1.7680000000000001E-2</v>
      </c>
      <c r="D19" s="70">
        <v>8</v>
      </c>
      <c r="E19" s="70">
        <v>300</v>
      </c>
      <c r="F19" s="55"/>
      <c r="G19" s="55"/>
      <c r="H19" s="55"/>
      <c r="I19" s="55"/>
    </row>
    <row r="20" spans="1:9" x14ac:dyDescent="0.25">
      <c r="A20" s="55"/>
      <c r="B20" s="70" t="s">
        <v>418</v>
      </c>
      <c r="C20" s="70">
        <v>1.3899999999999999E-2</v>
      </c>
      <c r="D20" s="70">
        <v>10</v>
      </c>
      <c r="E20" s="70">
        <v>400</v>
      </c>
      <c r="F20" s="55"/>
      <c r="G20" s="55"/>
      <c r="H20" s="55"/>
      <c r="I20" s="55"/>
    </row>
    <row r="21" spans="1:9" ht="15.75" thickBot="1" x14ac:dyDescent="0.3">
      <c r="A21" s="55"/>
      <c r="B21" s="55"/>
      <c r="C21" s="55"/>
      <c r="D21" s="55"/>
      <c r="E21" s="55"/>
      <c r="F21" s="55"/>
      <c r="G21" s="55" t="s">
        <v>505</v>
      </c>
      <c r="H21" s="55" t="s">
        <v>505</v>
      </c>
      <c r="I21" s="55"/>
    </row>
    <row r="22" spans="1:9" ht="15.75" thickBot="1" x14ac:dyDescent="0.3">
      <c r="A22" s="55"/>
      <c r="B22" s="309" t="s">
        <v>424</v>
      </c>
      <c r="C22" s="310">
        <f xml:space="preserve"> (PRODUCT(C14:E14)+ PRODUCT(C15:E15) + PRODUCT(C16:E16) + PRODUCT(C17:E17)+ PRODUCT(C18:E18)+PRODUCT(C19:E19)+PRODUCT(C20:E20))/(PRODUCT(D14:E14) + PRODUCT(D15:E15) + PRODUCT(D16:E16) + PRODUCT(D17:E17)+PRODUCT(D18:E18)+PRODUCT(D19:E19)+PRODUCT(D20:E20))</f>
        <v>2.0763174269407374E-2</v>
      </c>
      <c r="D22" s="306" t="s">
        <v>487</v>
      </c>
      <c r="E22" s="55"/>
      <c r="F22" s="55"/>
      <c r="G22" s="431">
        <f>(SUM(PRODUCT(C14,E14),PRODUCT(C15,E15),PRODUCT(C16,E16),PRODUCT(C17,E17),PRODUCT(C18,E18),PRODUCT(C19,E19),PRODUCT(C20,E20)))/(SUM(E14:E20))</f>
        <v>2.7009229043442794E-2</v>
      </c>
      <c r="H22" s="431">
        <f>(SUM(PRODUCT(C14,D14),PRODUCT(C15,D15),PRODUCT(C16,D16),PRODUCT(C17,D17),PRODUCT(C18,D18),PRODUCT(C19,D19),PRODUCT(C20,D20)))/(SUM(D14:D20))</f>
        <v>2.0687941176470586E-2</v>
      </c>
      <c r="I22" s="55"/>
    </row>
    <row r="23" spans="1:9" x14ac:dyDescent="0.25">
      <c r="A23" s="55"/>
      <c r="B23" s="55"/>
      <c r="C23" s="55"/>
      <c r="D23" s="55"/>
      <c r="E23" s="55"/>
      <c r="F23" s="55"/>
      <c r="G23" s="55"/>
      <c r="H23" s="55"/>
      <c r="I23" s="55"/>
    </row>
    <row r="24" spans="1:9" ht="15.75" thickBot="1" x14ac:dyDescent="0.3">
      <c r="A24" s="262"/>
      <c r="B24" s="55"/>
      <c r="C24" s="55"/>
      <c r="D24" s="55"/>
      <c r="E24" s="55"/>
      <c r="F24" s="55"/>
      <c r="G24" s="55"/>
      <c r="H24" s="55"/>
      <c r="I24" s="55"/>
    </row>
    <row r="25" spans="1:9" ht="15.75" thickBot="1" x14ac:dyDescent="0.3">
      <c r="A25" s="387" t="s">
        <v>431</v>
      </c>
      <c r="B25" s="388"/>
      <c r="C25" s="384" t="s">
        <v>165</v>
      </c>
      <c r="D25" s="384" t="s">
        <v>432</v>
      </c>
      <c r="E25" s="384" t="s">
        <v>433</v>
      </c>
      <c r="F25" s="386" t="s">
        <v>434</v>
      </c>
      <c r="G25" s="55"/>
      <c r="H25" s="55"/>
      <c r="I25" s="55"/>
    </row>
    <row r="26" spans="1:9" x14ac:dyDescent="0.25">
      <c r="A26" s="262" t="s">
        <v>435</v>
      </c>
      <c r="B26" s="55"/>
      <c r="C26" s="382">
        <v>3836.2650000000003</v>
      </c>
      <c r="D26" s="382">
        <v>0.52576026796023623</v>
      </c>
      <c r="E26" s="382">
        <v>0.41</v>
      </c>
      <c r="F26" s="295">
        <v>0.21556170986369683</v>
      </c>
      <c r="G26" s="55"/>
      <c r="H26" s="55"/>
      <c r="I26" s="55"/>
    </row>
    <row r="27" spans="1:9" x14ac:dyDescent="0.25">
      <c r="A27" s="262" t="s">
        <v>436</v>
      </c>
      <c r="B27" s="55"/>
      <c r="C27" s="382">
        <v>49.814999999999998</v>
      </c>
      <c r="D27" s="382">
        <v>6.8271476940303041E-3</v>
      </c>
      <c r="E27" s="382">
        <v>0.28999999999999998</v>
      </c>
      <c r="F27" s="295">
        <v>1.9798728312687879E-3</v>
      </c>
      <c r="G27" s="55"/>
      <c r="H27" s="55"/>
      <c r="I27" s="55"/>
    </row>
    <row r="28" spans="1:9" x14ac:dyDescent="0.25">
      <c r="A28" s="262" t="s">
        <v>437</v>
      </c>
      <c r="B28" s="55"/>
      <c r="C28" s="382">
        <v>1278.7550000000001</v>
      </c>
      <c r="D28" s="382">
        <v>0.17525342265341209</v>
      </c>
      <c r="E28" s="382">
        <v>0.6</v>
      </c>
      <c r="F28" s="295">
        <v>0.10515205359204725</v>
      </c>
      <c r="G28" s="55"/>
      <c r="H28" s="55"/>
      <c r="I28" s="55"/>
    </row>
    <row r="29" spans="1:9" x14ac:dyDescent="0.25">
      <c r="A29" s="262" t="s">
        <v>438</v>
      </c>
      <c r="B29" s="55"/>
      <c r="C29" s="382">
        <v>903</v>
      </c>
      <c r="D29" s="382">
        <v>0.12375618523957373</v>
      </c>
      <c r="E29" s="382">
        <v>0.8</v>
      </c>
      <c r="F29" s="295">
        <v>9.900494819165899E-2</v>
      </c>
      <c r="G29" s="55"/>
      <c r="H29" s="55"/>
      <c r="I29" s="1"/>
    </row>
    <row r="30" spans="1:9" x14ac:dyDescent="0.25">
      <c r="A30" s="262"/>
      <c r="B30" s="55"/>
      <c r="C30" s="382"/>
      <c r="D30" s="382"/>
      <c r="E30" s="382"/>
      <c r="F30" s="295">
        <v>0</v>
      </c>
      <c r="G30" s="55"/>
      <c r="H30" s="55"/>
      <c r="I30" s="1"/>
    </row>
    <row r="31" spans="1:9" x14ac:dyDescent="0.25">
      <c r="A31" s="262" t="s">
        <v>439</v>
      </c>
      <c r="B31" s="55"/>
      <c r="C31" s="382">
        <v>1228.77</v>
      </c>
      <c r="D31" s="382">
        <v>0.16840297645274752</v>
      </c>
      <c r="E31" s="382">
        <v>0.74</v>
      </c>
      <c r="F31" s="295">
        <v>0.12461820257503316</v>
      </c>
      <c r="G31" s="55"/>
      <c r="H31" s="55"/>
      <c r="I31" s="1"/>
    </row>
    <row r="32" spans="1:9" ht="15.75" thickBot="1" x14ac:dyDescent="0.3">
      <c r="A32" s="262" t="s">
        <v>440</v>
      </c>
      <c r="B32" s="55"/>
      <c r="C32" s="382"/>
      <c r="D32" s="382">
        <v>0</v>
      </c>
      <c r="E32" s="382">
        <v>0.91</v>
      </c>
      <c r="F32" s="295">
        <v>0</v>
      </c>
      <c r="G32" s="55"/>
      <c r="H32" s="55"/>
      <c r="I32" s="1"/>
    </row>
    <row r="33" spans="1:9" ht="15.75" thickBot="1" x14ac:dyDescent="0.3">
      <c r="A33" s="379" t="s">
        <v>441</v>
      </c>
      <c r="B33" s="380"/>
      <c r="C33" s="383">
        <v>7296.6050000000014</v>
      </c>
      <c r="D33" s="383">
        <v>0.99999999999999989</v>
      </c>
      <c r="E33" s="383"/>
      <c r="F33" s="389">
        <v>0.54631678705370501</v>
      </c>
      <c r="G33" s="55"/>
      <c r="H33" s="55"/>
      <c r="I33" s="1"/>
    </row>
    <row r="34" spans="1:9" ht="15.75" thickBot="1" x14ac:dyDescent="0.3">
      <c r="A34" s="55"/>
      <c r="B34" s="55"/>
      <c r="C34" s="55"/>
      <c r="D34" s="55"/>
      <c r="E34" s="55"/>
      <c r="F34" s="55"/>
      <c r="G34" s="55"/>
      <c r="H34" s="55"/>
      <c r="I34" s="1"/>
    </row>
    <row r="35" spans="1:9" ht="15.75" thickBot="1" x14ac:dyDescent="0.3">
      <c r="A35" s="384" t="s">
        <v>464</v>
      </c>
      <c r="B35" s="385">
        <v>43830</v>
      </c>
      <c r="C35" s="386" t="s">
        <v>465</v>
      </c>
      <c r="D35" s="55"/>
      <c r="E35" s="55"/>
      <c r="F35" s="55"/>
      <c r="G35" s="55"/>
      <c r="H35" s="55"/>
      <c r="I35" s="1"/>
    </row>
    <row r="36" spans="1:9" x14ac:dyDescent="0.25">
      <c r="A36" s="382" t="s">
        <v>466</v>
      </c>
      <c r="B36" s="382">
        <v>0.54631678705370501</v>
      </c>
      <c r="C36" s="295">
        <v>0.54631678705370501</v>
      </c>
      <c r="D36" s="55"/>
      <c r="E36" s="55"/>
      <c r="F36" s="55"/>
      <c r="G36" s="55"/>
      <c r="H36" s="55"/>
      <c r="I36" s="1"/>
    </row>
    <row r="37" spans="1:9" x14ac:dyDescent="0.25">
      <c r="A37" s="382" t="s">
        <v>467</v>
      </c>
      <c r="B37" s="382">
        <f>D5/D3</f>
        <v>0.98904409750753219</v>
      </c>
      <c r="C37" s="295">
        <f>E5/E3</f>
        <v>0.96396155899626268</v>
      </c>
      <c r="D37" s="55"/>
      <c r="E37" s="55"/>
      <c r="F37" s="55"/>
      <c r="G37" s="55"/>
      <c r="H37" s="55"/>
      <c r="I37" s="1"/>
    </row>
    <row r="38" spans="1:9" x14ac:dyDescent="0.25">
      <c r="A38" s="382" t="s">
        <v>468</v>
      </c>
      <c r="B38" s="382">
        <f>D6/D4</f>
        <v>0.76207876573284616</v>
      </c>
      <c r="C38" s="295">
        <f>E6/E4</f>
        <v>1.0780275048120904</v>
      </c>
      <c r="D38" s="55"/>
      <c r="E38" s="55"/>
      <c r="F38" s="55"/>
      <c r="G38" s="55"/>
      <c r="H38" s="55"/>
      <c r="I38" s="1"/>
    </row>
    <row r="39" spans="1:9" x14ac:dyDescent="0.25">
      <c r="A39" s="382" t="s">
        <v>469</v>
      </c>
      <c r="B39" s="382">
        <v>0.27900000000000003</v>
      </c>
      <c r="C39" s="295">
        <v>0.27900000000000003</v>
      </c>
      <c r="D39" s="55"/>
      <c r="E39" s="55"/>
      <c r="F39" s="55"/>
      <c r="G39" s="55"/>
      <c r="H39" s="55"/>
      <c r="I39" s="1"/>
    </row>
    <row r="40" spans="1:9" x14ac:dyDescent="0.25">
      <c r="A40" s="382" t="s">
        <v>470</v>
      </c>
      <c r="B40" s="382">
        <f>PRODUCT(B36,1+PRODUCT(1-B39,B37))</f>
        <v>0.93589572184272718</v>
      </c>
      <c r="C40" s="295">
        <f>PRODUCT(B36,1+PRODUCT(1-B39,C37))</f>
        <v>0.9260158502984247</v>
      </c>
      <c r="D40" s="55"/>
      <c r="E40" s="55"/>
      <c r="F40" s="55"/>
      <c r="G40" s="55"/>
      <c r="H40" s="55"/>
      <c r="I40" s="1"/>
    </row>
    <row r="41" spans="1:9" ht="15.75" thickBot="1" x14ac:dyDescent="0.3">
      <c r="A41" s="381" t="s">
        <v>471</v>
      </c>
      <c r="B41" s="381">
        <f>PRODUCT(B36,1+PRODUCT(1-B39,B38))</f>
        <v>0.84649534787593761</v>
      </c>
      <c r="C41" s="307">
        <f>PRODUCT(B36,1+PRODUCT(1-B39,C38))</f>
        <v>0.97094578798130338</v>
      </c>
      <c r="D41" s="55"/>
      <c r="E41" s="55"/>
      <c r="F41" s="55"/>
      <c r="G41" s="55"/>
      <c r="H41" s="55"/>
      <c r="I41" s="1"/>
    </row>
    <row r="42" spans="1:9" x14ac:dyDescent="0.25">
      <c r="A42" s="1"/>
      <c r="B42" s="1"/>
      <c r="C42" s="1"/>
      <c r="D42" s="1"/>
      <c r="E42" s="1"/>
      <c r="F42" s="1"/>
      <c r="G42" s="1"/>
      <c r="H42" s="1"/>
      <c r="I42" s="1"/>
    </row>
    <row r="43" spans="1:9" ht="15.75" thickBot="1" x14ac:dyDescent="0.3">
      <c r="A43" s="1"/>
      <c r="B43" s="1"/>
      <c r="C43" s="1"/>
      <c r="D43" s="1"/>
      <c r="E43" s="1"/>
      <c r="F43" s="1"/>
      <c r="G43" s="1"/>
      <c r="H43" s="1"/>
      <c r="I43" s="1"/>
    </row>
    <row r="44" spans="1:9" ht="15.75" thickBot="1" x14ac:dyDescent="0.3">
      <c r="A44" s="285" t="s">
        <v>381</v>
      </c>
      <c r="B44" s="308"/>
      <c r="C44" s="308"/>
      <c r="D44" s="308"/>
      <c r="E44" s="308"/>
      <c r="F44" s="305"/>
      <c r="G44" s="1"/>
      <c r="H44" s="1"/>
      <c r="I44" s="1"/>
    </row>
    <row r="45" spans="1:9" x14ac:dyDescent="0.25">
      <c r="A45" s="303" t="s">
        <v>382</v>
      </c>
      <c r="B45" s="304"/>
      <c r="C45" s="303" t="s">
        <v>383</v>
      </c>
      <c r="D45" s="304"/>
      <c r="E45" s="303" t="s">
        <v>384</v>
      </c>
      <c r="F45" s="304"/>
      <c r="G45" s="1"/>
      <c r="H45" s="1"/>
      <c r="I45" s="1"/>
    </row>
    <row r="46" spans="1:9" x14ac:dyDescent="0.25">
      <c r="A46" s="262" t="s">
        <v>385</v>
      </c>
      <c r="B46" s="289">
        <v>-7.2081146095294803E-4</v>
      </c>
      <c r="C46" s="262" t="s">
        <v>386</v>
      </c>
      <c r="D46" s="293">
        <v>-7.2081146095294803E-4</v>
      </c>
      <c r="E46" s="262"/>
      <c r="F46" s="295"/>
      <c r="G46" s="1"/>
      <c r="H46" s="1"/>
      <c r="I46" s="1"/>
    </row>
    <row r="47" spans="1:9" x14ac:dyDescent="0.25">
      <c r="A47" s="290" t="s">
        <v>387</v>
      </c>
      <c r="B47" s="291">
        <v>1.4999999999999999E-2</v>
      </c>
      <c r="C47" s="290" t="s">
        <v>388</v>
      </c>
      <c r="D47" s="291">
        <v>1.4999999999999999E-2</v>
      </c>
      <c r="E47" s="297" t="s">
        <v>421</v>
      </c>
      <c r="F47" s="301">
        <f>C22</f>
        <v>2.0763174269407374E-2</v>
      </c>
      <c r="G47" s="1"/>
      <c r="H47" s="1"/>
      <c r="I47" s="1"/>
    </row>
    <row r="48" spans="1:9" x14ac:dyDescent="0.25">
      <c r="A48" s="292" t="s">
        <v>389</v>
      </c>
      <c r="B48" s="293">
        <f>SUM(B46:B47)</f>
        <v>1.4279188539047052E-2</v>
      </c>
      <c r="C48" s="299" t="s">
        <v>389</v>
      </c>
      <c r="D48" s="293">
        <f>SUM(D46:D47)</f>
        <v>1.4279188539047052E-2</v>
      </c>
      <c r="E48" s="262"/>
      <c r="F48" s="295"/>
      <c r="G48" s="1"/>
      <c r="H48" s="1"/>
      <c r="I48" s="1"/>
    </row>
    <row r="49" spans="1:9" x14ac:dyDescent="0.25">
      <c r="A49" s="290" t="s">
        <v>390</v>
      </c>
      <c r="B49" s="291">
        <v>0.27900000000000003</v>
      </c>
      <c r="C49" s="290" t="s">
        <v>390</v>
      </c>
      <c r="D49" s="291">
        <v>0.27900000000000003</v>
      </c>
      <c r="E49" s="290" t="s">
        <v>390</v>
      </c>
      <c r="F49" s="291">
        <v>0.27900000000000003</v>
      </c>
      <c r="G49" s="1"/>
      <c r="H49" s="1"/>
      <c r="I49" s="1"/>
    </row>
    <row r="50" spans="1:9" x14ac:dyDescent="0.25">
      <c r="A50" s="292" t="s">
        <v>391</v>
      </c>
      <c r="B50" s="294">
        <f>PRODUCT(B48,(1-B49))</f>
        <v>1.0295294936652924E-2</v>
      </c>
      <c r="C50" s="292" t="s">
        <v>391</v>
      </c>
      <c r="D50" s="294">
        <f>PRODUCT(D48,(1-D49))</f>
        <v>1.0295294936652924E-2</v>
      </c>
      <c r="E50" s="292" t="s">
        <v>392</v>
      </c>
      <c r="F50" s="294">
        <f>PRODUCT(F47,(1-F49))</f>
        <v>1.4970248648242717E-2</v>
      </c>
      <c r="G50" s="1"/>
      <c r="H50" s="1"/>
      <c r="I50" s="1"/>
    </row>
    <row r="51" spans="1:9" x14ac:dyDescent="0.25">
      <c r="A51" s="262"/>
      <c r="B51" s="295"/>
      <c r="C51" s="262"/>
      <c r="D51" s="295"/>
      <c r="E51" s="262"/>
      <c r="F51" s="302"/>
      <c r="G51" s="1"/>
      <c r="H51" s="1"/>
      <c r="I51" s="1"/>
    </row>
    <row r="52" spans="1:9" x14ac:dyDescent="0.25">
      <c r="A52" s="292" t="s">
        <v>393</v>
      </c>
      <c r="B52" s="289">
        <v>-7.2081146095294803E-4</v>
      </c>
      <c r="C52" s="262" t="s">
        <v>393</v>
      </c>
      <c r="D52" s="293">
        <v>-7.2081146095294803E-4</v>
      </c>
      <c r="E52" s="262" t="s">
        <v>393</v>
      </c>
      <c r="F52" s="289">
        <v>-7.2081146095294803E-4</v>
      </c>
      <c r="G52" s="1"/>
      <c r="H52" s="1"/>
      <c r="I52" s="1"/>
    </row>
    <row r="53" spans="1:9" x14ac:dyDescent="0.25">
      <c r="A53" s="262" t="s">
        <v>394</v>
      </c>
      <c r="B53" s="296">
        <v>2.99661426831043E-2</v>
      </c>
      <c r="C53" s="262" t="s">
        <v>394</v>
      </c>
      <c r="D53" s="296">
        <v>2.99661426831043E-2</v>
      </c>
      <c r="E53" s="262" t="s">
        <v>394</v>
      </c>
      <c r="F53" s="296">
        <v>2.99661426831043E-2</v>
      </c>
      <c r="G53" s="1"/>
      <c r="H53" s="1"/>
      <c r="I53" s="1"/>
    </row>
    <row r="54" spans="1:9" x14ac:dyDescent="0.25">
      <c r="A54" s="262" t="s">
        <v>395</v>
      </c>
      <c r="B54" s="294">
        <v>4.0205104717786398E-2</v>
      </c>
      <c r="C54" s="262" t="s">
        <v>395</v>
      </c>
      <c r="D54" s="296">
        <v>4.0205104717786398E-2</v>
      </c>
      <c r="E54" s="262" t="s">
        <v>395</v>
      </c>
      <c r="F54" s="294">
        <v>4.0205104717786398E-2</v>
      </c>
      <c r="G54" s="1"/>
      <c r="H54" s="1"/>
      <c r="I54" s="1"/>
    </row>
    <row r="55" spans="1:9" x14ac:dyDescent="0.25">
      <c r="A55" s="292" t="s">
        <v>396</v>
      </c>
      <c r="B55" s="296">
        <f>B53+B54</f>
        <v>7.0171247400890702E-2</v>
      </c>
      <c r="C55" s="262" t="s">
        <v>396</v>
      </c>
      <c r="D55" s="296">
        <f>D53+D54</f>
        <v>7.0171247400890702E-2</v>
      </c>
      <c r="E55" s="262" t="s">
        <v>396</v>
      </c>
      <c r="F55" s="296">
        <f>F53+F54</f>
        <v>7.0171247400890702E-2</v>
      </c>
      <c r="G55" s="1"/>
      <c r="H55" s="1"/>
      <c r="I55" s="1"/>
    </row>
    <row r="56" spans="1:9" x14ac:dyDescent="0.25">
      <c r="A56" s="297" t="s">
        <v>397</v>
      </c>
      <c r="B56" s="298">
        <v>0.87311649000000002</v>
      </c>
      <c r="C56" s="290" t="s">
        <v>398</v>
      </c>
      <c r="D56" s="300">
        <v>0.83109791342430983</v>
      </c>
      <c r="E56" s="290" t="s">
        <v>397</v>
      </c>
      <c r="F56" s="298">
        <v>0.87311649000000002</v>
      </c>
      <c r="G56" s="1"/>
      <c r="H56" s="1"/>
      <c r="I56" s="1"/>
    </row>
    <row r="57" spans="1:9" x14ac:dyDescent="0.25">
      <c r="A57" s="262" t="s">
        <v>399</v>
      </c>
      <c r="B57" s="293">
        <f>B52+PRODUCT(B56,B55)</f>
        <v>6.0546861768634365E-2</v>
      </c>
      <c r="C57" s="262" t="s">
        <v>399</v>
      </c>
      <c r="D57" s="293">
        <f>D52+PRODUCT(D55:D56)</f>
        <v>5.7598365836308334E-2</v>
      </c>
      <c r="E57" s="262" t="s">
        <v>399</v>
      </c>
      <c r="F57" s="293">
        <f>SUM(F52,PRODUCT(F56,F55))</f>
        <v>6.0546861768634365E-2</v>
      </c>
      <c r="G57" s="1"/>
      <c r="H57" s="1"/>
      <c r="I57" s="1"/>
    </row>
    <row r="58" spans="1:9" ht="15.75" thickBot="1" x14ac:dyDescent="0.3">
      <c r="A58" s="262"/>
      <c r="B58" s="295"/>
      <c r="C58" s="262"/>
      <c r="D58" s="295"/>
      <c r="E58" s="262"/>
      <c r="F58" s="295"/>
      <c r="G58" s="1"/>
      <c r="H58" s="1"/>
      <c r="I58" s="1"/>
    </row>
    <row r="59" spans="1:9" x14ac:dyDescent="0.25">
      <c r="A59" s="287" t="s">
        <v>400</v>
      </c>
      <c r="B59" s="390">
        <f>B50*H4 +H3*B57</f>
        <v>3.5559474295447223E-2</v>
      </c>
      <c r="C59" s="287" t="s">
        <v>419</v>
      </c>
      <c r="D59" s="288"/>
      <c r="E59" s="287" t="s">
        <v>420</v>
      </c>
      <c r="F59" s="390">
        <f>F50*H4+F57*H3</f>
        <v>3.7884076037742839E-2</v>
      </c>
      <c r="G59" s="1"/>
      <c r="H59" s="1"/>
      <c r="I59" s="1"/>
    </row>
    <row r="60" spans="1:9" ht="15.75" thickBot="1" x14ac:dyDescent="0.3">
      <c r="A60" s="286" t="s">
        <v>401</v>
      </c>
      <c r="B60" s="391">
        <f>H7*B50+B57*H6</f>
        <v>3.8813638048904142E-2</v>
      </c>
      <c r="C60" s="286" t="s">
        <v>401</v>
      </c>
      <c r="D60" s="391">
        <f>D50*H7+H6*D57</f>
        <v>3.7140332638461969E-2</v>
      </c>
      <c r="E60" s="286" t="s">
        <v>401</v>
      </c>
      <c r="F60" s="391">
        <f>F50*H7+H6*F57</f>
        <v>4.0835501670253002E-2</v>
      </c>
      <c r="G60" s="1"/>
      <c r="H60" s="1"/>
      <c r="I60" s="1"/>
    </row>
    <row r="61" spans="1:9" ht="15.75" thickBot="1" x14ac:dyDescent="0.3">
      <c r="A61" s="262"/>
      <c r="B61" s="281" t="s">
        <v>402</v>
      </c>
      <c r="C61" s="311"/>
      <c r="D61" s="377"/>
      <c r="E61" s="55"/>
      <c r="F61" s="295"/>
      <c r="G61" s="1"/>
      <c r="H61" s="1"/>
      <c r="I61" s="1"/>
    </row>
    <row r="62" spans="1:9" x14ac:dyDescent="0.25">
      <c r="A62" s="262"/>
      <c r="B62" s="281" t="s">
        <v>472</v>
      </c>
      <c r="C62" s="311"/>
      <c r="D62" s="377"/>
      <c r="E62" s="482" t="s">
        <v>504</v>
      </c>
      <c r="F62" s="482" t="s">
        <v>497</v>
      </c>
      <c r="G62" s="1"/>
      <c r="H62" s="1"/>
      <c r="I62" s="1"/>
    </row>
    <row r="63" spans="1:9" ht="15.75" thickBot="1" x14ac:dyDescent="0.3">
      <c r="A63" s="274"/>
      <c r="B63" s="282" t="s">
        <v>403</v>
      </c>
      <c r="C63" s="284"/>
      <c r="D63" s="378"/>
      <c r="E63" s="381">
        <v>6.9450435939937757E-2</v>
      </c>
      <c r="F63" s="381">
        <v>4.4954889784730473E-2</v>
      </c>
      <c r="G63" s="1"/>
      <c r="H63" s="1"/>
      <c r="I63" s="1"/>
    </row>
    <row r="64" spans="1:9" x14ac:dyDescent="0.25">
      <c r="G64" s="1"/>
      <c r="H64" s="1"/>
      <c r="I64" s="1"/>
    </row>
    <row r="65" spans="7:9" x14ac:dyDescent="0.25">
      <c r="G65" s="1"/>
      <c r="H65" s="1"/>
      <c r="I65" s="1"/>
    </row>
  </sheetData>
  <phoneticPr fontId="3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Balance sheet</vt:lpstr>
      <vt:lpstr>Income Statement</vt:lpstr>
      <vt:lpstr>Reorganised Statements</vt:lpstr>
      <vt:lpstr>Cash flows</vt:lpstr>
      <vt:lpstr>Forecasts Gianma </vt:lpstr>
      <vt:lpstr>Ratio </vt:lpstr>
      <vt:lpstr>Consob Reorg </vt:lpstr>
      <vt:lpstr>Trailing 12-months</vt:lpstr>
      <vt:lpstr>WACC </vt:lpstr>
      <vt:lpstr>Forecasts Simo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Gianmarco</cp:lastModifiedBy>
  <dcterms:created xsi:type="dcterms:W3CDTF">2015-06-05T18:19:34Z</dcterms:created>
  <dcterms:modified xsi:type="dcterms:W3CDTF">2020-06-05T08:44:06Z</dcterms:modified>
</cp:coreProperties>
</file>