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3616" documentId="13_ncr:1_{62DBAB82-5A4C-4989-B565-9531680DA6CE}" xr6:coauthVersionLast="45" xr6:coauthVersionMax="45" xr10:uidLastSave="{55A6EAE7-7613-466E-B721-F6A9CA254FC2}"/>
  <bookViews>
    <workbookView xWindow="-108" yWindow="-108" windowWidth="23256" windowHeight="12576" firstSheet="4" activeTab="9" xr2:uid="{00000000-000D-0000-FFFF-FFFF00000000}"/>
  </bookViews>
  <sheets>
    <sheet name="Fin statements overview" sheetId="10" r:id="rId1"/>
    <sheet name="Balance sheet" sheetId="1" r:id="rId2"/>
    <sheet name="Income Statement" sheetId="3" r:id="rId3"/>
    <sheet name="Reorganised Statements" sheetId="2" r:id="rId4"/>
    <sheet name="Cash flows" sheetId="8" r:id="rId5"/>
    <sheet name="Consob Reorg " sheetId="12" r:id="rId6"/>
    <sheet name="Trailing 12-months" sheetId="5" r:id="rId7"/>
    <sheet name="ratio" sheetId="6" r:id="rId8"/>
    <sheet name="WACC " sheetId="7" r:id="rId9"/>
    <sheet name="Forecasts Simo " sheetId="9" r:id="rId10"/>
    <sheet name="Forecasts Gianma " sheetId="11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9" l="1"/>
  <c r="M17" i="9"/>
  <c r="V11" i="9"/>
  <c r="T11" i="9"/>
  <c r="R11" i="9"/>
  <c r="P11" i="9"/>
  <c r="N11" i="9"/>
  <c r="AB10" i="9"/>
  <c r="Z10" i="9"/>
  <c r="X10" i="9"/>
  <c r="V10" i="9"/>
  <c r="T10" i="9"/>
  <c r="R10" i="9"/>
  <c r="P10" i="9"/>
  <c r="N10" i="9"/>
  <c r="H25" i="9"/>
  <c r="G52" i="2"/>
  <c r="H22" i="7"/>
  <c r="G22" i="7"/>
  <c r="F47" i="7"/>
  <c r="H20" i="9" l="1"/>
  <c r="P8" i="9" l="1"/>
  <c r="R8" i="9" s="1"/>
  <c r="T8" i="9" s="1"/>
  <c r="V8" i="9" s="1"/>
  <c r="D6" i="9"/>
  <c r="H7" i="7"/>
  <c r="H6" i="7"/>
  <c r="F11" i="9"/>
  <c r="D11" i="9"/>
  <c r="F55" i="7" l="1"/>
  <c r="D55" i="7"/>
  <c r="B55" i="7"/>
  <c r="O8" i="9" l="1"/>
  <c r="M8" i="9"/>
  <c r="E8" i="9"/>
  <c r="G8" i="9"/>
  <c r="I8" i="9"/>
  <c r="K8" i="9"/>
  <c r="C22" i="7"/>
  <c r="D157" i="12" l="1"/>
  <c r="E157" i="12"/>
  <c r="E164" i="12" s="1"/>
  <c r="F157" i="12"/>
  <c r="D152" i="12"/>
  <c r="E152" i="12"/>
  <c r="F152" i="12"/>
  <c r="C152" i="12"/>
  <c r="D164" i="12"/>
  <c r="F164" i="12"/>
  <c r="D158" i="12"/>
  <c r="E158" i="12"/>
  <c r="F158" i="12"/>
  <c r="C158" i="12"/>
  <c r="E154" i="12"/>
  <c r="F154" i="12"/>
  <c r="D156" i="12"/>
  <c r="E156" i="12"/>
  <c r="F156" i="12"/>
  <c r="C156" i="12"/>
  <c r="D153" i="12"/>
  <c r="D154" i="12" s="1"/>
  <c r="E153" i="12"/>
  <c r="F153" i="12"/>
  <c r="D151" i="12"/>
  <c r="E151" i="12"/>
  <c r="F151" i="12"/>
  <c r="C151" i="12"/>
  <c r="D150" i="12"/>
  <c r="E150" i="12"/>
  <c r="F150" i="12"/>
  <c r="C150" i="12"/>
  <c r="D148" i="12"/>
  <c r="E148" i="12"/>
  <c r="F148" i="12"/>
  <c r="C148" i="12"/>
  <c r="D139" i="12"/>
  <c r="D147" i="12" s="1"/>
  <c r="E139" i="12"/>
  <c r="E147" i="12" s="1"/>
  <c r="F139" i="12"/>
  <c r="F147" i="12" s="1"/>
  <c r="C139" i="12"/>
  <c r="C147" i="12" s="1"/>
  <c r="D135" i="12"/>
  <c r="E135" i="12"/>
  <c r="F135" i="12"/>
  <c r="C135" i="12"/>
  <c r="D130" i="12"/>
  <c r="E130" i="12"/>
  <c r="F130" i="12"/>
  <c r="C130" i="12"/>
  <c r="D51" i="12"/>
  <c r="E51" i="12"/>
  <c r="F51" i="12"/>
  <c r="G51" i="12"/>
  <c r="C51" i="12"/>
  <c r="D50" i="12"/>
  <c r="E50" i="12"/>
  <c r="F50" i="12"/>
  <c r="G50" i="12"/>
  <c r="C50" i="12"/>
  <c r="D48" i="12"/>
  <c r="E48" i="12"/>
  <c r="F48" i="12"/>
  <c r="G48" i="12"/>
  <c r="C48" i="12"/>
  <c r="C44" i="12"/>
  <c r="D34" i="12"/>
  <c r="E34" i="12"/>
  <c r="F34" i="12"/>
  <c r="G34" i="12"/>
  <c r="C34" i="12"/>
  <c r="D29" i="12"/>
  <c r="E29" i="12"/>
  <c r="F29" i="12"/>
  <c r="G29" i="12"/>
  <c r="C29" i="12"/>
  <c r="D24" i="12"/>
  <c r="E24" i="12"/>
  <c r="F24" i="12"/>
  <c r="G24" i="12"/>
  <c r="C24" i="12"/>
  <c r="D16" i="12"/>
  <c r="E16" i="12"/>
  <c r="F16" i="12"/>
  <c r="G16" i="12"/>
  <c r="C16" i="12"/>
  <c r="D14" i="12"/>
  <c r="E14" i="12"/>
  <c r="F14" i="12"/>
  <c r="G14" i="12"/>
  <c r="C14" i="12"/>
  <c r="D9" i="12"/>
  <c r="E9" i="12"/>
  <c r="F9" i="12"/>
  <c r="G9" i="12"/>
  <c r="C9" i="12"/>
  <c r="G116" i="12"/>
  <c r="F116" i="12"/>
  <c r="E116" i="12"/>
  <c r="D116" i="12"/>
  <c r="C116" i="12"/>
  <c r="F115" i="12"/>
  <c r="C115" i="12"/>
  <c r="G112" i="12"/>
  <c r="G115" i="12" s="1"/>
  <c r="F112" i="12"/>
  <c r="E112" i="12"/>
  <c r="E115" i="12" s="1"/>
  <c r="D112" i="12"/>
  <c r="D115" i="12" s="1"/>
  <c r="C112" i="12"/>
  <c r="C102" i="12"/>
  <c r="C89" i="12" s="1"/>
  <c r="C105" i="12" s="1"/>
  <c r="G100" i="12"/>
  <c r="G102" i="12" s="1"/>
  <c r="G89" i="12" s="1"/>
  <c r="G105" i="12" s="1"/>
  <c r="F100" i="12"/>
  <c r="F102" i="12" s="1"/>
  <c r="F89" i="12" s="1"/>
  <c r="F105" i="12" s="1"/>
  <c r="E100" i="12"/>
  <c r="E102" i="12" s="1"/>
  <c r="E89" i="12" s="1"/>
  <c r="E105" i="12" s="1"/>
  <c r="D100" i="12"/>
  <c r="D102" i="12" s="1"/>
  <c r="D89" i="12" s="1"/>
  <c r="D105" i="12" s="1"/>
  <c r="G93" i="12"/>
  <c r="F93" i="12"/>
  <c r="G82" i="12"/>
  <c r="F82" i="12"/>
  <c r="E82" i="12"/>
  <c r="D82" i="12"/>
  <c r="C82" i="12"/>
  <c r="G78" i="12"/>
  <c r="F78" i="12"/>
  <c r="E78" i="12"/>
  <c r="D78" i="12"/>
  <c r="C78" i="12"/>
  <c r="G72" i="12"/>
  <c r="G67" i="12" s="1"/>
  <c r="G74" i="12" s="1"/>
  <c r="F72" i="12"/>
  <c r="F67" i="12" s="1"/>
  <c r="F74" i="12" s="1"/>
  <c r="E72" i="12"/>
  <c r="E67" i="12" s="1"/>
  <c r="E74" i="12" s="1"/>
  <c r="D72" i="12"/>
  <c r="D67" i="12" s="1"/>
  <c r="D74" i="12" s="1"/>
  <c r="C72" i="12"/>
  <c r="C67" i="12" s="1"/>
  <c r="C74" i="12" s="1"/>
  <c r="G61" i="12"/>
  <c r="G58" i="12" s="1"/>
  <c r="F61" i="12"/>
  <c r="F58" i="12" s="1"/>
  <c r="E61" i="12"/>
  <c r="E58" i="12" s="1"/>
  <c r="D61" i="12"/>
  <c r="D58" i="12" s="1"/>
  <c r="D76" i="12" s="1"/>
  <c r="C61" i="12"/>
  <c r="C58" i="12" s="1"/>
  <c r="C76" i="12" s="1"/>
  <c r="Q8" i="9" l="1"/>
  <c r="C153" i="12"/>
  <c r="G76" i="12"/>
  <c r="G86" i="12" s="1"/>
  <c r="G107" i="12" s="1"/>
  <c r="G120" i="12" s="1"/>
  <c r="C86" i="12"/>
  <c r="F76" i="12"/>
  <c r="F86" i="12" s="1"/>
  <c r="F107" i="12" s="1"/>
  <c r="F120" i="12" s="1"/>
  <c r="C107" i="12"/>
  <c r="C120" i="12" s="1"/>
  <c r="D86" i="12"/>
  <c r="D107" i="12" s="1"/>
  <c r="D120" i="12" s="1"/>
  <c r="E76" i="12"/>
  <c r="E86" i="12" s="1"/>
  <c r="E107" i="12" s="1"/>
  <c r="E120" i="12" s="1"/>
  <c r="S8" i="9" l="1"/>
  <c r="U8" i="9"/>
  <c r="C154" i="12"/>
  <c r="C157" i="12"/>
  <c r="C164" i="12" s="1"/>
  <c r="F57" i="7" l="1"/>
  <c r="D57" i="7"/>
  <c r="B57" i="7"/>
  <c r="D48" i="7"/>
  <c r="D50" i="7" s="1"/>
  <c r="B48" i="7"/>
  <c r="B50" i="7" s="1"/>
  <c r="D60" i="7" l="1"/>
  <c r="B60" i="7"/>
  <c r="B59" i="7"/>
  <c r="E3" i="7"/>
  <c r="R37" i="10" l="1"/>
  <c r="S37" i="10"/>
  <c r="T37" i="10"/>
  <c r="Q37" i="10"/>
  <c r="R68" i="10"/>
  <c r="S68" i="10"/>
  <c r="T68" i="10"/>
  <c r="Q68" i="10"/>
  <c r="R75" i="10"/>
  <c r="S75" i="10"/>
  <c r="T75" i="10"/>
  <c r="Q75" i="10"/>
  <c r="R73" i="10"/>
  <c r="S73" i="10"/>
  <c r="T73" i="10"/>
  <c r="R71" i="10"/>
  <c r="S71" i="10"/>
  <c r="T71" i="10"/>
  <c r="Q73" i="10"/>
  <c r="Q71" i="10"/>
  <c r="R70" i="10"/>
  <c r="S70" i="10"/>
  <c r="T70" i="10"/>
  <c r="Q70" i="10"/>
  <c r="R67" i="10"/>
  <c r="S67" i="10"/>
  <c r="T67" i="10"/>
  <c r="Q67" i="10"/>
  <c r="R66" i="10"/>
  <c r="S66" i="10"/>
  <c r="T66" i="10"/>
  <c r="R65" i="10"/>
  <c r="S65" i="10"/>
  <c r="T65" i="10"/>
  <c r="Q66" i="10"/>
  <c r="Q65" i="10"/>
  <c r="R64" i="10"/>
  <c r="S64" i="10"/>
  <c r="T64" i="10"/>
  <c r="Q64" i="10"/>
  <c r="R62" i="10"/>
  <c r="S62" i="10"/>
  <c r="T62" i="10"/>
  <c r="Q62" i="10"/>
  <c r="R61" i="10"/>
  <c r="S61" i="10"/>
  <c r="T61" i="10"/>
  <c r="Q61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Q60" i="10"/>
  <c r="Q59" i="10"/>
  <c r="Q58" i="10"/>
  <c r="Q57" i="10"/>
  <c r="Q56" i="10"/>
  <c r="Q55" i="10"/>
  <c r="R53" i="10"/>
  <c r="S53" i="10"/>
  <c r="T53" i="10"/>
  <c r="R51" i="10"/>
  <c r="S51" i="10"/>
  <c r="T51" i="10"/>
  <c r="R52" i="10"/>
  <c r="S52" i="10"/>
  <c r="T52" i="10"/>
  <c r="Q53" i="10"/>
  <c r="Q52" i="10"/>
  <c r="Q51" i="10"/>
  <c r="R49" i="10"/>
  <c r="S49" i="10"/>
  <c r="T49" i="10"/>
  <c r="R46" i="10"/>
  <c r="S46" i="10"/>
  <c r="T46" i="10"/>
  <c r="R47" i="10"/>
  <c r="S47" i="10"/>
  <c r="T47" i="10"/>
  <c r="R48" i="10"/>
  <c r="S48" i="10"/>
  <c r="T48" i="10"/>
  <c r="Q49" i="10"/>
  <c r="Q48" i="10"/>
  <c r="Q47" i="10"/>
  <c r="Q46" i="10"/>
  <c r="R44" i="10"/>
  <c r="S44" i="10"/>
  <c r="T44" i="10"/>
  <c r="Q44" i="10"/>
  <c r="R43" i="10"/>
  <c r="S43" i="10"/>
  <c r="T43" i="10"/>
  <c r="Q43" i="10"/>
  <c r="R42" i="10"/>
  <c r="S42" i="10"/>
  <c r="T42" i="10"/>
  <c r="Q42" i="10"/>
  <c r="R41" i="10"/>
  <c r="S41" i="10"/>
  <c r="T41" i="10"/>
  <c r="Q41" i="10"/>
  <c r="K57" i="10"/>
  <c r="L57" i="10"/>
  <c r="M57" i="10"/>
  <c r="N57" i="10"/>
  <c r="K52" i="10"/>
  <c r="L52" i="10"/>
  <c r="M52" i="10"/>
  <c r="N52" i="10"/>
  <c r="K49" i="10"/>
  <c r="L49" i="10"/>
  <c r="M49" i="10"/>
  <c r="N49" i="10"/>
  <c r="K45" i="10"/>
  <c r="L45" i="10"/>
  <c r="M45" i="10"/>
  <c r="N45" i="10"/>
  <c r="J45" i="10"/>
  <c r="J49" i="10" s="1"/>
  <c r="J52" i="10" s="1"/>
  <c r="J57" i="10" s="1"/>
  <c r="J47" i="10"/>
  <c r="K47" i="10"/>
  <c r="L47" i="10"/>
  <c r="M47" i="10"/>
  <c r="N48" i="10"/>
  <c r="D66" i="10"/>
  <c r="E66" i="10"/>
  <c r="F66" i="10"/>
  <c r="G66" i="10"/>
  <c r="C66" i="10"/>
  <c r="D65" i="10"/>
  <c r="E65" i="10"/>
  <c r="F65" i="10"/>
  <c r="G65" i="10"/>
  <c r="C65" i="10"/>
  <c r="D64" i="10"/>
  <c r="E64" i="10"/>
  <c r="F64" i="10"/>
  <c r="G64" i="10"/>
  <c r="C64" i="10"/>
  <c r="D58" i="10"/>
  <c r="E58" i="10"/>
  <c r="F58" i="10"/>
  <c r="G58" i="10"/>
  <c r="C58" i="10"/>
  <c r="D53" i="10"/>
  <c r="E53" i="10"/>
  <c r="F53" i="10"/>
  <c r="G53" i="10"/>
  <c r="C53" i="10"/>
  <c r="D49" i="10"/>
  <c r="E49" i="10"/>
  <c r="F49" i="10"/>
  <c r="G49" i="10"/>
  <c r="C49" i="10"/>
  <c r="D44" i="10"/>
  <c r="E44" i="10"/>
  <c r="F44" i="10"/>
  <c r="G44" i="10"/>
  <c r="C44" i="10"/>
  <c r="R35" i="10"/>
  <c r="S35" i="10"/>
  <c r="T35" i="10"/>
  <c r="R32" i="10"/>
  <c r="S32" i="10"/>
  <c r="T32" i="10"/>
  <c r="R26" i="10"/>
  <c r="S26" i="10"/>
  <c r="T26" i="10"/>
  <c r="R27" i="10"/>
  <c r="S27" i="10"/>
  <c r="T27" i="10"/>
  <c r="R28" i="10"/>
  <c r="S28" i="10"/>
  <c r="T28" i="10"/>
  <c r="Q28" i="10"/>
  <c r="Q27" i="10"/>
  <c r="Q35" i="10"/>
  <c r="Q32" i="10"/>
  <c r="Q26" i="10"/>
  <c r="Q24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Q23" i="10"/>
  <c r="Q22" i="10"/>
  <c r="Q21" i="10"/>
  <c r="Q20" i="10"/>
  <c r="Q19" i="10"/>
  <c r="Q18" i="10"/>
  <c r="R6" i="10"/>
  <c r="S6" i="10"/>
  <c r="T6" i="10"/>
  <c r="Q6" i="10"/>
  <c r="Q17" i="10"/>
  <c r="Q15" i="10"/>
  <c r="R14" i="10"/>
  <c r="S14" i="10"/>
  <c r="T14" i="10"/>
  <c r="R13" i="10"/>
  <c r="S13" i="10"/>
  <c r="T13" i="10"/>
  <c r="Q14" i="10"/>
  <c r="Q13" i="10"/>
  <c r="Q11" i="10"/>
  <c r="R10" i="10"/>
  <c r="S10" i="10"/>
  <c r="T10" i="10"/>
  <c r="Q10" i="10"/>
  <c r="R9" i="10"/>
  <c r="S9" i="10"/>
  <c r="T9" i="10"/>
  <c r="T11" i="10" s="1"/>
  <c r="T15" i="10" s="1"/>
  <c r="Q9" i="10"/>
  <c r="R8" i="10"/>
  <c r="R11" i="10" s="1"/>
  <c r="S8" i="10"/>
  <c r="T8" i="10"/>
  <c r="Q8" i="10"/>
  <c r="R5" i="10"/>
  <c r="S5" i="10"/>
  <c r="T5" i="10"/>
  <c r="Q5" i="10"/>
  <c r="R4" i="10"/>
  <c r="S4" i="10"/>
  <c r="T4" i="10"/>
  <c r="Q4" i="10"/>
  <c r="K19" i="10"/>
  <c r="L19" i="10"/>
  <c r="M19" i="10"/>
  <c r="N19" i="10"/>
  <c r="K14" i="10"/>
  <c r="L14" i="10"/>
  <c r="M14" i="10"/>
  <c r="N14" i="10"/>
  <c r="K11" i="10"/>
  <c r="L11" i="10"/>
  <c r="M11" i="10"/>
  <c r="N11" i="10"/>
  <c r="K7" i="10"/>
  <c r="L7" i="10"/>
  <c r="M7" i="10"/>
  <c r="N7" i="10"/>
  <c r="J7" i="10"/>
  <c r="J11" i="10" s="1"/>
  <c r="J14" i="10" s="1"/>
  <c r="J19" i="10" s="1"/>
  <c r="D28" i="10"/>
  <c r="E28" i="10"/>
  <c r="F28" i="10"/>
  <c r="G28" i="10"/>
  <c r="C28" i="10"/>
  <c r="E27" i="10"/>
  <c r="F27" i="10"/>
  <c r="G27" i="10"/>
  <c r="E26" i="10"/>
  <c r="F26" i="10"/>
  <c r="G26" i="10"/>
  <c r="E20" i="10"/>
  <c r="F20" i="10"/>
  <c r="G20" i="10"/>
  <c r="E15" i="10"/>
  <c r="F15" i="10"/>
  <c r="G15" i="10"/>
  <c r="E11" i="10"/>
  <c r="F11" i="10"/>
  <c r="G11" i="10"/>
  <c r="E6" i="10"/>
  <c r="F6" i="10"/>
  <c r="G6" i="10"/>
  <c r="D27" i="10"/>
  <c r="C27" i="10"/>
  <c r="D26" i="10"/>
  <c r="C26" i="10"/>
  <c r="D20" i="10"/>
  <c r="C20" i="10"/>
  <c r="D15" i="10"/>
  <c r="D11" i="10"/>
  <c r="C15" i="10"/>
  <c r="C13" i="10"/>
  <c r="C11" i="10"/>
  <c r="S11" i="10" l="1"/>
  <c r="S15" i="10" s="1"/>
  <c r="S23" i="10" s="1"/>
  <c r="R15" i="10"/>
  <c r="T23" i="10"/>
  <c r="R23" i="10"/>
  <c r="Q29" i="10"/>
  <c r="Q33" i="10" s="1"/>
  <c r="Q30" i="10"/>
  <c r="D6" i="10"/>
  <c r="C6" i="10"/>
  <c r="S24" i="10" l="1"/>
  <c r="S29" i="10"/>
  <c r="R24" i="10"/>
  <c r="R29" i="10"/>
  <c r="T24" i="10"/>
  <c r="T29" i="10"/>
  <c r="C60" i="5"/>
  <c r="C66" i="5"/>
  <c r="C69" i="5"/>
  <c r="C53" i="5"/>
  <c r="D66" i="5"/>
  <c r="D69" i="5"/>
  <c r="C106" i="5" s="1"/>
  <c r="D60" i="5"/>
  <c r="D53" i="5"/>
  <c r="E69" i="5"/>
  <c r="E66" i="5"/>
  <c r="E60" i="5"/>
  <c r="E53" i="5"/>
  <c r="F69" i="5"/>
  <c r="F66" i="5"/>
  <c r="F60" i="5"/>
  <c r="F53" i="5"/>
  <c r="G69" i="5"/>
  <c r="G66" i="5"/>
  <c r="G60" i="5"/>
  <c r="G53" i="5"/>
  <c r="D120" i="5"/>
  <c r="E120" i="5"/>
  <c r="F120" i="5"/>
  <c r="D119" i="5"/>
  <c r="E119" i="5"/>
  <c r="F119" i="5"/>
  <c r="F97" i="5"/>
  <c r="F93" i="5"/>
  <c r="D92" i="5"/>
  <c r="E92" i="5"/>
  <c r="F92" i="5"/>
  <c r="C93" i="5"/>
  <c r="C92" i="5"/>
  <c r="G41" i="5"/>
  <c r="G38" i="5"/>
  <c r="G37" i="5"/>
  <c r="G35" i="5"/>
  <c r="G30" i="5"/>
  <c r="G29" i="5"/>
  <c r="G28" i="5"/>
  <c r="G24" i="5"/>
  <c r="G23" i="5"/>
  <c r="G22" i="5"/>
  <c r="G12" i="5"/>
  <c r="G7" i="5"/>
  <c r="F38" i="5"/>
  <c r="F37" i="5"/>
  <c r="F35" i="5"/>
  <c r="F30" i="5"/>
  <c r="F12" i="5"/>
  <c r="F94" i="5" s="1"/>
  <c r="F7" i="5"/>
  <c r="E38" i="5"/>
  <c r="E37" i="5"/>
  <c r="E35" i="5"/>
  <c r="E30" i="5"/>
  <c r="E29" i="5"/>
  <c r="E28" i="5"/>
  <c r="E24" i="5"/>
  <c r="E23" i="5"/>
  <c r="E22" i="5"/>
  <c r="E17" i="5"/>
  <c r="E97" i="5" s="1"/>
  <c r="E12" i="5"/>
  <c r="E94" i="5" s="1"/>
  <c r="E11" i="5"/>
  <c r="D93" i="5" s="1"/>
  <c r="E7" i="5"/>
  <c r="E5" i="5"/>
  <c r="D41" i="5"/>
  <c r="D38" i="5"/>
  <c r="D37" i="5"/>
  <c r="D35" i="5"/>
  <c r="D30" i="5"/>
  <c r="D29" i="5"/>
  <c r="D28" i="5"/>
  <c r="D25" i="5"/>
  <c r="D24" i="5"/>
  <c r="D23" i="5"/>
  <c r="D20" i="5"/>
  <c r="D97" i="5" s="1"/>
  <c r="D12" i="5"/>
  <c r="C7" i="5"/>
  <c r="D7" i="5"/>
  <c r="C30" i="5"/>
  <c r="F106" i="5" l="1"/>
  <c r="D106" i="5"/>
  <c r="R33" i="10"/>
  <c r="R30" i="10"/>
  <c r="T30" i="10"/>
  <c r="T33" i="10"/>
  <c r="S30" i="10"/>
  <c r="S33" i="10"/>
  <c r="E106" i="5"/>
  <c r="D94" i="5"/>
  <c r="C94" i="5"/>
  <c r="E93" i="5"/>
  <c r="E121" i="5" l="1"/>
  <c r="F121" i="5"/>
  <c r="C120" i="5"/>
  <c r="C119" i="5"/>
  <c r="D105" i="5"/>
  <c r="E105" i="5"/>
  <c r="F105" i="5"/>
  <c r="C105" i="5"/>
  <c r="D104" i="5"/>
  <c r="E104" i="5"/>
  <c r="F104" i="5"/>
  <c r="C104" i="5"/>
  <c r="D103" i="5"/>
  <c r="E103" i="5"/>
  <c r="F103" i="5"/>
  <c r="C103" i="5"/>
  <c r="D98" i="5"/>
  <c r="E98" i="5"/>
  <c r="F98" i="5"/>
  <c r="C98" i="5"/>
  <c r="C97" i="5"/>
  <c r="C8" i="5"/>
  <c r="C39" i="5"/>
  <c r="C42" i="5" s="1"/>
  <c r="D39" i="5"/>
  <c r="D42" i="5" s="1"/>
  <c r="D44" i="5" s="1"/>
  <c r="D13" i="5"/>
  <c r="D26" i="5" s="1"/>
  <c r="E39" i="5"/>
  <c r="E42" i="5" s="1"/>
  <c r="E44" i="5" s="1"/>
  <c r="E8" i="5"/>
  <c r="F95" i="5" l="1"/>
  <c r="F99" i="5" s="1"/>
  <c r="E95" i="5"/>
  <c r="E99" i="5" s="1"/>
  <c r="D111" i="5"/>
  <c r="D95" i="5"/>
  <c r="D99" i="5" s="1"/>
  <c r="D121" i="5"/>
  <c r="C111" i="5"/>
  <c r="C95" i="5"/>
  <c r="C99" i="5" s="1"/>
  <c r="C121" i="5"/>
  <c r="F39" i="5"/>
  <c r="F13" i="5"/>
  <c r="F26" i="5" s="1"/>
  <c r="D8" i="5"/>
  <c r="D31" i="5" s="1"/>
  <c r="D46" i="5" s="1"/>
  <c r="F8" i="5"/>
  <c r="E13" i="5"/>
  <c r="E26" i="5" s="1"/>
  <c r="E31" i="5" s="1"/>
  <c r="E46" i="5" s="1"/>
  <c r="C13" i="5"/>
  <c r="C26" i="5" s="1"/>
  <c r="C31" i="5" s="1"/>
  <c r="C44" i="5"/>
  <c r="G39" i="5"/>
  <c r="G13" i="5"/>
  <c r="G26" i="5" s="1"/>
  <c r="G8" i="5"/>
  <c r="F50" i="7"/>
  <c r="F59" i="7" s="1"/>
  <c r="E4" i="7"/>
  <c r="E6" i="7"/>
  <c r="D6" i="7"/>
  <c r="F60" i="7" l="1"/>
  <c r="C38" i="7"/>
  <c r="C41" i="7" s="1"/>
  <c r="B38" i="7"/>
  <c r="B41" i="7" s="1"/>
  <c r="F42" i="5"/>
  <c r="F44" i="5" s="1"/>
  <c r="F111" i="5"/>
  <c r="E111" i="5"/>
  <c r="F31" i="5"/>
  <c r="G42" i="5"/>
  <c r="G44" i="5" s="1"/>
  <c r="G31" i="5"/>
  <c r="C46" i="5"/>
  <c r="F46" i="5" l="1"/>
  <c r="G46" i="5"/>
  <c r="E23" i="8"/>
  <c r="F23" i="8"/>
  <c r="G23" i="8"/>
  <c r="D23" i="8"/>
  <c r="E22" i="8"/>
  <c r="F22" i="8"/>
  <c r="G22" i="8"/>
  <c r="D22" i="8"/>
  <c r="E21" i="8"/>
  <c r="F21" i="8"/>
  <c r="G21" i="8"/>
  <c r="D21" i="8"/>
  <c r="E21" i="2"/>
  <c r="F21" i="2"/>
  <c r="G21" i="2"/>
  <c r="H21" i="2"/>
  <c r="D21" i="2"/>
  <c r="H19" i="2"/>
  <c r="G19" i="2"/>
  <c r="F19" i="2"/>
  <c r="E19" i="2"/>
  <c r="D19" i="2"/>
  <c r="E39" i="8" l="1"/>
  <c r="F39" i="8"/>
  <c r="G39" i="8"/>
  <c r="D39" i="8"/>
  <c r="E12" i="8"/>
  <c r="F12" i="8"/>
  <c r="G12" i="8"/>
  <c r="D12" i="8"/>
  <c r="E11" i="8"/>
  <c r="F11" i="8"/>
  <c r="G11" i="8"/>
  <c r="D11" i="8"/>
  <c r="F10" i="8"/>
  <c r="G10" i="8"/>
  <c r="E10" i="8"/>
  <c r="D10" i="8"/>
  <c r="H110" i="2"/>
  <c r="G110" i="2"/>
  <c r="F110" i="2"/>
  <c r="E110" i="2"/>
  <c r="D110" i="2"/>
  <c r="H106" i="2"/>
  <c r="H109" i="2" s="1"/>
  <c r="G64" i="5" s="1"/>
  <c r="G106" i="2"/>
  <c r="G109" i="2" s="1"/>
  <c r="F106" i="2"/>
  <c r="F109" i="2" s="1"/>
  <c r="E64" i="5" s="1"/>
  <c r="D88" i="5" s="1"/>
  <c r="E106" i="2"/>
  <c r="E109" i="2" s="1"/>
  <c r="D64" i="5" s="1"/>
  <c r="D106" i="2"/>
  <c r="D109" i="2" s="1"/>
  <c r="C64" i="5" s="1"/>
  <c r="D96" i="2"/>
  <c r="D83" i="2" s="1"/>
  <c r="H94" i="2"/>
  <c r="H96" i="2" s="1"/>
  <c r="G94" i="2"/>
  <c r="G96" i="2" s="1"/>
  <c r="F94" i="2"/>
  <c r="F96" i="2" s="1"/>
  <c r="F83" i="2" s="1"/>
  <c r="E94" i="2"/>
  <c r="E96" i="2" s="1"/>
  <c r="E83" i="2" s="1"/>
  <c r="H87" i="2"/>
  <c r="G87" i="2"/>
  <c r="H76" i="2"/>
  <c r="G76" i="2"/>
  <c r="F76" i="2"/>
  <c r="E76" i="2"/>
  <c r="D76" i="2"/>
  <c r="H72" i="2"/>
  <c r="G72" i="2"/>
  <c r="F72" i="2"/>
  <c r="E72" i="2"/>
  <c r="D72" i="2"/>
  <c r="H66" i="2"/>
  <c r="H61" i="2" s="1"/>
  <c r="G66" i="2"/>
  <c r="G61" i="2" s="1"/>
  <c r="F66" i="2"/>
  <c r="F61" i="2" s="1"/>
  <c r="E66" i="2"/>
  <c r="E61" i="2" s="1"/>
  <c r="D66" i="2"/>
  <c r="D61" i="2" s="1"/>
  <c r="H55" i="2"/>
  <c r="G55" i="2"/>
  <c r="F52" i="5" s="1"/>
  <c r="F55" i="2"/>
  <c r="F52" i="2" s="1"/>
  <c r="E52" i="5" s="1"/>
  <c r="E55" i="2"/>
  <c r="E52" i="2" s="1"/>
  <c r="D52" i="5" s="1"/>
  <c r="D55" i="2"/>
  <c r="E57" i="5" l="1"/>
  <c r="D101" i="5" s="1"/>
  <c r="D68" i="2"/>
  <c r="C54" i="5"/>
  <c r="E99" i="2"/>
  <c r="D61" i="5"/>
  <c r="D62" i="5" s="1"/>
  <c r="C110" i="5" s="1"/>
  <c r="F64" i="5"/>
  <c r="E88" i="5" s="1"/>
  <c r="F68" i="2"/>
  <c r="F70" i="2" s="1"/>
  <c r="F80" i="2" s="1"/>
  <c r="F101" i="2" s="1"/>
  <c r="F114" i="2" s="1"/>
  <c r="E54" i="5"/>
  <c r="E56" i="5" s="1"/>
  <c r="E59" i="5" s="1"/>
  <c r="E63" i="5" s="1"/>
  <c r="E65" i="5" s="1"/>
  <c r="E68" i="5" s="1"/>
  <c r="E71" i="5" s="1"/>
  <c r="F99" i="2"/>
  <c r="E28" i="8" s="1"/>
  <c r="E61" i="5"/>
  <c r="E62" i="5" s="1"/>
  <c r="D110" i="5" s="1"/>
  <c r="G68" i="2"/>
  <c r="F54" i="5"/>
  <c r="F56" i="5" s="1"/>
  <c r="C57" i="5"/>
  <c r="D99" i="2"/>
  <c r="C61" i="5"/>
  <c r="C62" i="5" s="1"/>
  <c r="C88" i="5"/>
  <c r="E102" i="5"/>
  <c r="E101" i="5" s="1"/>
  <c r="F57" i="5"/>
  <c r="E68" i="2"/>
  <c r="D54" i="5"/>
  <c r="D56" i="5" s="1"/>
  <c r="F102" i="5"/>
  <c r="F101" i="5" s="1"/>
  <c r="G57" i="5"/>
  <c r="H68" i="2"/>
  <c r="G54" i="5"/>
  <c r="D57" i="5"/>
  <c r="D13" i="8"/>
  <c r="E13" i="8"/>
  <c r="G13" i="8"/>
  <c r="D28" i="8"/>
  <c r="F13" i="8"/>
  <c r="H83" i="2"/>
  <c r="G61" i="5" s="1"/>
  <c r="G62" i="5" s="1"/>
  <c r="D52" i="2"/>
  <c r="E70" i="2"/>
  <c r="E80" i="2" s="1"/>
  <c r="E101" i="2" s="1"/>
  <c r="E114" i="2" s="1"/>
  <c r="H52" i="2"/>
  <c r="G83" i="2"/>
  <c r="F61" i="5" s="1"/>
  <c r="F62" i="5" s="1"/>
  <c r="G70" i="2"/>
  <c r="G80" i="2" s="1"/>
  <c r="E39" i="2"/>
  <c r="F39" i="2"/>
  <c r="G39" i="2"/>
  <c r="H39" i="2"/>
  <c r="D39" i="2"/>
  <c r="D42" i="2" s="1"/>
  <c r="E13" i="2"/>
  <c r="F13" i="2"/>
  <c r="G13" i="2"/>
  <c r="H13" i="2"/>
  <c r="D13" i="2"/>
  <c r="F59" i="5" l="1"/>
  <c r="E34" i="8"/>
  <c r="H11" i="9"/>
  <c r="H6" i="9"/>
  <c r="D34" i="8"/>
  <c r="F6" i="9"/>
  <c r="D59" i="5"/>
  <c r="D63" i="5" s="1"/>
  <c r="D102" i="5"/>
  <c r="F63" i="5"/>
  <c r="F65" i="5" s="1"/>
  <c r="F68" i="5" s="1"/>
  <c r="F71" i="5" s="1"/>
  <c r="E87" i="5"/>
  <c r="H70" i="2"/>
  <c r="H80" i="2" s="1"/>
  <c r="H101" i="2" s="1"/>
  <c r="H114" i="2" s="1"/>
  <c r="G52" i="5"/>
  <c r="G56" i="5" s="1"/>
  <c r="G59" i="5" s="1"/>
  <c r="G63" i="5" s="1"/>
  <c r="G65" i="5" s="1"/>
  <c r="G68" i="5" s="1"/>
  <c r="G71" i="5" s="1"/>
  <c r="F116" i="5" s="1"/>
  <c r="E5" i="7"/>
  <c r="C37" i="7" s="1"/>
  <c r="C40" i="7" s="1"/>
  <c r="D5" i="7"/>
  <c r="G42" i="2"/>
  <c r="G44" i="2" s="1"/>
  <c r="G29" i="8"/>
  <c r="D70" i="2"/>
  <c r="D80" i="2" s="1"/>
  <c r="D101" i="2" s="1"/>
  <c r="D114" i="2" s="1"/>
  <c r="C52" i="5"/>
  <c r="C56" i="5" s="1"/>
  <c r="C59" i="5" s="1"/>
  <c r="C63" i="5" s="1"/>
  <c r="C65" i="5" s="1"/>
  <c r="C68" i="5" s="1"/>
  <c r="C71" i="5" s="1"/>
  <c r="C101" i="5"/>
  <c r="C102" i="5"/>
  <c r="F42" i="2"/>
  <c r="F44" i="2" s="1"/>
  <c r="F29" i="8"/>
  <c r="E42" i="2"/>
  <c r="E44" i="2" s="1"/>
  <c r="E29" i="8"/>
  <c r="D87" i="5"/>
  <c r="H99" i="2"/>
  <c r="G28" i="8" s="1"/>
  <c r="G99" i="2"/>
  <c r="F28" i="8" s="1"/>
  <c r="F16" i="8"/>
  <c r="E16" i="8"/>
  <c r="E7" i="8"/>
  <c r="G16" i="8"/>
  <c r="H42" i="2"/>
  <c r="H44" i="2" s="1"/>
  <c r="D7" i="8"/>
  <c r="D16" i="8"/>
  <c r="D44" i="2"/>
  <c r="D29" i="8"/>
  <c r="G101" i="2"/>
  <c r="G114" i="2" s="1"/>
  <c r="F34" i="8" l="1"/>
  <c r="J6" i="9"/>
  <c r="J11" i="9"/>
  <c r="G34" i="8"/>
  <c r="L6" i="9"/>
  <c r="L11" i="9"/>
  <c r="C87" i="5"/>
  <c r="F87" i="5"/>
  <c r="D65" i="5"/>
  <c r="D68" i="5" s="1"/>
  <c r="D71" i="5" s="1"/>
  <c r="C116" i="5" s="1"/>
  <c r="C89" i="5"/>
  <c r="C112" i="5" s="1"/>
  <c r="D116" i="5"/>
  <c r="D89" i="5"/>
  <c r="D112" i="5" s="1"/>
  <c r="E8" i="8"/>
  <c r="E30" i="8"/>
  <c r="E110" i="5"/>
  <c r="D8" i="8"/>
  <c r="D30" i="8"/>
  <c r="F110" i="5"/>
  <c r="G7" i="8"/>
  <c r="F7" i="8"/>
  <c r="E20" i="2"/>
  <c r="F20" i="2"/>
  <c r="G20" i="2"/>
  <c r="H20" i="2"/>
  <c r="D20" i="2"/>
  <c r="G50" i="1"/>
  <c r="H50" i="1"/>
  <c r="I50" i="1"/>
  <c r="J50" i="1"/>
  <c r="F50" i="1"/>
  <c r="J27" i="6"/>
  <c r="H44" i="6"/>
  <c r="I44" i="6"/>
  <c r="J44" i="6"/>
  <c r="H37" i="6"/>
  <c r="I37" i="6"/>
  <c r="J37" i="6"/>
  <c r="K37" i="6"/>
  <c r="I35" i="6"/>
  <c r="I34" i="6"/>
  <c r="H25" i="6"/>
  <c r="I25" i="6"/>
  <c r="C48" i="6"/>
  <c r="H19" i="9" l="1"/>
  <c r="M19" i="9" s="1"/>
  <c r="C90" i="5"/>
  <c r="C107" i="5" s="1"/>
  <c r="C113" i="5" s="1"/>
  <c r="C117" i="5" s="1"/>
  <c r="C123" i="5" s="1"/>
  <c r="D90" i="5"/>
  <c r="D107" i="5" s="1"/>
  <c r="D113" i="5" s="1"/>
  <c r="D117" i="5" s="1"/>
  <c r="D123" i="5" s="1"/>
  <c r="E89" i="5"/>
  <c r="E116" i="5"/>
  <c r="G8" i="8"/>
  <c r="G30" i="8"/>
  <c r="F8" i="8"/>
  <c r="F30" i="8"/>
  <c r="M20" i="9" l="1"/>
  <c r="K24" i="9"/>
  <c r="E112" i="5"/>
  <c r="E90" i="5"/>
  <c r="E107" i="5" s="1"/>
  <c r="G44" i="6"/>
  <c r="E91" i="3"/>
  <c r="E92" i="3" s="1"/>
  <c r="E93" i="3" s="1"/>
  <c r="F91" i="3"/>
  <c r="F92" i="3" s="1"/>
  <c r="F93" i="3" s="1"/>
  <c r="G91" i="3"/>
  <c r="G92" i="3" s="1"/>
  <c r="G93" i="3" s="1"/>
  <c r="H91" i="3"/>
  <c r="I91" i="3"/>
  <c r="T71" i="3"/>
  <c r="T68" i="3"/>
  <c r="T67" i="3"/>
  <c r="E67" i="3"/>
  <c r="E70" i="3" s="1"/>
  <c r="F67" i="3"/>
  <c r="F70" i="3" s="1"/>
  <c r="G67" i="3"/>
  <c r="G70" i="3" s="1"/>
  <c r="H67" i="3"/>
  <c r="H70" i="3" s="1"/>
  <c r="I67" i="3"/>
  <c r="I70" i="3" s="1"/>
  <c r="T65" i="3"/>
  <c r="T64" i="3"/>
  <c r="T63" i="3"/>
  <c r="T56" i="3"/>
  <c r="E56" i="3"/>
  <c r="E59" i="3" s="1"/>
  <c r="F54" i="3"/>
  <c r="F56" i="3" s="1"/>
  <c r="F59" i="3" s="1"/>
  <c r="G54" i="3"/>
  <c r="G56" i="3" s="1"/>
  <c r="G59" i="3" s="1"/>
  <c r="H54" i="3"/>
  <c r="H56" i="3" s="1"/>
  <c r="I54" i="3"/>
  <c r="I56" i="3" s="1"/>
  <c r="T52" i="3"/>
  <c r="T51" i="3"/>
  <c r="T50" i="3"/>
  <c r="T49" i="3"/>
  <c r="T48" i="3"/>
  <c r="H47" i="3"/>
  <c r="I47" i="3"/>
  <c r="T45" i="3"/>
  <c r="T40" i="3"/>
  <c r="T35" i="3"/>
  <c r="T34" i="3"/>
  <c r="E34" i="3"/>
  <c r="E37" i="3" s="1"/>
  <c r="F34" i="3"/>
  <c r="F37" i="3" s="1"/>
  <c r="G34" i="3"/>
  <c r="G37" i="3" s="1"/>
  <c r="H34" i="3"/>
  <c r="H37" i="3" s="1"/>
  <c r="I34" i="3"/>
  <c r="T32" i="3"/>
  <c r="T31" i="3"/>
  <c r="T30" i="3"/>
  <c r="T24" i="3"/>
  <c r="E24" i="3"/>
  <c r="E26" i="3" s="1"/>
  <c r="F24" i="3"/>
  <c r="F26" i="3" s="1"/>
  <c r="G24" i="3"/>
  <c r="G26" i="3" s="1"/>
  <c r="H24" i="3"/>
  <c r="H26" i="3" s="1"/>
  <c r="I24" i="3"/>
  <c r="I26" i="3" s="1"/>
  <c r="T22" i="3"/>
  <c r="T21" i="3"/>
  <c r="T20" i="3"/>
  <c r="T19" i="3"/>
  <c r="T16" i="3"/>
  <c r="E15" i="3"/>
  <c r="E17" i="3" s="1"/>
  <c r="F15" i="3"/>
  <c r="F17" i="3" s="1"/>
  <c r="G15" i="3"/>
  <c r="G17" i="3" s="1"/>
  <c r="H15" i="3"/>
  <c r="H17" i="3" s="1"/>
  <c r="I15" i="3"/>
  <c r="I17" i="3" s="1"/>
  <c r="T14" i="3"/>
  <c r="T13" i="3"/>
  <c r="T9" i="3"/>
  <c r="E8" i="3"/>
  <c r="E10" i="3" s="1"/>
  <c r="F8" i="3"/>
  <c r="F10" i="3" s="1"/>
  <c r="G8" i="3"/>
  <c r="G10" i="3" s="1"/>
  <c r="H8" i="3"/>
  <c r="I8" i="3"/>
  <c r="I10" i="3" s="1"/>
  <c r="T7" i="3"/>
  <c r="T6" i="3"/>
  <c r="K25" i="9" l="1"/>
  <c r="X8" i="9" s="1"/>
  <c r="X11" i="9" s="1"/>
  <c r="E113" i="5"/>
  <c r="E117" i="5" s="1"/>
  <c r="E123" i="5" s="1"/>
  <c r="I59" i="3"/>
  <c r="T8" i="3"/>
  <c r="I28" i="3"/>
  <c r="T23" i="3"/>
  <c r="T46" i="3"/>
  <c r="T25" i="3"/>
  <c r="T33" i="3"/>
  <c r="F28" i="3"/>
  <c r="F39" i="3" s="1"/>
  <c r="H10" i="3"/>
  <c r="T10" i="3" s="1"/>
  <c r="T53" i="3"/>
  <c r="G28" i="3"/>
  <c r="G39" i="3" s="1"/>
  <c r="D44" i="6" s="1"/>
  <c r="E28" i="3"/>
  <c r="E39" i="3" s="1"/>
  <c r="E61" i="3" s="1"/>
  <c r="E71" i="3" s="1"/>
  <c r="E74" i="3" s="1"/>
  <c r="H28" i="3"/>
  <c r="T17" i="3"/>
  <c r="H59" i="3"/>
  <c r="T58" i="3" s="1"/>
  <c r="T55" i="3"/>
  <c r="T69" i="3"/>
  <c r="I37" i="3"/>
  <c r="T15" i="3"/>
  <c r="T66" i="3"/>
  <c r="W8" i="9" l="1"/>
  <c r="Z8" i="9" s="1"/>
  <c r="I39" i="3"/>
  <c r="F44" i="6" s="1"/>
  <c r="G61" i="3"/>
  <c r="G71" i="3" s="1"/>
  <c r="G74" i="3" s="1"/>
  <c r="F61" i="3"/>
  <c r="F71" i="3" s="1"/>
  <c r="F74" i="3" s="1"/>
  <c r="C44" i="6"/>
  <c r="T27" i="3"/>
  <c r="H39" i="3"/>
  <c r="E44" i="6" s="1"/>
  <c r="T36" i="3"/>
  <c r="Y8" i="9" l="1"/>
  <c r="Z11" i="9"/>
  <c r="AB8" i="9"/>
  <c r="I61" i="3"/>
  <c r="I71" i="3" s="1"/>
  <c r="I74" i="3" s="1"/>
  <c r="I77" i="3" s="1"/>
  <c r="I92" i="3" s="1"/>
  <c r="I93" i="3" s="1"/>
  <c r="T38" i="3"/>
  <c r="H61" i="3"/>
  <c r="AA8" i="9" l="1"/>
  <c r="AB11" i="9"/>
  <c r="M18" i="9" s="1"/>
  <c r="T60" i="3"/>
  <c r="H71" i="3"/>
  <c r="H74" i="3" l="1"/>
  <c r="T70" i="3"/>
  <c r="H77" i="3" l="1"/>
  <c r="T73" i="3"/>
  <c r="H92" i="3" l="1"/>
  <c r="H93" i="3" s="1"/>
  <c r="T76" i="3"/>
  <c r="F173" i="1" l="1"/>
  <c r="F166" i="1"/>
  <c r="F141" i="1"/>
  <c r="F134" i="1"/>
  <c r="F130" i="1"/>
  <c r="F123" i="1"/>
  <c r="F119" i="1"/>
  <c r="F108" i="1"/>
  <c r="F85" i="1"/>
  <c r="D17" i="2" s="1"/>
  <c r="F80" i="1"/>
  <c r="R66" i="1"/>
  <c r="Q66" i="1"/>
  <c r="P66" i="1"/>
  <c r="F60" i="1"/>
  <c r="F55" i="1"/>
  <c r="F40" i="1"/>
  <c r="D18" i="2" s="1"/>
  <c r="F27" i="1"/>
  <c r="D6" i="2" s="1"/>
  <c r="F16" i="1"/>
  <c r="R146" i="1"/>
  <c r="Q146" i="1"/>
  <c r="P147" i="1"/>
  <c r="R67" i="1"/>
  <c r="Q67" i="1"/>
  <c r="Q71" i="1"/>
  <c r="Q142" i="1"/>
  <c r="R142" i="1"/>
  <c r="Q141" i="1"/>
  <c r="R141" i="1"/>
  <c r="P169" i="1"/>
  <c r="T165" i="1"/>
  <c r="S164" i="1"/>
  <c r="R164" i="1"/>
  <c r="Q164" i="1"/>
  <c r="P164" i="1"/>
  <c r="J173" i="1"/>
  <c r="I173" i="1"/>
  <c r="H173" i="1"/>
  <c r="G17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J166" i="1"/>
  <c r="I166" i="1"/>
  <c r="H166" i="1"/>
  <c r="G16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R147" i="1"/>
  <c r="P146" i="1"/>
  <c r="R145" i="1"/>
  <c r="Q145" i="1"/>
  <c r="P145" i="1"/>
  <c r="R144" i="1"/>
  <c r="Q144" i="1"/>
  <c r="P144" i="1"/>
  <c r="R143" i="1"/>
  <c r="Q143" i="1"/>
  <c r="P143" i="1"/>
  <c r="P142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J141" i="1"/>
  <c r="I141" i="1"/>
  <c r="H141" i="1"/>
  <c r="G141" i="1"/>
  <c r="R130" i="1"/>
  <c r="Q130" i="1"/>
  <c r="P130" i="1"/>
  <c r="R129" i="1"/>
  <c r="Q129" i="1"/>
  <c r="P129" i="1"/>
  <c r="T125" i="1"/>
  <c r="J134" i="1"/>
  <c r="I134" i="1"/>
  <c r="H134" i="1"/>
  <c r="G134" i="1"/>
  <c r="R123" i="1"/>
  <c r="Q123" i="1"/>
  <c r="P123" i="1"/>
  <c r="R122" i="1"/>
  <c r="Q122" i="1"/>
  <c r="P122" i="1"/>
  <c r="J130" i="1"/>
  <c r="I130" i="1"/>
  <c r="H130" i="1"/>
  <c r="G13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J123" i="1"/>
  <c r="I123" i="1"/>
  <c r="H123" i="1"/>
  <c r="G123" i="1"/>
  <c r="R112" i="1"/>
  <c r="Q112" i="1"/>
  <c r="P112" i="1"/>
  <c r="R111" i="1"/>
  <c r="Q111" i="1"/>
  <c r="P111" i="1"/>
  <c r="J119" i="1"/>
  <c r="I119" i="1"/>
  <c r="H119" i="1"/>
  <c r="G11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S99" i="1"/>
  <c r="R99" i="1"/>
  <c r="Q99" i="1"/>
  <c r="P99" i="1"/>
  <c r="T98" i="1"/>
  <c r="T100" i="1" s="1"/>
  <c r="L17" i="6" s="1"/>
  <c r="J108" i="1"/>
  <c r="I108" i="1"/>
  <c r="H108" i="1"/>
  <c r="G108" i="1"/>
  <c r="S97" i="1"/>
  <c r="R97" i="1"/>
  <c r="Q97" i="1"/>
  <c r="P97" i="1"/>
  <c r="J106" i="1"/>
  <c r="I106" i="1"/>
  <c r="H106" i="1"/>
  <c r="G106" i="1"/>
  <c r="R95" i="1"/>
  <c r="Q95" i="1"/>
  <c r="P95" i="1"/>
  <c r="R94" i="1"/>
  <c r="Q94" i="1"/>
  <c r="P94" i="1"/>
  <c r="J103" i="1"/>
  <c r="I103" i="1"/>
  <c r="H103" i="1"/>
  <c r="G103" i="1"/>
  <c r="R92" i="1"/>
  <c r="Q92" i="1"/>
  <c r="R91" i="1"/>
  <c r="Q91" i="1"/>
  <c r="P91" i="1"/>
  <c r="S89" i="1"/>
  <c r="R89" i="1"/>
  <c r="Q89" i="1"/>
  <c r="P89" i="1"/>
  <c r="S88" i="1"/>
  <c r="R88" i="1"/>
  <c r="Q88" i="1"/>
  <c r="P88" i="1"/>
  <c r="S87" i="1"/>
  <c r="R87" i="1"/>
  <c r="Q87" i="1"/>
  <c r="P87" i="1"/>
  <c r="R83" i="1"/>
  <c r="Q83" i="1"/>
  <c r="P83" i="1"/>
  <c r="T81" i="1"/>
  <c r="S80" i="1"/>
  <c r="R80" i="1"/>
  <c r="Q80" i="1"/>
  <c r="P80" i="1"/>
  <c r="S79" i="1"/>
  <c r="R79" i="1"/>
  <c r="Q79" i="1"/>
  <c r="P79" i="1"/>
  <c r="J85" i="1"/>
  <c r="I85" i="1"/>
  <c r="H85" i="1"/>
  <c r="G85" i="1"/>
  <c r="P77" i="1"/>
  <c r="R76" i="1"/>
  <c r="Q76" i="1"/>
  <c r="P76" i="1"/>
  <c r="R75" i="1"/>
  <c r="Q75" i="1"/>
  <c r="P75" i="1"/>
  <c r="J80" i="1"/>
  <c r="I80" i="1"/>
  <c r="H80" i="1"/>
  <c r="G80" i="1"/>
  <c r="R72" i="1"/>
  <c r="Q72" i="1"/>
  <c r="P72" i="1"/>
  <c r="P71" i="1"/>
  <c r="R70" i="1"/>
  <c r="Q70" i="1"/>
  <c r="P70" i="1"/>
  <c r="R69" i="1"/>
  <c r="Q69" i="1"/>
  <c r="P69" i="1"/>
  <c r="Q68" i="1"/>
  <c r="P68" i="1"/>
  <c r="P67" i="1"/>
  <c r="R65" i="1"/>
  <c r="Q65" i="1"/>
  <c r="P65" i="1"/>
  <c r="R64" i="1"/>
  <c r="Q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J60" i="1"/>
  <c r="I60" i="1"/>
  <c r="H60" i="1"/>
  <c r="G60" i="1"/>
  <c r="R52" i="1"/>
  <c r="Q52" i="1"/>
  <c r="P52" i="1"/>
  <c r="R51" i="1"/>
  <c r="Q51" i="1"/>
  <c r="P51" i="1"/>
  <c r="R50" i="1"/>
  <c r="Q50" i="1"/>
  <c r="P50" i="1"/>
  <c r="R47" i="1"/>
  <c r="Q47" i="1"/>
  <c r="P47" i="1"/>
  <c r="H53" i="1"/>
  <c r="H55" i="1" s="1"/>
  <c r="G53" i="1"/>
  <c r="R45" i="1"/>
  <c r="Q45" i="1"/>
  <c r="P45" i="1"/>
  <c r="R44" i="1"/>
  <c r="Q44" i="1"/>
  <c r="P44" i="1"/>
  <c r="J53" i="1"/>
  <c r="J55" i="1" s="1"/>
  <c r="Q43" i="1"/>
  <c r="P43" i="1"/>
  <c r="R42" i="1"/>
  <c r="Q42" i="1"/>
  <c r="P42" i="1"/>
  <c r="R41" i="1"/>
  <c r="Q41" i="1"/>
  <c r="P41" i="1"/>
  <c r="J40" i="1"/>
  <c r="I40" i="1"/>
  <c r="G18" i="2" s="1"/>
  <c r="H40" i="1"/>
  <c r="F18" i="2" s="1"/>
  <c r="G40" i="1"/>
  <c r="E18" i="2" s="1"/>
  <c r="R35" i="1"/>
  <c r="Q35" i="1"/>
  <c r="P35" i="1"/>
  <c r="R34" i="1"/>
  <c r="P34" i="1"/>
  <c r="S32" i="1"/>
  <c r="R32" i="1"/>
  <c r="Q32" i="1"/>
  <c r="P32" i="1"/>
  <c r="T31" i="1"/>
  <c r="T37" i="1" s="1"/>
  <c r="S30" i="1"/>
  <c r="R30" i="1"/>
  <c r="Q30" i="1"/>
  <c r="P30" i="1"/>
  <c r="S29" i="1"/>
  <c r="R29" i="1"/>
  <c r="Q29" i="1"/>
  <c r="P29" i="1"/>
  <c r="J27" i="1"/>
  <c r="I27" i="1"/>
  <c r="G6" i="2" s="1"/>
  <c r="H27" i="1"/>
  <c r="F6" i="2" s="1"/>
  <c r="G27" i="1"/>
  <c r="E6" i="2" s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S20" i="1"/>
  <c r="R20" i="1"/>
  <c r="Q20" i="1"/>
  <c r="P20" i="1"/>
  <c r="S19" i="1"/>
  <c r="R19" i="1"/>
  <c r="Q19" i="1"/>
  <c r="P19" i="1"/>
  <c r="S18" i="1"/>
  <c r="R18" i="1"/>
  <c r="Q18" i="1"/>
  <c r="P18" i="1"/>
  <c r="J16" i="1"/>
  <c r="I16" i="1"/>
  <c r="G5" i="2" s="1"/>
  <c r="H16" i="1"/>
  <c r="F5" i="2" s="1"/>
  <c r="G16" i="1"/>
  <c r="E5" i="2" s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F19" i="8" l="1"/>
  <c r="E19" i="8"/>
  <c r="F8" i="2"/>
  <c r="G8" i="2"/>
  <c r="E8" i="2"/>
  <c r="G17" i="2"/>
  <c r="C24" i="6"/>
  <c r="S53" i="1"/>
  <c r="G16" i="2"/>
  <c r="S78" i="1"/>
  <c r="H17" i="2"/>
  <c r="S163" i="1"/>
  <c r="F175" i="1"/>
  <c r="C37" i="6" s="1"/>
  <c r="F16" i="2"/>
  <c r="S48" i="1"/>
  <c r="S27" i="1"/>
  <c r="H6" i="2"/>
  <c r="S73" i="1"/>
  <c r="H16" i="2"/>
  <c r="E17" i="2"/>
  <c r="S120" i="1"/>
  <c r="S156" i="1"/>
  <c r="D5" i="2"/>
  <c r="D19" i="8" s="1"/>
  <c r="F89" i="1"/>
  <c r="D16" i="2"/>
  <c r="D15" i="2" s="1"/>
  <c r="S36" i="1"/>
  <c r="H18" i="2"/>
  <c r="S124" i="1"/>
  <c r="S16" i="1"/>
  <c r="H5" i="2"/>
  <c r="E16" i="2"/>
  <c r="F17" i="2"/>
  <c r="S113" i="1"/>
  <c r="S109" i="1"/>
  <c r="J110" i="1"/>
  <c r="G24" i="6"/>
  <c r="I110" i="1"/>
  <c r="H24" i="6"/>
  <c r="F110" i="1"/>
  <c r="G110" i="1"/>
  <c r="D24" i="6"/>
  <c r="F135" i="1"/>
  <c r="H110" i="1"/>
  <c r="F24" i="6"/>
  <c r="Q156" i="1"/>
  <c r="H175" i="1"/>
  <c r="E37" i="6" s="1"/>
  <c r="Q124" i="1"/>
  <c r="Q131" i="1"/>
  <c r="P131" i="1"/>
  <c r="P156" i="1"/>
  <c r="R109" i="1"/>
  <c r="S100" i="1"/>
  <c r="K17" i="6" s="1"/>
  <c r="P113" i="1"/>
  <c r="P73" i="1"/>
  <c r="Q78" i="1"/>
  <c r="Q109" i="1"/>
  <c r="R53" i="1"/>
  <c r="Q73" i="1"/>
  <c r="P96" i="1"/>
  <c r="I175" i="1"/>
  <c r="F37" i="6" s="1"/>
  <c r="J175" i="1"/>
  <c r="S165" i="1" s="1"/>
  <c r="Q16" i="1"/>
  <c r="Q36" i="1"/>
  <c r="P53" i="1"/>
  <c r="R78" i="1"/>
  <c r="Q93" i="1"/>
  <c r="P109" i="1"/>
  <c r="Q113" i="1"/>
  <c r="R120" i="1"/>
  <c r="P124" i="1"/>
  <c r="Q163" i="1"/>
  <c r="R27" i="1"/>
  <c r="R96" i="1"/>
  <c r="I135" i="1"/>
  <c r="P163" i="1"/>
  <c r="T85" i="1"/>
  <c r="R124" i="1"/>
  <c r="T167" i="1"/>
  <c r="T171" i="1" s="1"/>
  <c r="H135" i="1"/>
  <c r="P27" i="1"/>
  <c r="R43" i="1"/>
  <c r="Q53" i="1"/>
  <c r="R73" i="1"/>
  <c r="P93" i="1"/>
  <c r="Q96" i="1"/>
  <c r="Q98" i="1"/>
  <c r="P120" i="1"/>
  <c r="R131" i="1"/>
  <c r="R156" i="1"/>
  <c r="R163" i="1"/>
  <c r="G175" i="1"/>
  <c r="D37" i="6" s="1"/>
  <c r="R16" i="1"/>
  <c r="P78" i="1"/>
  <c r="G135" i="1"/>
  <c r="P16" i="1"/>
  <c r="Q27" i="1"/>
  <c r="R36" i="1"/>
  <c r="S98" i="1"/>
  <c r="J135" i="1"/>
  <c r="S125" i="1" s="1"/>
  <c r="G55" i="1"/>
  <c r="P46" i="1"/>
  <c r="P36" i="1"/>
  <c r="I53" i="1"/>
  <c r="R93" i="1"/>
  <c r="R113" i="1"/>
  <c r="Q120" i="1"/>
  <c r="S131" i="1"/>
  <c r="H89" i="1"/>
  <c r="J89" i="1"/>
  <c r="P98" i="1"/>
  <c r="R98" i="1"/>
  <c r="D34" i="6" l="1"/>
  <c r="F177" i="1"/>
  <c r="D3" i="7"/>
  <c r="B37" i="7" s="1"/>
  <c r="B40" i="7" s="1"/>
  <c r="G19" i="8"/>
  <c r="D26" i="2"/>
  <c r="G15" i="2"/>
  <c r="G26" i="2" s="1"/>
  <c r="H8" i="2"/>
  <c r="H15" i="2"/>
  <c r="H26" i="2" s="1"/>
  <c r="D8" i="2"/>
  <c r="F15" i="2"/>
  <c r="F26" i="2" s="1"/>
  <c r="E15" i="2"/>
  <c r="E26" i="2" s="1"/>
  <c r="C17" i="6"/>
  <c r="C29" i="6"/>
  <c r="C19" i="6"/>
  <c r="C27" i="6" s="1"/>
  <c r="F181" i="1"/>
  <c r="Q100" i="1"/>
  <c r="G18" i="6" s="1"/>
  <c r="E25" i="6"/>
  <c r="C18" i="6"/>
  <c r="D25" i="6"/>
  <c r="D35" i="6"/>
  <c r="G37" i="6"/>
  <c r="P48" i="1"/>
  <c r="J17" i="6"/>
  <c r="G25" i="6"/>
  <c r="F25" i="6"/>
  <c r="R100" i="1"/>
  <c r="I19" i="6" s="1"/>
  <c r="I27" i="6" s="1"/>
  <c r="H35" i="6"/>
  <c r="H34" i="6"/>
  <c r="F34" i="6"/>
  <c r="F35" i="6"/>
  <c r="H19" i="6"/>
  <c r="H27" i="6" s="1"/>
  <c r="H17" i="6"/>
  <c r="P100" i="1"/>
  <c r="D18" i="6" s="1"/>
  <c r="C25" i="6"/>
  <c r="J18" i="6"/>
  <c r="E24" i="6"/>
  <c r="F19" i="6"/>
  <c r="F27" i="6" s="1"/>
  <c r="F17" i="6"/>
  <c r="D19" i="6"/>
  <c r="D27" i="6" s="1"/>
  <c r="D17" i="6"/>
  <c r="T172" i="1"/>
  <c r="Q125" i="1"/>
  <c r="I177" i="1"/>
  <c r="I181" i="1" s="1"/>
  <c r="R165" i="1"/>
  <c r="Q165" i="1"/>
  <c r="H177" i="1"/>
  <c r="P125" i="1"/>
  <c r="S81" i="1"/>
  <c r="I55" i="1"/>
  <c r="R46" i="1"/>
  <c r="Q46" i="1"/>
  <c r="R125" i="1"/>
  <c r="G177" i="1"/>
  <c r="P165" i="1"/>
  <c r="J177" i="1"/>
  <c r="G89" i="1"/>
  <c r="G19" i="6" l="1"/>
  <c r="G27" i="6" s="1"/>
  <c r="F18" i="6"/>
  <c r="R167" i="1"/>
  <c r="H31" i="2"/>
  <c r="H45" i="2" s="1"/>
  <c r="D31" i="2"/>
  <c r="D45" i="2" s="1"/>
  <c r="F15" i="8"/>
  <c r="F17" i="8" s="1"/>
  <c r="F25" i="8" s="1"/>
  <c r="E15" i="8"/>
  <c r="E17" i="8" s="1"/>
  <c r="E25" i="8" s="1"/>
  <c r="G15" i="8"/>
  <c r="G17" i="8" s="1"/>
  <c r="G25" i="8" s="1"/>
  <c r="D15" i="8"/>
  <c r="D17" i="8" s="1"/>
  <c r="D25" i="8" s="1"/>
  <c r="C22" i="6"/>
  <c r="G17" i="6"/>
  <c r="Q167" i="1"/>
  <c r="E19" i="6"/>
  <c r="E27" i="6" s="1"/>
  <c r="E18" i="6"/>
  <c r="H18" i="6"/>
  <c r="I18" i="6"/>
  <c r="I17" i="6"/>
  <c r="E17" i="6"/>
  <c r="E34" i="6"/>
  <c r="E35" i="6"/>
  <c r="H181" i="1"/>
  <c r="R48" i="1"/>
  <c r="I89" i="1"/>
  <c r="Q48" i="1"/>
  <c r="G181" i="1"/>
  <c r="P167" i="1"/>
  <c r="P81" i="1"/>
  <c r="J181" i="1"/>
  <c r="S167" i="1"/>
  <c r="G31" i="2" l="1"/>
  <c r="G45" i="2" s="1"/>
  <c r="E31" i="2"/>
  <c r="E45" i="2" s="1"/>
  <c r="F31" i="2"/>
  <c r="F45" i="2" s="1"/>
  <c r="D26" i="8"/>
  <c r="D31" i="8"/>
  <c r="D35" i="8" s="1"/>
  <c r="D41" i="8" s="1"/>
  <c r="G26" i="8"/>
  <c r="G31" i="8"/>
  <c r="G35" i="8" s="1"/>
  <c r="G41" i="8" s="1"/>
  <c r="E26" i="8"/>
  <c r="E31" i="8"/>
  <c r="E35" i="8" s="1"/>
  <c r="E41" i="8" s="1"/>
  <c r="F26" i="8"/>
  <c r="F31" i="8"/>
  <c r="F35" i="8" s="1"/>
  <c r="F41" i="8" s="1"/>
  <c r="G34" i="6"/>
  <c r="G35" i="6"/>
  <c r="P171" i="1"/>
  <c r="Q171" i="1"/>
  <c r="S171" i="1"/>
  <c r="R171" i="1"/>
  <c r="R81" i="1"/>
  <c r="Q81" i="1"/>
  <c r="F88" i="5"/>
  <c r="F89" i="5"/>
  <c r="F90" i="5" s="1"/>
  <c r="F107" i="5" s="1"/>
  <c r="F112" i="5" l="1"/>
  <c r="F113" i="5" s="1"/>
  <c r="F117" i="5" s="1"/>
  <c r="F123" i="5" s="1"/>
  <c r="R172" i="1" l="1"/>
  <c r="R85" i="1"/>
  <c r="Q172" i="1"/>
  <c r="Q85" i="1"/>
  <c r="P37" i="1"/>
  <c r="Q37" i="1"/>
  <c r="E13" i="6"/>
  <c r="E11" i="6"/>
  <c r="H44" i="1"/>
  <c r="H93" i="1"/>
  <c r="H182" i="1"/>
  <c r="P172" i="1"/>
  <c r="P85" i="1"/>
  <c r="S172" i="1"/>
  <c r="S85" i="1"/>
  <c r="D11" i="6"/>
  <c r="D13" i="6"/>
  <c r="G44" i="1"/>
  <c r="G93" i="1"/>
  <c r="G182" i="1"/>
  <c r="R37" i="1"/>
  <c r="G31" i="1"/>
  <c r="P31" i="1"/>
  <c r="S37" i="1"/>
  <c r="C13" i="6"/>
  <c r="C11" i="6"/>
  <c r="F31" i="1"/>
  <c r="F44" i="1"/>
  <c r="F93" i="1"/>
  <c r="F182" i="1"/>
  <c r="R31" i="1"/>
  <c r="H31" i="1"/>
  <c r="Q31" i="1"/>
  <c r="J182" i="1"/>
  <c r="G13" i="6"/>
  <c r="J44" i="1"/>
  <c r="J93" i="1"/>
  <c r="G11" i="6"/>
  <c r="I182" i="1"/>
  <c r="F13" i="6"/>
  <c r="I31" i="1"/>
  <c r="I44" i="1"/>
  <c r="I93" i="1"/>
  <c r="F11" i="6"/>
  <c r="J31" i="1"/>
  <c r="S31" i="1"/>
</calcChain>
</file>

<file path=xl/sharedStrings.xml><?xml version="1.0" encoding="utf-8"?>
<sst xmlns="http://schemas.openxmlformats.org/spreadsheetml/2006/main" count="1028" uniqueCount="598">
  <si>
    <t>BALANCE SHEET</t>
  </si>
  <si>
    <t>(EUR m)</t>
  </si>
  <si>
    <t>ASSET:</t>
  </si>
  <si>
    <t>NON-CURRENT ASSETS</t>
  </si>
  <si>
    <t>ATTIVITÀ NON CORRENTI</t>
  </si>
  <si>
    <t>Tangible assets:</t>
  </si>
  <si>
    <t>Immobilizzazioni materiali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</si>
  <si>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</si>
  <si>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</si>
  <si>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</si>
  <si>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</si>
  <si>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</si>
  <si>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</si>
  <si>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</si>
  <si>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</si>
  <si>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</si>
  <si>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</si>
  <si>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</si>
  <si>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</si>
  <si>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</si>
  <si>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</si>
  <si>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</si>
  <si>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Immobilizzazioni immateriali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</si>
  <si>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</si>
  <si>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</si>
  <si>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</si>
  <si>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</si>
  <si>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</si>
  <si>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and other non-current financial assets:</t>
  </si>
  <si>
    <t>Shareholdings carried according to equity method:</t>
  </si>
  <si>
    <t>Partecipazioni valutate col metodo del Patrimonio netto</t>
  </si>
  <si>
    <t>Other non-current financial assets</t>
  </si>
  <si>
    <t>Altre attività finanziarie non correnti</t>
  </si>
  <si>
    <t>Deferred tax assets</t>
  </si>
  <si>
    <t>Attività per imposte anticipate</t>
  </si>
  <si>
    <t>Other non-current financial assets:</t>
  </si>
  <si>
    <t>Non-current derivatives</t>
  </si>
  <si>
    <t>Other non-current assets</t>
  </si>
  <si>
    <t>TOTAL NON-CURRENT ASSETS</t>
  </si>
  <si>
    <t>CURRENT ASSETS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</si>
  <si>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</si>
  <si>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</si>
  <si>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</si>
  <si>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</si>
  <si>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</si>
  <si>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</si>
  <si>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</si>
  <si>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</si>
  <si>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</si>
  <si>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</si>
  <si>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</si>
  <si>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</si>
  <si>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</si>
  <si>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</si>
  <si>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 xml:space="preserve">DEBT/ EQUITY RATIO (p.7) 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</si>
  <si>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</si>
  <si>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</si>
  <si>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</si>
  <si>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</si>
  <si>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</si>
  <si>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</si>
  <si>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</si>
  <si>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</si>
  <si>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</si>
  <si>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</si>
  <si>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other recivables EPCG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</si>
  <si>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</si>
  <si>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</si>
  <si>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</si>
  <si>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</si>
  <si>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</si>
  <si>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Current financial assets:</t>
  </si>
  <si>
    <t>Other financial assets</t>
  </si>
  <si>
    <t>Other financial assets from related parties</t>
  </si>
  <si>
    <t>Other financial assets from assets held for sale</t>
  </si>
  <si>
    <t>Current tax assets</t>
  </si>
  <si>
    <t>Attività per imposte correnti</t>
  </si>
  <si>
    <t>Cash and cash equivalents</t>
  </si>
  <si>
    <t>Disponibilità liquide e mezzi equivalenti</t>
  </si>
  <si>
    <t>TOTAL CURRENT ASSETS</t>
  </si>
  <si>
    <t>NON-CURRENT ASSETS HELD FOR SALE</t>
  </si>
  <si>
    <t>ATTIVITÀ NON CORRENTI DESTINATE ALLA VENDITA</t>
  </si>
  <si>
    <t>TOTAL ASSETS</t>
  </si>
  <si>
    <t>TOTALE ATTIVO</t>
  </si>
  <si>
    <t>EQUITY AND LIABILITIES:</t>
  </si>
  <si>
    <t>EQUITY</t>
  </si>
  <si>
    <t>PATRIMONIO NETTO</t>
  </si>
  <si>
    <t>Share capital</t>
  </si>
  <si>
    <t>Capitale sociale</t>
  </si>
  <si>
    <t>(Azioni proprie)</t>
  </si>
  <si>
    <t>Riserve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</si>
  <si>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</si>
  <si>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</si>
  <si>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</si>
  <si>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</si>
  <si>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</si>
  <si>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Result of the year(period)</t>
  </si>
  <si>
    <t>Risultato d’esercizio</t>
  </si>
  <si>
    <t>Equity pertaining to the Group</t>
  </si>
  <si>
    <t xml:space="preserve">Patrimonio netto di gruppo </t>
  </si>
  <si>
    <t>Minority interests</t>
  </si>
  <si>
    <t>Interessi di minoranze</t>
  </si>
  <si>
    <t>TOTAL EQUITY</t>
  </si>
  <si>
    <t>LIABILITIES</t>
  </si>
  <si>
    <t>NON-CURRENT LIABILITIES</t>
  </si>
  <si>
    <t>Non-current financial liabilities:</t>
  </si>
  <si>
    <t>Non-convertible bonds</t>
  </si>
  <si>
    <t>Payables to banks</t>
  </si>
  <si>
    <t>Non-current financial payables for rights of use</t>
  </si>
  <si>
    <t>Payables to other lenders</t>
  </si>
  <si>
    <t xml:space="preserve">Total </t>
  </si>
  <si>
    <t>Employee benefits:</t>
  </si>
  <si>
    <t>Employee leaving entitlement (TFR)</t>
  </si>
  <si>
    <t>Employee benefits</t>
  </si>
  <si>
    <t>Provisions for risks, charges and liabilities for landfills: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</si>
  <si>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</si>
  <si>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</si>
  <si>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</si>
  <si>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</si>
  <si>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</si>
  <si>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Other non-current liabilities:</t>
  </si>
  <si>
    <t>Other non-current liabilities</t>
  </si>
  <si>
    <t>TOTAL NON-CURRENT LIABILITIES</t>
  </si>
  <si>
    <t xml:space="preserve">CURRENT LIABILITIES </t>
  </si>
  <si>
    <t>Trade payables:</t>
  </si>
  <si>
    <t>Advances</t>
  </si>
  <si>
    <t>Payables to suppliers</t>
  </si>
  <si>
    <t>Other current liabilities: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</si>
  <si>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</si>
  <si>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</si>
  <si>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</si>
  <si>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</si>
  <si>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</si>
  <si>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</si>
  <si>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</si>
  <si>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LGH</t>
  </si>
  <si>
    <t>Payables for EPCG</t>
  </si>
  <si>
    <t>Payables for A.T.O.</t>
  </si>
  <si>
    <t>Payables to customers for work to be performed</t>
  </si>
  <si>
    <t>Payables to customers for interest on security deposits</t>
  </si>
  <si>
    <t xml:space="preserve">debt for next period 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</si>
  <si>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</si>
  <si>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</si>
  <si>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</si>
  <si>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</si>
  <si>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</si>
  <si>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</si>
  <si>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</si>
  <si>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</si>
  <si>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</si>
  <si>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liabilities:</t>
  </si>
  <si>
    <t>Current financial payables for rights of use</t>
  </si>
  <si>
    <t>Financial payables to related parties</t>
  </si>
  <si>
    <t>Tax liabilities</t>
  </si>
  <si>
    <t>TOTAL CURRENT LIABILITIES</t>
  </si>
  <si>
    <t xml:space="preserve">TOTAL LIABILITIES  </t>
  </si>
  <si>
    <t>LIABILITIES DIRECTLY ASSOCIATED WITH NON-CURRENT ASSETS HELD FOR SALE</t>
  </si>
  <si>
    <t>TOTAL EQUITY AND LIABILITIES</t>
  </si>
  <si>
    <t xml:space="preserve">Historical data </t>
  </si>
  <si>
    <t>(check )</t>
  </si>
  <si>
    <t>Reserves</t>
  </si>
  <si>
    <t>Treasury shares</t>
  </si>
  <si>
    <t>water derivation fee recivables</t>
  </si>
  <si>
    <t xml:space="preserve">Historical results </t>
  </si>
  <si>
    <t xml:space="preserve">Changes % </t>
  </si>
  <si>
    <t>Revenues</t>
  </si>
  <si>
    <t>Ricavi</t>
  </si>
  <si>
    <t>Revenues from the sale of goods</t>
  </si>
  <si>
    <t xml:space="preserve">Ricavi di vendita </t>
  </si>
  <si>
    <t xml:space="preserve">Revenues from services </t>
  </si>
  <si>
    <t xml:space="preserve">Ricavi da prestazioni </t>
  </si>
  <si>
    <t xml:space="preserve">Total revenues from sale of goods and serv </t>
  </si>
  <si>
    <t xml:space="preserve">Totale ricavi di vendita e da prestazioni </t>
  </si>
  <si>
    <t>Other operating revenues</t>
  </si>
  <si>
    <t>Altri ricavi operativi</t>
  </si>
  <si>
    <t>Totale ricavi</t>
  </si>
  <si>
    <t>Costi operativi</t>
  </si>
  <si>
    <t xml:space="preserve">Expenses for raw materials </t>
  </si>
  <si>
    <t xml:space="preserve">Costi per materie prime </t>
  </si>
  <si>
    <t>Expenses for  services</t>
  </si>
  <si>
    <t xml:space="preserve">Costi per servizi </t>
  </si>
  <si>
    <t xml:space="preserve">Total for raw materials and services </t>
  </si>
  <si>
    <t xml:space="preserve">Costi per materie prime e servizi </t>
  </si>
  <si>
    <t>Other operating expenses</t>
  </si>
  <si>
    <t>Altri costi operativi</t>
  </si>
  <si>
    <t>Totale costi operativi</t>
  </si>
  <si>
    <t>Costi per il personale</t>
  </si>
  <si>
    <t xml:space="preserve">Wages and salaries </t>
  </si>
  <si>
    <t xml:space="preserve">Salari e stipendi </t>
  </si>
  <si>
    <t xml:space="preserve">Social security charges </t>
  </si>
  <si>
    <t xml:space="preserve">Oneri sociali </t>
  </si>
  <si>
    <t>TFR</t>
  </si>
  <si>
    <t xml:space="preserve">Other costs </t>
  </si>
  <si>
    <t xml:space="preserve">Altri costi   </t>
  </si>
  <si>
    <t>Total labour costs before capitalizations</t>
  </si>
  <si>
    <t xml:space="preserve">Totale costi per il personale prima della capitalizzazione </t>
  </si>
  <si>
    <t xml:space="preserve">Capitalized labour costs </t>
  </si>
  <si>
    <t xml:space="preserve">Costi per il personale capitalizzati </t>
  </si>
  <si>
    <t>Gross operating income - (EBITDA)</t>
  </si>
  <si>
    <t>Margine operativo lordo</t>
  </si>
  <si>
    <t>Depreciation, amortization, provisions and write-downs</t>
  </si>
  <si>
    <t>Ammortamenti, accantonamenti e svalutazioni</t>
  </si>
  <si>
    <t xml:space="preserve">Amortization of intangible assets </t>
  </si>
  <si>
    <t xml:space="preserve">Ammortamento immobilizzazioni immateriali </t>
  </si>
  <si>
    <t xml:space="preserve">Depreciation of tangible assets </t>
  </si>
  <si>
    <t xml:space="preserve">Ammortamento immobilizzazioni materiali </t>
  </si>
  <si>
    <t xml:space="preserve">Net-write downs of fixed assets </t>
  </si>
  <si>
    <t xml:space="preserve">Svalutazioni nette nelle immobilizzazioni </t>
  </si>
  <si>
    <t xml:space="preserve">Total amortization, depr and write downs </t>
  </si>
  <si>
    <t xml:space="preserve">Totale ammortamenti e svalutazioni </t>
  </si>
  <si>
    <t xml:space="preserve">Provisions for risks </t>
  </si>
  <si>
    <t xml:space="preserve">Accantonamento per rischi </t>
  </si>
  <si>
    <t xml:space="preserve">Bad debt provision on receivables recog as current assets </t>
  </si>
  <si>
    <t xml:space="preserve">Accantonamento per rischi su crediti nell'attivo circolante </t>
  </si>
  <si>
    <t xml:space="preserve">Totale ammortamenti, accantonamenti e svalutazioni </t>
  </si>
  <si>
    <t>Net operating income - (EBIT)</t>
  </si>
  <si>
    <t>Risultato operativo netto</t>
  </si>
  <si>
    <t>Result from non-recur. Transactions</t>
  </si>
  <si>
    <t>Risultato da transazioni non ricorrenti</t>
  </si>
  <si>
    <t>Financial balance</t>
  </si>
  <si>
    <t>Gestione finanziaria</t>
  </si>
  <si>
    <t>Financial income of which:</t>
  </si>
  <si>
    <t>Proventi finanziari</t>
  </si>
  <si>
    <t>Gains on disposals of financial assets</t>
  </si>
  <si>
    <t xml:space="preserve">Other financial income </t>
  </si>
  <si>
    <t xml:space="preserve">Total financial income </t>
  </si>
  <si>
    <t>Financial expenses of which:</t>
  </si>
  <si>
    <t>Oneri finanziari</t>
  </si>
  <si>
    <t xml:space="preserve">Interest on bond loans </t>
  </si>
  <si>
    <t xml:space="preserve">Interessi su prestiti obbligazionari </t>
  </si>
  <si>
    <t xml:space="preserve">Interest charged by banks </t>
  </si>
  <si>
    <t xml:space="preserve">Interessi verso istituti di credito </t>
  </si>
  <si>
    <t xml:space="preserve">Realized on financial derivatives </t>
  </si>
  <si>
    <t xml:space="preserve">Realized su derivari finanziari </t>
  </si>
  <si>
    <t xml:space="preserve">Decommisioning costs </t>
  </si>
  <si>
    <t>Oneri da decommisioning</t>
  </si>
  <si>
    <t>Other financial expenses</t>
  </si>
  <si>
    <t xml:space="preserve">Altri oneri finanziari </t>
  </si>
  <si>
    <t xml:space="preserve">Total before capitalization </t>
  </si>
  <si>
    <t xml:space="preserve">Totale prima della capitalizzazione </t>
  </si>
  <si>
    <t xml:space="preserve">Capitalized financial expenses </t>
  </si>
  <si>
    <t xml:space="preserve">Oneri finanziari capitalizzati </t>
  </si>
  <si>
    <t xml:space="preserve">Total financial expenses </t>
  </si>
  <si>
    <t xml:space="preserve">Totale oneri finanziari </t>
  </si>
  <si>
    <t>Affiliates</t>
  </si>
  <si>
    <t>Quota dei proventi e degli oneri derivanti dalla valutazione secondo il Patrimonio netto delle partecipazioni</t>
  </si>
  <si>
    <t>Result from disposal of other shareholdings</t>
  </si>
  <si>
    <t>Risultato da cessione di altre partecipazioni (AFS)</t>
  </si>
  <si>
    <t>Total financial balance</t>
  </si>
  <si>
    <t>Totale gestione finanziaria</t>
  </si>
  <si>
    <t>Result before taxes (EBT)</t>
  </si>
  <si>
    <t>Risultato al lordo delle imposte</t>
  </si>
  <si>
    <t>Income taxes</t>
  </si>
  <si>
    <t>Oneri/Proventi per imposte sui redditi</t>
  </si>
  <si>
    <t>Current IRES</t>
  </si>
  <si>
    <t>IRES</t>
  </si>
  <si>
    <t>Current IRAP</t>
  </si>
  <si>
    <t>IRAP</t>
  </si>
  <si>
    <t xml:space="preserve">Effect of differences- taxes of previous years </t>
  </si>
  <si>
    <t xml:space="preserve">Effetto differenze imposte esercizi precedenti </t>
  </si>
  <si>
    <t>Total current taxes</t>
  </si>
  <si>
    <t xml:space="preserve">Totale tasse correnti </t>
  </si>
  <si>
    <t xml:space="preserve">Imposte anticipate </t>
  </si>
  <si>
    <t xml:space="preserve">Deferred tax liabilities </t>
  </si>
  <si>
    <t xml:space="preserve">Imposte differite </t>
  </si>
  <si>
    <t xml:space="preserve">Total losses/gains for income taxes </t>
  </si>
  <si>
    <t xml:space="preserve">Totale oneri/proventi per imposte sui redditi </t>
  </si>
  <si>
    <t>Result after taxes from operating activities</t>
  </si>
  <si>
    <t>Risultato di attività operative in esercizio al netto delle imposte</t>
  </si>
  <si>
    <t>Net result from discontinued operations</t>
  </si>
  <si>
    <t>Risultato netto da attività operative cessate/destinate alla vendita</t>
  </si>
  <si>
    <t>Net result</t>
  </si>
  <si>
    <t>Risultato netto</t>
  </si>
  <si>
    <t>Minorities</t>
  </si>
  <si>
    <t>Risultato di pertinenza di terzi</t>
  </si>
  <si>
    <t>Group result of the year</t>
  </si>
  <si>
    <t>Risultato d’esercizio di pertinenza del Gruppo</t>
  </si>
  <si>
    <t>Result per share (in euro):</t>
  </si>
  <si>
    <t>Risultato per azione (in euro):</t>
  </si>
  <si>
    <t>basic</t>
  </si>
  <si>
    <t xml:space="preserve"> di base</t>
  </si>
  <si>
    <t xml:space="preserve"> basic from continuing operations</t>
  </si>
  <si>
    <t>di base da attività di funzionamento</t>
  </si>
  <si>
    <t>basic from assets held for sale</t>
  </si>
  <si>
    <t>di base da attività destinate alla vendita</t>
  </si>
  <si>
    <t>diluted</t>
  </si>
  <si>
    <t>diluito</t>
  </si>
  <si>
    <t>diluted from continuing operations</t>
  </si>
  <si>
    <t>diluito da attività di funzionamento</t>
  </si>
  <si>
    <t>diluted from assets held for sale</t>
  </si>
  <si>
    <t>diluito da attività destinate alla vendita</t>
  </si>
  <si>
    <t xml:space="preserve">Dividends information </t>
  </si>
  <si>
    <t>Year 2019</t>
  </si>
  <si>
    <t xml:space="preserve">Year 2018 </t>
  </si>
  <si>
    <t>Year 2017</t>
  </si>
  <si>
    <t>Year 2016</t>
  </si>
  <si>
    <t xml:space="preserve">Year 2015 </t>
  </si>
  <si>
    <t xml:space="preserve">Dividend per share </t>
  </si>
  <si>
    <t xml:space="preserve">Total amount of dividend </t>
  </si>
  <si>
    <t xml:space="preserve">Dividend Payout ratio </t>
  </si>
  <si>
    <t xml:space="preserve">Retention ratio </t>
  </si>
  <si>
    <t xml:space="preserve">Weighted average number of outstanding shares for calculation of earnings per share </t>
  </si>
  <si>
    <t xml:space="preserve">REORGANIZED INCOME STATEMENT </t>
  </si>
  <si>
    <t>EBIT</t>
  </si>
  <si>
    <t>EBT</t>
  </si>
  <si>
    <t xml:space="preserve">Total  income taxes </t>
  </si>
  <si>
    <t>EBITDA</t>
  </si>
  <si>
    <t>ROA</t>
  </si>
  <si>
    <t>Ebit(1-t) / Total assets</t>
  </si>
  <si>
    <t xml:space="preserve">NI + Int exp(1-t) / Tot assets </t>
  </si>
  <si>
    <t>EXTENDED ROA</t>
  </si>
  <si>
    <t>??????</t>
  </si>
  <si>
    <t>: Ebit(1-t)/ Bv Debt + Bv equity</t>
  </si>
  <si>
    <t>T-1 (ebit a T)</t>
  </si>
  <si>
    <t>T e t-1 /2</t>
  </si>
  <si>
    <t>den bv2015+15/2</t>
  </si>
  <si>
    <t xml:space="preserve">decomposto  </t>
  </si>
  <si>
    <t xml:space="preserve">Ebit(1-t)/Sales x Salex/BV of capital </t>
  </si>
  <si>
    <t xml:space="preserve">DECOMPONI I DUE OPERATORI IN 3 COLONNE </t>
  </si>
  <si>
    <t>ROE = ROC + D/E (ROC - i(1-t))</t>
  </si>
  <si>
    <t xml:space="preserve">Roe = NI/ Book value of common equity  </t>
  </si>
  <si>
    <t>MINORITIES??</t>
  </si>
  <si>
    <t>T e t-1 /2 ROE</t>
  </si>
  <si>
    <t xml:space="preserve">ROE = ROC + D/E (ROC - i(1-t)) </t>
  </si>
  <si>
    <t xml:space="preserve">aggiustare per bank right use </t>
  </si>
  <si>
    <t xml:space="preserve">Current ratio: current assets (cash, inventory, receivable) over current liabilities (obligations due within next period) </t>
  </si>
  <si>
    <t xml:space="preserve">quick ratio = Cash + marketable securities / current liabilities </t>
  </si>
  <si>
    <t xml:space="preserve">total </t>
  </si>
  <si>
    <t>turnover</t>
  </si>
  <si>
    <t xml:space="preserve">Interest coverage ratio: Ebit/interest expenses </t>
  </si>
  <si>
    <t>Operating cash flows to capex = Cash flows from operations /Capex</t>
  </si>
  <si>
    <t>Debt to capital ratio: debt/ debt + equity ; measures debt as proprortion of total capital</t>
  </si>
  <si>
    <t xml:space="preserve">Debt to equity ratio: debt / equity ; measures debt as proportion of equity in the firm </t>
  </si>
  <si>
    <t>INCOME STATEMENT</t>
  </si>
  <si>
    <t>Operating expenses</t>
  </si>
  <si>
    <t>Labour costs</t>
  </si>
  <si>
    <t>∆% 16</t>
  </si>
  <si>
    <t>∆% 17</t>
  </si>
  <si>
    <t>∆% 18</t>
  </si>
  <si>
    <t>∆% 19</t>
  </si>
  <si>
    <t>REORGANIZED BALANCE SHEET</t>
  </si>
  <si>
    <t>so working cash balances, trade account recivables, inventory an prepaid expenses</t>
  </si>
  <si>
    <t xml:space="preserve">ADD IT ON LONG TERM </t>
  </si>
  <si>
    <t>of which included in NPF</t>
  </si>
  <si>
    <t>Inventories</t>
  </si>
  <si>
    <t>Trade receivables</t>
  </si>
  <si>
    <t>Other current assets</t>
  </si>
  <si>
    <t>Current financial assets</t>
  </si>
  <si>
    <t>Non-current asset held for sale</t>
  </si>
  <si>
    <t>Shareholdings and other non-current financial assets</t>
  </si>
  <si>
    <t>Trade payables</t>
  </si>
  <si>
    <t>Other current liabilities</t>
  </si>
  <si>
    <t>Provisions for risks, charges and liabilities for landfills</t>
  </si>
  <si>
    <t>Tangible asset</t>
  </si>
  <si>
    <t>Intangible assets</t>
  </si>
  <si>
    <t>FIXED ASSETS</t>
  </si>
  <si>
    <t xml:space="preserve">OPERATING WORKING CAITAL </t>
  </si>
  <si>
    <t xml:space="preserve">NET WORKING CAPITAL </t>
  </si>
  <si>
    <t>NET INVESTED CAPITAL</t>
  </si>
  <si>
    <t>NET DEBT</t>
  </si>
  <si>
    <t>labour costs</t>
  </si>
  <si>
    <t>Depreciation &amp; Amortization</t>
  </si>
  <si>
    <t xml:space="preserve">other minor </t>
  </si>
  <si>
    <t>NET PROFIT/LOSS</t>
  </si>
  <si>
    <t>Total debt</t>
  </si>
  <si>
    <t xml:space="preserve">Equity </t>
  </si>
  <si>
    <t>Tax assets</t>
  </si>
  <si>
    <t xml:space="preserve">Tax liabilities </t>
  </si>
  <si>
    <t xml:space="preserve">Other liabilities </t>
  </si>
  <si>
    <t>TOTAL EXPENSES</t>
  </si>
  <si>
    <t>REVENUES</t>
  </si>
  <si>
    <t>(check)</t>
  </si>
  <si>
    <t>Revenues from sale of goods and service</t>
  </si>
  <si>
    <t xml:space="preserve">CASH FLOW STATEMENT </t>
  </si>
  <si>
    <t>Reported taxes</t>
  </si>
  <si>
    <t>NOPAT</t>
  </si>
  <si>
    <t xml:space="preserve">∆ Trade recivables </t>
  </si>
  <si>
    <t xml:space="preserve">∆ Other asset </t>
  </si>
  <si>
    <t xml:space="preserve">∆ Other liabilities </t>
  </si>
  <si>
    <t xml:space="preserve">Net Capital Expenditures </t>
  </si>
  <si>
    <t xml:space="preserve">Depreciation &amp; Ammortization </t>
  </si>
  <si>
    <t xml:space="preserve">∆ Provision </t>
  </si>
  <si>
    <t xml:space="preserve">∆ Employees leaving entitlment </t>
  </si>
  <si>
    <t xml:space="preserve">Other minor </t>
  </si>
  <si>
    <t>FCFF</t>
  </si>
  <si>
    <t>%</t>
  </si>
  <si>
    <t xml:space="preserve">Financial items </t>
  </si>
  <si>
    <t>Financial debt issue/(repayment)</t>
  </si>
  <si>
    <t>FCFE</t>
  </si>
  <si>
    <t xml:space="preserve">% </t>
  </si>
  <si>
    <t xml:space="preserve">Equity movements </t>
  </si>
  <si>
    <t>NCF</t>
  </si>
  <si>
    <t>Cash and cash equivalents at Begin of Period</t>
  </si>
  <si>
    <t xml:space="preserve">Cash and cash equivalents at End of Period </t>
  </si>
  <si>
    <t xml:space="preserve"> ∆ Cash </t>
  </si>
  <si>
    <t>∆ TAX asset</t>
  </si>
  <si>
    <t xml:space="preserve">∆ Trade paylables </t>
  </si>
  <si>
    <t xml:space="preserve">∆ Inventory </t>
  </si>
  <si>
    <t xml:space="preserve">∆ WORKING CAPITAL </t>
  </si>
  <si>
    <t xml:space="preserve">∆  NET WORKING CAPITAL </t>
  </si>
  <si>
    <t>Financial items</t>
  </si>
  <si>
    <t xml:space="preserve">Net deferred tax </t>
  </si>
  <si>
    <t xml:space="preserve">Liabilities directly associated with non current assets held for sale </t>
  </si>
  <si>
    <t xml:space="preserve">Shield on financial items </t>
  </si>
  <si>
    <t>Shield on financial items</t>
  </si>
  <si>
    <r>
      <t xml:space="preserve">Check NCF =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Biome"/>
        <family val="2"/>
      </rPr>
      <t xml:space="preserve"> Cash? </t>
    </r>
  </si>
  <si>
    <t xml:space="preserve">WACC </t>
  </si>
  <si>
    <t xml:space="preserve">Approach 1 </t>
  </si>
  <si>
    <t xml:space="preserve">Approach 2 </t>
  </si>
  <si>
    <t xml:space="preserve">Approach 3 </t>
  </si>
  <si>
    <t xml:space="preserve">Risk free rate  (German bunds 10 Y spot rates, daily obs over past two years) </t>
  </si>
  <si>
    <t>Risk free rate</t>
  </si>
  <si>
    <t xml:space="preserve">Default spread on debt (A2A BBB) </t>
  </si>
  <si>
    <t>Spread on debt</t>
  </si>
  <si>
    <t xml:space="preserve">Cost of debt </t>
  </si>
  <si>
    <t xml:space="preserve">Tax Rate </t>
  </si>
  <si>
    <t>Net of taxes cost of debt</t>
  </si>
  <si>
    <t xml:space="preserve">Net of taxes cost of debt </t>
  </si>
  <si>
    <t>Risk free rate (A)</t>
  </si>
  <si>
    <t xml:space="preserve">Stable market risk premium </t>
  </si>
  <si>
    <t xml:space="preserve">Country risk premium </t>
  </si>
  <si>
    <t>Equity risk premium (B)</t>
  </si>
  <si>
    <t>Regression (levered Beta) (C)</t>
  </si>
  <si>
    <t>Bottom up levered beta (C )</t>
  </si>
  <si>
    <t xml:space="preserve">Cost of equity </t>
  </si>
  <si>
    <t>WACC (book value)</t>
  </si>
  <si>
    <t xml:space="preserve">WACC (market value) </t>
  </si>
  <si>
    <t xml:space="preserve">Approach 1: risk free rate, default spread, regression beta </t>
  </si>
  <si>
    <t xml:space="preserve">Approach 3: average cost of debt, regression beta </t>
  </si>
  <si>
    <t>At 31/12/19</t>
  </si>
  <si>
    <t>Equity (bv)</t>
  </si>
  <si>
    <t xml:space="preserve">Equity pertaining to group </t>
  </si>
  <si>
    <t xml:space="preserve">Equity market </t>
  </si>
  <si>
    <t>Market cap (at 31/12/19)</t>
  </si>
  <si>
    <t xml:space="preserve">Debt (Bv) </t>
  </si>
  <si>
    <t xml:space="preserve">Debt( Fair value) </t>
  </si>
  <si>
    <t xml:space="preserve">Fair value of bonds an bank debt </t>
  </si>
  <si>
    <t xml:space="preserve">Non curr fin payables for rights of use </t>
  </si>
  <si>
    <t>Yield to maturity</t>
  </si>
  <si>
    <t>Outstanding bonds</t>
  </si>
  <si>
    <t>Bond2022</t>
  </si>
  <si>
    <t>Bond2025</t>
  </si>
  <si>
    <t>bond2027</t>
  </si>
  <si>
    <t>bond2029</t>
  </si>
  <si>
    <t xml:space="preserve">WACC (book value ) </t>
  </si>
  <si>
    <t xml:space="preserve">Wacc (book value) </t>
  </si>
  <si>
    <t xml:space="preserve">Average Cost of Debt </t>
  </si>
  <si>
    <t xml:space="preserve">Computational references </t>
  </si>
  <si>
    <t xml:space="preserve">For what about cost of Debt in approach 3 </t>
  </si>
  <si>
    <t xml:space="preserve">Average Cost of debt </t>
  </si>
  <si>
    <t xml:space="preserve">Equity to capital (bv) </t>
  </si>
  <si>
    <t>Debt to capital (bv)</t>
  </si>
  <si>
    <t xml:space="preserve">Equity to capital (mv) </t>
  </si>
  <si>
    <t xml:space="preserve">Debt to capital (mv) </t>
  </si>
  <si>
    <t xml:space="preserve">Current value (At 01/04) </t>
  </si>
  <si>
    <t xml:space="preserve">Total Debt </t>
  </si>
  <si>
    <t xml:space="preserve">Bottom up unlevered beta computation </t>
  </si>
  <si>
    <t>Percentage</t>
  </si>
  <si>
    <t xml:space="preserve">Adj Unlev Beta </t>
  </si>
  <si>
    <t xml:space="preserve">Weighted Unlevered Beta </t>
  </si>
  <si>
    <t>Utility (general)</t>
  </si>
  <si>
    <t>Utility (water)</t>
  </si>
  <si>
    <t>Green and renewable energy (25%)</t>
  </si>
  <si>
    <t xml:space="preserve">Environmental and Waste </t>
  </si>
  <si>
    <t xml:space="preserve">Oil/gas distribution </t>
  </si>
  <si>
    <t>Investment &amp; Asset management</t>
  </si>
  <si>
    <t>TOTAL</t>
  </si>
  <si>
    <t xml:space="preserve">Financial balance </t>
  </si>
  <si>
    <t xml:space="preserve">Result after taxes from operating activities </t>
  </si>
  <si>
    <t xml:space="preserve">Net result from discounted operations </t>
  </si>
  <si>
    <t xml:space="preserve">REORGANIZED INCOME STATEMENT (Trailing 12 Months) </t>
  </si>
  <si>
    <t xml:space="preserve">Operating expenses  </t>
  </si>
  <si>
    <t xml:space="preserve">Labour cost </t>
  </si>
  <si>
    <t>Trailing 01/04/15-16</t>
  </si>
  <si>
    <t>01/04/16-17</t>
  </si>
  <si>
    <t>01/04/17-18</t>
  </si>
  <si>
    <t>01/04/18-19</t>
  </si>
  <si>
    <t>01/04/19-20</t>
  </si>
  <si>
    <t xml:space="preserve">Depreciation amortization and write downs </t>
  </si>
  <si>
    <t>Net Result from non-recur. Transactions</t>
  </si>
  <si>
    <t xml:space="preserve">Income taxes </t>
  </si>
  <si>
    <t xml:space="preserve">Net Income </t>
  </si>
  <si>
    <t xml:space="preserve">Minorities </t>
  </si>
  <si>
    <t>Reorganized balance sheet trailing 12 m</t>
  </si>
  <si>
    <t>Other assets:</t>
  </si>
  <si>
    <t xml:space="preserve">CHECK NET INVESTED CAPITAL </t>
  </si>
  <si>
    <t>Accruals</t>
  </si>
  <si>
    <t xml:space="preserve">Minorities + Net result from discontinued operations </t>
  </si>
  <si>
    <t>Balance Sheet</t>
  </si>
  <si>
    <t>Income Statement</t>
  </si>
  <si>
    <t xml:space="preserve">Cash Flow </t>
  </si>
  <si>
    <t xml:space="preserve">Tangible </t>
  </si>
  <si>
    <t xml:space="preserve">Intangible </t>
  </si>
  <si>
    <t xml:space="preserve">Financial </t>
  </si>
  <si>
    <t>Fixed Assets</t>
  </si>
  <si>
    <t xml:space="preserve">Inventory </t>
  </si>
  <si>
    <t xml:space="preserve">Trade payables </t>
  </si>
  <si>
    <t xml:space="preserve">OWC </t>
  </si>
  <si>
    <t xml:space="preserve">Other assets </t>
  </si>
  <si>
    <t xml:space="preserve">NWC </t>
  </si>
  <si>
    <t xml:space="preserve">NDA/NDL </t>
  </si>
  <si>
    <t xml:space="preserve">Employees </t>
  </si>
  <si>
    <t xml:space="preserve">Provisions </t>
  </si>
  <si>
    <t xml:space="preserve">NIC </t>
  </si>
  <si>
    <t xml:space="preserve">Debt </t>
  </si>
  <si>
    <t>Excess cash</t>
  </si>
  <si>
    <t xml:space="preserve">Net Debt </t>
  </si>
  <si>
    <t xml:space="preserve">Total capital employed </t>
  </si>
  <si>
    <t xml:space="preserve">Check NIC </t>
  </si>
  <si>
    <t xml:space="preserve">Revenues </t>
  </si>
  <si>
    <t xml:space="preserve">Operating costs </t>
  </si>
  <si>
    <t xml:space="preserve">Labour costs </t>
  </si>
  <si>
    <t xml:space="preserve">EBITDA </t>
  </si>
  <si>
    <t xml:space="preserve">D&amp;A </t>
  </si>
  <si>
    <t xml:space="preserve">Accruals </t>
  </si>
  <si>
    <t xml:space="preserve">Net res. From disc. Op </t>
  </si>
  <si>
    <t xml:space="preserve">NPL </t>
  </si>
  <si>
    <t xml:space="preserve">Reported taxes </t>
  </si>
  <si>
    <t xml:space="preserve">Shield on fin items </t>
  </si>
  <si>
    <t xml:space="preserve">∆ Trade rec. </t>
  </si>
  <si>
    <t xml:space="preserve">∆ Trade pay. </t>
  </si>
  <si>
    <t xml:space="preserve">∆ WC </t>
  </si>
  <si>
    <t xml:space="preserve">∆ Other liab. </t>
  </si>
  <si>
    <t xml:space="preserve">∆ NWC </t>
  </si>
  <si>
    <t xml:space="preserve">Net CAPEX </t>
  </si>
  <si>
    <t xml:space="preserve">D&amp;A (add back) </t>
  </si>
  <si>
    <t xml:space="preserve">∆ Employees </t>
  </si>
  <si>
    <t xml:space="preserve">∆ DTA /L </t>
  </si>
  <si>
    <t xml:space="preserve">Fin. Items </t>
  </si>
  <si>
    <t>Fin. Debt issue/(repayment)</t>
  </si>
  <si>
    <t xml:space="preserve">Shield on fin.items </t>
  </si>
  <si>
    <t xml:space="preserve">FCFE </t>
  </si>
  <si>
    <t xml:space="preserve">NCF </t>
  </si>
  <si>
    <t xml:space="preserve">∆ Cash (End - Beg) </t>
  </si>
  <si>
    <t xml:space="preserve">Balance Sheet Q1 </t>
  </si>
  <si>
    <t xml:space="preserve">IS LTM  </t>
  </si>
  <si>
    <t>01/04/15-16</t>
  </si>
  <si>
    <t xml:space="preserve">Trailing CF </t>
  </si>
  <si>
    <t>Check NCF ∆ Cash</t>
  </si>
  <si>
    <t xml:space="preserve">Bottom up levered beta computation </t>
  </si>
  <si>
    <t>Current values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</si>
  <si>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</si>
  <si>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</si>
  <si>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</si>
  <si>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</si>
  <si>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Levered Beta book value </t>
  </si>
  <si>
    <t xml:space="preserve">Levered Beta market value </t>
  </si>
  <si>
    <t xml:space="preserve">Approach 2: risk free rate, default spread, bottom up beta (at market values) </t>
  </si>
  <si>
    <t xml:space="preserve">Total Debt (mv) </t>
  </si>
  <si>
    <t xml:space="preserve">Capital ratios </t>
  </si>
  <si>
    <t>Residual Coupons</t>
  </si>
  <si>
    <t xml:space="preserve">Bond class </t>
  </si>
  <si>
    <t xml:space="preserve">Forecasts </t>
  </si>
  <si>
    <t xml:space="preserve">Historicals </t>
  </si>
  <si>
    <t xml:space="preserve">(Values included in NPF) </t>
  </si>
  <si>
    <t xml:space="preserve">Non current derivatives </t>
  </si>
  <si>
    <t>Total medium long term financial receivables</t>
  </si>
  <si>
    <t xml:space="preserve">Current financial assets </t>
  </si>
  <si>
    <t xml:space="preserve"> ∆ Current financial assets </t>
  </si>
  <si>
    <t>Bond2023 private</t>
  </si>
  <si>
    <t xml:space="preserve">Bond2024 private </t>
  </si>
  <si>
    <t>Bond 2021 (partial)</t>
  </si>
  <si>
    <t>Conservative wrt A2A's disclosure (2,8%)</t>
  </si>
  <si>
    <t xml:space="preserve">Dividend discount model </t>
  </si>
  <si>
    <t xml:space="preserve">A2A Dividend policy </t>
  </si>
  <si>
    <t>Distributed</t>
  </si>
  <si>
    <t>DPS</t>
  </si>
  <si>
    <t xml:space="preserve">Dividend payout ratio </t>
  </si>
  <si>
    <t>Change %</t>
  </si>
  <si>
    <t xml:space="preserve">EPS </t>
  </si>
  <si>
    <t>Outstanding shares</t>
  </si>
  <si>
    <t xml:space="preserve">Steady payout ratio: </t>
  </si>
  <si>
    <t xml:space="preserve">Stable WACC Beta = 1 </t>
  </si>
  <si>
    <t xml:space="preserve">Stable dividend growth: ROE (utility sectore) * Steady retention ratio </t>
  </si>
  <si>
    <t xml:space="preserve">Present Value of future dividends </t>
  </si>
  <si>
    <t xml:space="preserve">Present value of terminal value </t>
  </si>
  <si>
    <t xml:space="preserve">Expected price per share </t>
  </si>
  <si>
    <t>Terminal Value assumptions (stricty)</t>
  </si>
  <si>
    <t xml:space="preserve">Stable cost of equity (Beta = 1) </t>
  </si>
  <si>
    <t xml:space="preserve">Stable Cost of Equity </t>
  </si>
  <si>
    <t xml:space="preserve">Different Weighted AVG </t>
  </si>
  <si>
    <t xml:space="preserve">Sales Forecasts </t>
  </si>
  <si>
    <t>Revenues from  goods</t>
  </si>
  <si>
    <t xml:space="preserve">Operational costs forecasts </t>
  </si>
  <si>
    <t>Operational costs</t>
  </si>
  <si>
    <t xml:space="preserve">Present value of transition phase </t>
  </si>
  <si>
    <t xml:space="preserve">Transition phase assumptions </t>
  </si>
  <si>
    <t xml:space="preserve">Starting cost of equity </t>
  </si>
  <si>
    <t xml:space="preserve">Starting div. growth </t>
  </si>
  <si>
    <t xml:space="preserve">Terminal cost of equity </t>
  </si>
  <si>
    <t xml:space="preserve">Year step </t>
  </si>
  <si>
    <t>Terminal div. Growth</t>
  </si>
  <si>
    <t xml:space="preserve">Year Step </t>
  </si>
  <si>
    <t>Decreasing growth Phase (3Y)</t>
  </si>
  <si>
    <t xml:space="preserve">Steady Phase </t>
  </si>
  <si>
    <t>Cost of eq</t>
  </si>
  <si>
    <t xml:space="preserve">Pres Val 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</si>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</sst>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* #,##0.00_)\ &quot;€&quot;_ ;_ * \(#,##0.00\)\ &quot;€&quot;_ ;_ * &quot;-&quot;??_)\ &quot;€&quot;_ ;_ @_ "/>
    <numFmt numFmtId="43" formatCode="_ * #,##0.00_)_ ;_ * \(#,##0.00\)_ ;_ * &quot;-&quot;??_)_ ;_ @_ "/>
    <numFmt numFmtId="164" formatCode="_(* #,##0.00_);_(* \(#,##0.00\);_(* &quot;-&quot;??_);_(@_)"/>
    <numFmt numFmtId="165" formatCode="yyyy"/>
    <numFmt numFmtId="166" formatCode="0.000%"/>
    <numFmt numFmtId="167" formatCode="0.000"/>
    <numFmt numFmtId="168" formatCode="0_);\(0\)"/>
    <numFmt numFmtId="169" formatCode="_(* #,##0_);_(* \(#,##0\);_(* &quot;-&quot;??_);_(@_)"/>
    <numFmt numFmtId="170" formatCode="0.000000%"/>
    <numFmt numFmtId="171" formatCode="0.00000%"/>
    <numFmt numFmtId="172" formatCode="_-* #,##0.0000_-;\-* #,##0.00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Biome"/>
      <family val="2"/>
    </font>
    <font>
      <sz val="20"/>
      <color rgb="FFFF0000"/>
      <name val="Biome"/>
      <family val="2"/>
    </font>
    <font>
      <b/>
      <sz val="18"/>
      <color rgb="FF002060"/>
      <name val="Biome"/>
      <family val="2"/>
    </font>
    <font>
      <sz val="11"/>
      <color theme="1"/>
      <name val="Biome"/>
      <family val="2"/>
    </font>
    <font>
      <b/>
      <i/>
      <sz val="11"/>
      <color theme="1"/>
      <name val="Biome"/>
      <family val="2"/>
    </font>
    <font>
      <b/>
      <sz val="11"/>
      <color theme="0"/>
      <name val="Biome"/>
      <family val="2"/>
    </font>
    <font>
      <b/>
      <sz val="14"/>
      <color theme="1"/>
      <name val="Biome"/>
      <family val="2"/>
    </font>
    <font>
      <b/>
      <u/>
      <sz val="11"/>
      <color theme="1"/>
      <name val="Biome"/>
      <family val="2"/>
    </font>
    <font>
      <b/>
      <sz val="11"/>
      <color theme="1"/>
      <name val="Biome"/>
      <family val="2"/>
    </font>
    <font>
      <i/>
      <u/>
      <sz val="11"/>
      <color theme="1"/>
      <name val="Biome"/>
      <family val="2"/>
    </font>
    <font>
      <u/>
      <sz val="11"/>
      <color theme="1"/>
      <name val="Biome"/>
      <family val="2"/>
    </font>
    <font>
      <i/>
      <sz val="11"/>
      <color theme="1"/>
      <name val="Biome"/>
      <family val="2"/>
    </font>
    <font>
      <sz val="11"/>
      <name val="Biome"/>
      <family val="2"/>
    </font>
    <font>
      <b/>
      <sz val="16"/>
      <color theme="1"/>
      <name val="Biome"/>
      <family val="2"/>
    </font>
    <font>
      <sz val="11"/>
      <color theme="0" tint="-0.499984740745262"/>
      <name val="Biome"/>
      <family val="2"/>
    </font>
    <font>
      <sz val="12"/>
      <color rgb="FF222222"/>
      <name val="Biome"/>
      <family val="2"/>
    </font>
    <font>
      <sz val="11"/>
      <color rgb="FF000000"/>
      <name val="Calibri"/>
      <family val="2"/>
      <scheme val="minor"/>
    </font>
    <font>
      <sz val="18"/>
      <color theme="1"/>
      <name val="Biome"/>
      <family val="2"/>
    </font>
    <font>
      <b/>
      <i/>
      <sz val="11"/>
      <color theme="8" tint="-0.499984740745262"/>
      <name val="Biome"/>
      <family val="2"/>
    </font>
    <font>
      <sz val="11"/>
      <color theme="8" tint="-0.499984740745262"/>
      <name val="Biome"/>
      <family val="2"/>
    </font>
    <font>
      <sz val="11"/>
      <color theme="0"/>
      <name val="Biome"/>
      <family val="2"/>
    </font>
    <font>
      <b/>
      <sz val="11"/>
      <color rgb="FF002060"/>
      <name val="Biome"/>
      <family val="2"/>
    </font>
    <font>
      <b/>
      <sz val="12"/>
      <color theme="1"/>
      <name val="Biome"/>
      <family val="2"/>
    </font>
    <font>
      <b/>
      <sz val="11"/>
      <name val="Biome"/>
      <family val="2"/>
    </font>
    <font>
      <b/>
      <u/>
      <sz val="16"/>
      <color theme="1"/>
      <name val="Biome"/>
      <family val="2"/>
    </font>
    <font>
      <sz val="8"/>
      <color theme="0"/>
      <name val="Biome"/>
      <family val="2"/>
    </font>
    <font>
      <sz val="11"/>
      <color theme="0" tint="-0.249977111117893"/>
      <name val="Biome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Biome"/>
      <family val="2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9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Border="1"/>
    <xf numFmtId="0" fontId="9" fillId="2" borderId="0" xfId="0" applyFont="1" applyFill="1" applyBorder="1"/>
    <xf numFmtId="14" fontId="6" fillId="2" borderId="0" xfId="0" applyNumberFormat="1" applyFont="1" applyFill="1" applyBorder="1"/>
    <xf numFmtId="0" fontId="11" fillId="2" borderId="0" xfId="0" applyFont="1" applyFill="1" applyBorder="1"/>
    <xf numFmtId="0" fontId="6" fillId="0" borderId="0" xfId="0" applyFont="1" applyBorder="1"/>
    <xf numFmtId="0" fontId="12" fillId="4" borderId="0" xfId="0" applyFont="1" applyFill="1" applyBorder="1"/>
    <xf numFmtId="0" fontId="6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14" fillId="2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6" fillId="0" borderId="0" xfId="0" applyFont="1"/>
    <xf numFmtId="0" fontId="11" fillId="7" borderId="0" xfId="0" applyFont="1" applyFill="1" applyBorder="1"/>
    <xf numFmtId="0" fontId="15" fillId="7" borderId="0" xfId="0" applyFont="1" applyFill="1" applyBorder="1"/>
    <xf numFmtId="0" fontId="6" fillId="7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1" fillId="5" borderId="0" xfId="0" applyFont="1" applyFill="1" applyBorder="1"/>
    <xf numFmtId="0" fontId="6" fillId="5" borderId="0" xfId="0" applyFont="1" applyFill="1" applyBorder="1"/>
    <xf numFmtId="0" fontId="11" fillId="2" borderId="0" xfId="0" applyFont="1" applyFill="1" applyBorder="1" applyAlignment="1">
      <alignment wrapText="1"/>
    </xf>
    <xf numFmtId="0" fontId="17" fillId="2" borderId="0" xfId="0" applyFont="1" applyFill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166" fontId="6" fillId="2" borderId="3" xfId="1" applyNumberFormat="1" applyFont="1" applyFill="1" applyBorder="1"/>
    <xf numFmtId="0" fontId="6" fillId="0" borderId="4" xfId="0" applyFont="1" applyBorder="1"/>
    <xf numFmtId="166" fontId="10" fillId="4" borderId="3" xfId="1" applyNumberFormat="1" applyFont="1" applyFill="1" applyBorder="1"/>
    <xf numFmtId="3" fontId="10" fillId="4" borderId="4" xfId="0" applyNumberFormat="1" applyFont="1" applyFill="1" applyBorder="1"/>
    <xf numFmtId="166" fontId="14" fillId="2" borderId="3" xfId="1" applyNumberFormat="1" applyFont="1" applyFill="1" applyBorder="1"/>
    <xf numFmtId="0" fontId="14" fillId="2" borderId="4" xfId="0" applyFont="1" applyFill="1" applyBorder="1"/>
    <xf numFmtId="0" fontId="10" fillId="4" borderId="4" xfId="0" applyFont="1" applyFill="1" applyBorder="1"/>
    <xf numFmtId="166" fontId="11" fillId="6" borderId="3" xfId="1" applyNumberFormat="1" applyFont="1" applyFill="1" applyBorder="1"/>
    <xf numFmtId="0" fontId="11" fillId="6" borderId="4" xfId="0" applyFont="1" applyFill="1" applyBorder="1"/>
    <xf numFmtId="166" fontId="11" fillId="7" borderId="3" xfId="1" applyNumberFormat="1" applyFont="1" applyFill="1" applyBorder="1"/>
    <xf numFmtId="0" fontId="11" fillId="7" borderId="4" xfId="0" applyFont="1" applyFill="1" applyBorder="1"/>
    <xf numFmtId="166" fontId="11" fillId="5" borderId="3" xfId="1" applyNumberFormat="1" applyFont="1" applyFill="1" applyBorder="1"/>
    <xf numFmtId="0" fontId="11" fillId="5" borderId="4" xfId="0" applyFont="1" applyFill="1" applyBorder="1"/>
    <xf numFmtId="0" fontId="17" fillId="2" borderId="2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7" fillId="2" borderId="0" xfId="0" applyFont="1" applyFill="1" applyBorder="1"/>
    <xf numFmtId="0" fontId="0" fillId="2" borderId="0" xfId="0" applyFill="1" applyBorder="1"/>
    <xf numFmtId="166" fontId="11" fillId="2" borderId="3" xfId="1" applyNumberFormat="1" applyFont="1" applyFill="1" applyBorder="1"/>
    <xf numFmtId="3" fontId="11" fillId="2" borderId="4" xfId="0" applyNumberFormat="1" applyFont="1" applyFill="1" applyBorder="1"/>
    <xf numFmtId="0" fontId="18" fillId="0" borderId="0" xfId="0" applyFont="1"/>
    <xf numFmtId="0" fontId="11" fillId="2" borderId="4" xfId="0" applyFont="1" applyFill="1" applyBorder="1"/>
    <xf numFmtId="0" fontId="3" fillId="8" borderId="0" xfId="0" applyFont="1" applyFill="1" applyBorder="1"/>
    <xf numFmtId="0" fontId="4" fillId="8" borderId="1" xfId="0" applyFont="1" applyFill="1" applyBorder="1"/>
    <xf numFmtId="0" fontId="0" fillId="8" borderId="0" xfId="0" applyFill="1"/>
    <xf numFmtId="0" fontId="5" fillId="8" borderId="0" xfId="0" applyFont="1" applyFill="1" applyBorder="1"/>
    <xf numFmtId="0" fontId="6" fillId="8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0" fontId="0" fillId="10" borderId="6" xfId="0" applyFill="1" applyBorder="1"/>
    <xf numFmtId="14" fontId="0" fillId="5" borderId="1" xfId="0" applyNumberFormat="1" applyFill="1" applyBorder="1"/>
    <xf numFmtId="0" fontId="0" fillId="2" borderId="8" xfId="0" applyFill="1" applyBorder="1"/>
    <xf numFmtId="0" fontId="0" fillId="2" borderId="10" xfId="0" applyFill="1" applyBorder="1"/>
    <xf numFmtId="166" fontId="0" fillId="2" borderId="10" xfId="1" applyNumberFormat="1" applyFont="1" applyFill="1" applyBorder="1"/>
    <xf numFmtId="0" fontId="0" fillId="0" borderId="10" xfId="0" applyBorder="1"/>
    <xf numFmtId="0" fontId="0" fillId="0" borderId="11" xfId="0" applyBorder="1"/>
    <xf numFmtId="166" fontId="0" fillId="2" borderId="12" xfId="1" applyNumberFormat="1" applyFont="1" applyFill="1" applyBorder="1"/>
    <xf numFmtId="0" fontId="2" fillId="2" borderId="14" xfId="0" applyFont="1" applyFill="1" applyBorder="1"/>
    <xf numFmtId="0" fontId="0" fillId="0" borderId="9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0" borderId="13" xfId="0" applyBorder="1"/>
    <xf numFmtId="0" fontId="0" fillId="13" borderId="19" xfId="0" applyFill="1" applyBorder="1"/>
    <xf numFmtId="0" fontId="0" fillId="0" borderId="1" xfId="0" applyBorder="1"/>
    <xf numFmtId="14" fontId="0" fillId="0" borderId="8" xfId="0" applyNumberFormat="1" applyBorder="1"/>
    <xf numFmtId="0" fontId="0" fillId="0" borderId="8" xfId="0" applyBorder="1"/>
    <xf numFmtId="0" fontId="0" fillId="0" borderId="20" xfId="0" applyBorder="1"/>
    <xf numFmtId="14" fontId="0" fillId="0" borderId="0" xfId="0" applyNumberFormat="1"/>
    <xf numFmtId="167" fontId="0" fillId="0" borderId="10" xfId="0" applyNumberFormat="1" applyBorder="1"/>
    <xf numFmtId="166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166" fontId="0" fillId="0" borderId="12" xfId="0" applyNumberFormat="1" applyBorder="1"/>
    <xf numFmtId="0" fontId="0" fillId="10" borderId="5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0" borderId="19" xfId="0" applyBorder="1"/>
    <xf numFmtId="4" fontId="0" fillId="0" borderId="25" xfId="0" applyNumberFormat="1" applyBorder="1"/>
    <xf numFmtId="4" fontId="0" fillId="0" borderId="12" xfId="0" applyNumberFormat="1" applyBorder="1"/>
    <xf numFmtId="0" fontId="0" fillId="2" borderId="25" xfId="0" applyFill="1" applyBorder="1"/>
    <xf numFmtId="0" fontId="0" fillId="0" borderId="29" xfId="0" applyBorder="1"/>
    <xf numFmtId="166" fontId="0" fillId="0" borderId="0" xfId="1" applyNumberFormat="1" applyFont="1"/>
    <xf numFmtId="0" fontId="19" fillId="0" borderId="0" xfId="0" applyFont="1"/>
    <xf numFmtId="43" fontId="0" fillId="0" borderId="0" xfId="0" applyNumberFormat="1"/>
    <xf numFmtId="10" fontId="0" fillId="0" borderId="0" xfId="1" applyNumberFormat="1" applyFont="1"/>
    <xf numFmtId="0" fontId="0" fillId="9" borderId="0" xfId="0" applyFill="1"/>
    <xf numFmtId="0" fontId="2" fillId="12" borderId="33" xfId="0" applyFont="1" applyFill="1" applyBorder="1"/>
    <xf numFmtId="0" fontId="0" fillId="2" borderId="34" xfId="0" applyFill="1" applyBorder="1"/>
    <xf numFmtId="0" fontId="2" fillId="2" borderId="0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7" xfId="0" applyFill="1" applyBorder="1"/>
    <xf numFmtId="0" fontId="0" fillId="0" borderId="0" xfId="0" applyBorder="1"/>
    <xf numFmtId="0" fontId="0" fillId="10" borderId="0" xfId="0" applyFill="1" applyBorder="1"/>
    <xf numFmtId="0" fontId="6" fillId="2" borderId="0" xfId="0" applyFont="1" applyFill="1" applyBorder="1" applyAlignment="1">
      <alignment wrapText="1"/>
    </xf>
    <xf numFmtId="0" fontId="6" fillId="14" borderId="0" xfId="0" applyFont="1" applyFill="1" applyBorder="1"/>
    <xf numFmtId="14" fontId="23" fillId="3" borderId="0" xfId="0" applyNumberFormat="1" applyFont="1" applyFill="1" applyBorder="1"/>
    <xf numFmtId="0" fontId="25" fillId="2" borderId="0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2" fillId="8" borderId="0" xfId="0" applyFont="1" applyFill="1" applyBorder="1"/>
    <xf numFmtId="0" fontId="14" fillId="15" borderId="0" xfId="0" applyFont="1" applyFill="1" applyBorder="1"/>
    <xf numFmtId="0" fontId="6" fillId="15" borderId="0" xfId="0" applyFont="1" applyFill="1" applyBorder="1"/>
    <xf numFmtId="0" fontId="12" fillId="15" borderId="0" xfId="0" applyFont="1" applyFill="1" applyBorder="1"/>
    <xf numFmtId="0" fontId="26" fillId="8" borderId="0" xfId="0" applyFont="1" applyFill="1" applyBorder="1"/>
    <xf numFmtId="0" fontId="15" fillId="8" borderId="0" xfId="0" applyFont="1" applyFill="1" applyBorder="1"/>
    <xf numFmtId="0" fontId="6" fillId="8" borderId="0" xfId="0" applyFont="1" applyFill="1" applyBorder="1" applyAlignment="1"/>
    <xf numFmtId="0" fontId="27" fillId="2" borderId="0" xfId="0" applyFont="1" applyFill="1" applyBorder="1"/>
    <xf numFmtId="166" fontId="6" fillId="2" borderId="0" xfId="1" applyNumberFormat="1" applyFont="1" applyFill="1" applyBorder="1"/>
    <xf numFmtId="0" fontId="23" fillId="3" borderId="0" xfId="0" applyFont="1" applyFill="1" applyBorder="1"/>
    <xf numFmtId="165" fontId="28" fillId="3" borderId="0" xfId="0" applyNumberFormat="1" applyFont="1" applyFill="1" applyBorder="1" applyAlignment="1">
      <alignment horizontal="right" vertical="center" indent="1"/>
    </xf>
    <xf numFmtId="0" fontId="0" fillId="14" borderId="0" xfId="0" applyFill="1"/>
    <xf numFmtId="14" fontId="23" fillId="3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0" fontId="6" fillId="2" borderId="0" xfId="0" applyFont="1" applyFill="1"/>
    <xf numFmtId="0" fontId="11" fillId="15" borderId="0" xfId="0" applyFont="1" applyFill="1" applyBorder="1"/>
    <xf numFmtId="0" fontId="11" fillId="2" borderId="0" xfId="0" applyFont="1" applyFill="1" applyBorder="1" applyAlignment="1"/>
    <xf numFmtId="0" fontId="6" fillId="2" borderId="0" xfId="0" applyFont="1" applyFill="1" applyAlignment="1">
      <alignment wrapText="1"/>
    </xf>
    <xf numFmtId="0" fontId="20" fillId="2" borderId="0" xfId="0" applyFont="1" applyFill="1"/>
    <xf numFmtId="0" fontId="29" fillId="2" borderId="0" xfId="0" applyFont="1" applyFill="1"/>
    <xf numFmtId="0" fontId="14" fillId="2" borderId="0" xfId="0" applyFont="1" applyFill="1"/>
    <xf numFmtId="0" fontId="6" fillId="2" borderId="0" xfId="0" applyFont="1" applyFill="1" applyBorder="1" applyAlignment="1">
      <alignment horizontal="left" wrapText="1"/>
    </xf>
    <xf numFmtId="1" fontId="6" fillId="2" borderId="0" xfId="0" applyNumberFormat="1" applyFont="1" applyFill="1"/>
    <xf numFmtId="2" fontId="6" fillId="2" borderId="0" xfId="0" applyNumberFormat="1" applyFont="1" applyFill="1"/>
    <xf numFmtId="168" fontId="11" fillId="2" borderId="0" xfId="0" applyNumberFormat="1" applyFont="1" applyFill="1" applyBorder="1"/>
    <xf numFmtId="168" fontId="6" fillId="2" borderId="0" xfId="0" applyNumberFormat="1" applyFont="1" applyFill="1" applyBorder="1"/>
    <xf numFmtId="168" fontId="14" fillId="2" borderId="0" xfId="0" applyNumberFormat="1" applyFont="1" applyFill="1" applyBorder="1"/>
    <xf numFmtId="168" fontId="6" fillId="2" borderId="3" xfId="0" applyNumberFormat="1" applyFont="1" applyFill="1" applyBorder="1"/>
    <xf numFmtId="168" fontId="14" fillId="2" borderId="3" xfId="0" applyNumberFormat="1" applyFont="1" applyFill="1" applyBorder="1"/>
    <xf numFmtId="168" fontId="11" fillId="2" borderId="3" xfId="0" applyNumberFormat="1" applyFont="1" applyFill="1" applyBorder="1"/>
    <xf numFmtId="168" fontId="11" fillId="5" borderId="3" xfId="0" applyNumberFormat="1" applyFont="1" applyFill="1" applyBorder="1"/>
    <xf numFmtId="168" fontId="6" fillId="2" borderId="3" xfId="1" applyNumberFormat="1" applyFont="1" applyFill="1" applyBorder="1"/>
    <xf numFmtId="168" fontId="11" fillId="7" borderId="3" xfId="0" applyNumberFormat="1" applyFont="1" applyFill="1" applyBorder="1"/>
    <xf numFmtId="0" fontId="24" fillId="2" borderId="0" xfId="0" applyFont="1" applyFill="1" applyBorder="1" applyAlignment="1"/>
    <xf numFmtId="168" fontId="11" fillId="2" borderId="2" xfId="0" applyNumberFormat="1" applyFont="1" applyFill="1" applyBorder="1"/>
    <xf numFmtId="168" fontId="6" fillId="2" borderId="2" xfId="0" applyNumberFormat="1" applyFont="1" applyFill="1" applyBorder="1"/>
    <xf numFmtId="168" fontId="14" fillId="2" borderId="2" xfId="0" applyNumberFormat="1" applyFont="1" applyFill="1" applyBorder="1"/>
    <xf numFmtId="168" fontId="6" fillId="2" borderId="0" xfId="0" applyNumberFormat="1" applyFont="1" applyFill="1" applyBorder="1" applyAlignment="1">
      <alignment wrapText="1"/>
    </xf>
    <xf numFmtId="168" fontId="6" fillId="2" borderId="0" xfId="1" applyNumberFormat="1" applyFont="1" applyFill="1" applyBorder="1"/>
    <xf numFmtId="168" fontId="11" fillId="7" borderId="2" xfId="0" applyNumberFormat="1" applyFont="1" applyFill="1" applyBorder="1"/>
    <xf numFmtId="168" fontId="11" fillId="5" borderId="2" xfId="0" applyNumberFormat="1" applyFont="1" applyFill="1" applyBorder="1"/>
    <xf numFmtId="168" fontId="6" fillId="5" borderId="2" xfId="0" applyNumberFormat="1" applyFont="1" applyFill="1" applyBorder="1"/>
    <xf numFmtId="168" fontId="6" fillId="5" borderId="3" xfId="0" applyNumberFormat="1" applyFont="1" applyFill="1" applyBorder="1"/>
    <xf numFmtId="168" fontId="11" fillId="6" borderId="2" xfId="0" applyNumberFormat="1" applyFont="1" applyFill="1" applyBorder="1"/>
    <xf numFmtId="168" fontId="11" fillId="6" borderId="3" xfId="0" applyNumberFormat="1" applyFont="1" applyFill="1" applyBorder="1"/>
    <xf numFmtId="168" fontId="14" fillId="6" borderId="2" xfId="0" applyNumberFormat="1" applyFont="1" applyFill="1" applyBorder="1"/>
    <xf numFmtId="168" fontId="14" fillId="6" borderId="3" xfId="0" applyNumberFormat="1" applyFont="1" applyFill="1" applyBorder="1"/>
    <xf numFmtId="0" fontId="30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/>
    <xf numFmtId="14" fontId="8" fillId="2" borderId="0" xfId="0" applyNumberFormat="1" applyFont="1" applyFill="1" applyBorder="1"/>
    <xf numFmtId="0" fontId="8" fillId="2" borderId="0" xfId="0" applyFont="1" applyFill="1" applyBorder="1"/>
    <xf numFmtId="0" fontId="30" fillId="2" borderId="0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/>
    <xf numFmtId="0" fontId="0" fillId="6" borderId="0" xfId="0" applyFont="1" applyFill="1" applyBorder="1"/>
    <xf numFmtId="0" fontId="0" fillId="5" borderId="0" xfId="0" applyFont="1" applyFill="1" applyBorder="1"/>
    <xf numFmtId="168" fontId="0" fillId="0" borderId="3" xfId="0" applyNumberFormat="1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2" borderId="0" xfId="0" applyFont="1" applyFill="1" applyBorder="1"/>
    <xf numFmtId="0" fontId="6" fillId="2" borderId="29" xfId="0" applyFont="1" applyFill="1" applyBorder="1"/>
    <xf numFmtId="164" fontId="6" fillId="2" borderId="2" xfId="2" applyFont="1" applyFill="1" applyBorder="1"/>
    <xf numFmtId="164" fontId="6" fillId="2" borderId="3" xfId="2" applyFont="1" applyFill="1" applyBorder="1"/>
    <xf numFmtId="169" fontId="11" fillId="2" borderId="2" xfId="2" applyNumberFormat="1" applyFont="1" applyFill="1" applyBorder="1"/>
    <xf numFmtId="169" fontId="11" fillId="2" borderId="3" xfId="2" applyNumberFormat="1" applyFont="1" applyFill="1" applyBorder="1"/>
    <xf numFmtId="169" fontId="6" fillId="2" borderId="2" xfId="2" applyNumberFormat="1" applyFont="1" applyFill="1" applyBorder="1"/>
    <xf numFmtId="169" fontId="6" fillId="2" borderId="3" xfId="2" applyNumberFormat="1" applyFont="1" applyFill="1" applyBorder="1"/>
    <xf numFmtId="169" fontId="6" fillId="5" borderId="2" xfId="2" applyNumberFormat="1" applyFont="1" applyFill="1" applyBorder="1"/>
    <xf numFmtId="169" fontId="6" fillId="5" borderId="3" xfId="2" applyNumberFormat="1" applyFont="1" applyFill="1" applyBorder="1"/>
    <xf numFmtId="169" fontId="6" fillId="7" borderId="2" xfId="2" applyNumberFormat="1" applyFont="1" applyFill="1" applyBorder="1"/>
    <xf numFmtId="169" fontId="6" fillId="7" borderId="3" xfId="2" applyNumberFormat="1" applyFont="1" applyFill="1" applyBorder="1"/>
    <xf numFmtId="169" fontId="6" fillId="2" borderId="2" xfId="0" applyNumberFormat="1" applyFont="1" applyFill="1" applyBorder="1"/>
    <xf numFmtId="169" fontId="6" fillId="2" borderId="3" xfId="0" applyNumberFormat="1" applyFont="1" applyFill="1" applyBorder="1"/>
    <xf numFmtId="10" fontId="6" fillId="2" borderId="2" xfId="2" applyNumberFormat="1" applyFont="1" applyFill="1" applyBorder="1"/>
    <xf numFmtId="164" fontId="14" fillId="2" borderId="2" xfId="2" applyFont="1" applyFill="1" applyBorder="1"/>
    <xf numFmtId="164" fontId="14" fillId="2" borderId="3" xfId="2" applyFont="1" applyFill="1" applyBorder="1"/>
    <xf numFmtId="169" fontId="14" fillId="2" borderId="3" xfId="2" applyNumberFormat="1" applyFont="1" applyFill="1" applyBorder="1"/>
    <xf numFmtId="169" fontId="11" fillId="6" borderId="3" xfId="2" applyNumberFormat="1" applyFont="1" applyFill="1" applyBorder="1"/>
    <xf numFmtId="169" fontId="11" fillId="5" borderId="3" xfId="2" applyNumberFormat="1" applyFont="1" applyFill="1" applyBorder="1"/>
    <xf numFmtId="168" fontId="6" fillId="2" borderId="2" xfId="2" applyNumberFormat="1" applyFont="1" applyFill="1" applyBorder="1"/>
    <xf numFmtId="168" fontId="6" fillId="2" borderId="3" xfId="2" applyNumberFormat="1" applyFont="1" applyFill="1" applyBorder="1"/>
    <xf numFmtId="168" fontId="10" fillId="4" borderId="2" xfId="2" applyNumberFormat="1" applyFont="1" applyFill="1" applyBorder="1"/>
    <xf numFmtId="168" fontId="10" fillId="4" borderId="3" xfId="2" applyNumberFormat="1" applyFont="1" applyFill="1" applyBorder="1"/>
    <xf numFmtId="168" fontId="14" fillId="2" borderId="2" xfId="2" applyNumberFormat="1" applyFont="1" applyFill="1" applyBorder="1"/>
    <xf numFmtId="168" fontId="14" fillId="2" borderId="3" xfId="2" applyNumberFormat="1" applyFont="1" applyFill="1" applyBorder="1"/>
    <xf numFmtId="168" fontId="30" fillId="2" borderId="2" xfId="2" applyNumberFormat="1" applyFont="1" applyFill="1" applyBorder="1"/>
    <xf numFmtId="168" fontId="30" fillId="2" borderId="3" xfId="2" applyNumberFormat="1" applyFont="1" applyFill="1" applyBorder="1"/>
    <xf numFmtId="168" fontId="0" fillId="2" borderId="2" xfId="2" applyNumberFormat="1" applyFont="1" applyFill="1" applyBorder="1"/>
    <xf numFmtId="168" fontId="0" fillId="2" borderId="3" xfId="2" applyNumberFormat="1" applyFont="1" applyFill="1" applyBorder="1"/>
    <xf numFmtId="168" fontId="0" fillId="0" borderId="2" xfId="2" applyNumberFormat="1" applyFont="1" applyBorder="1"/>
    <xf numFmtId="168" fontId="0" fillId="0" borderId="3" xfId="2" applyNumberFormat="1" applyFont="1" applyBorder="1"/>
    <xf numFmtId="168" fontId="11" fillId="2" borderId="2" xfId="2" applyNumberFormat="1" applyFont="1" applyFill="1" applyBorder="1"/>
    <xf numFmtId="168" fontId="11" fillId="2" borderId="3" xfId="2" applyNumberFormat="1" applyFont="1" applyFill="1" applyBorder="1"/>
    <xf numFmtId="168" fontId="11" fillId="6" borderId="2" xfId="2" applyNumberFormat="1" applyFont="1" applyFill="1" applyBorder="1"/>
    <xf numFmtId="168" fontId="11" fillId="6" borderId="3" xfId="2" applyNumberFormat="1" applyFont="1" applyFill="1" applyBorder="1"/>
    <xf numFmtId="168" fontId="6" fillId="0" borderId="2" xfId="2" applyNumberFormat="1" applyFont="1" applyBorder="1"/>
    <xf numFmtId="168" fontId="11" fillId="7" borderId="2" xfId="2" applyNumberFormat="1" applyFont="1" applyFill="1" applyBorder="1"/>
    <xf numFmtId="168" fontId="11" fillId="7" borderId="3" xfId="2" applyNumberFormat="1" applyFont="1" applyFill="1" applyBorder="1"/>
    <xf numFmtId="168" fontId="16" fillId="2" borderId="2" xfId="2" applyNumberFormat="1" applyFont="1" applyFill="1" applyBorder="1"/>
    <xf numFmtId="168" fontId="11" fillId="5" borderId="2" xfId="2" applyNumberFormat="1" applyFont="1" applyFill="1" applyBorder="1"/>
    <xf numFmtId="168" fontId="11" fillId="5" borderId="3" xfId="2" applyNumberFormat="1" applyFont="1" applyFill="1" applyBorder="1"/>
    <xf numFmtId="169" fontId="6" fillId="2" borderId="0" xfId="2" applyNumberFormat="1" applyFont="1" applyFill="1" applyBorder="1"/>
    <xf numFmtId="169" fontId="7" fillId="15" borderId="0" xfId="2" applyNumberFormat="1" applyFont="1" applyFill="1" applyBorder="1"/>
    <xf numFmtId="169" fontId="7" fillId="15" borderId="3" xfId="2" applyNumberFormat="1" applyFont="1" applyFill="1" applyBorder="1"/>
    <xf numFmtId="169" fontId="10" fillId="8" borderId="0" xfId="2" applyNumberFormat="1" applyFont="1" applyFill="1" applyBorder="1"/>
    <xf numFmtId="169" fontId="10" fillId="8" borderId="3" xfId="2" applyNumberFormat="1" applyFont="1" applyFill="1" applyBorder="1"/>
    <xf numFmtId="169" fontId="14" fillId="2" borderId="0" xfId="2" applyNumberFormat="1" applyFont="1" applyFill="1" applyBorder="1"/>
    <xf numFmtId="169" fontId="10" fillId="2" borderId="0" xfId="2" applyNumberFormat="1" applyFont="1" applyFill="1" applyBorder="1"/>
    <xf numFmtId="169" fontId="10" fillId="2" borderId="3" xfId="2" applyNumberFormat="1" applyFont="1" applyFill="1" applyBorder="1"/>
    <xf numFmtId="169" fontId="11" fillId="6" borderId="0" xfId="2" applyNumberFormat="1" applyFont="1" applyFill="1" applyBorder="1"/>
    <xf numFmtId="169" fontId="14" fillId="15" borderId="0" xfId="2" applyNumberFormat="1" applyFont="1" applyFill="1" applyBorder="1"/>
    <xf numFmtId="169" fontId="14" fillId="15" borderId="3" xfId="2" applyNumberFormat="1" applyFont="1" applyFill="1" applyBorder="1"/>
    <xf numFmtId="169" fontId="11" fillId="5" borderId="0" xfId="2" applyNumberFormat="1" applyFont="1" applyFill="1" applyBorder="1"/>
    <xf numFmtId="169" fontId="6" fillId="15" borderId="0" xfId="2" applyNumberFormat="1" applyFont="1" applyFill="1" applyBorder="1"/>
    <xf numFmtId="169" fontId="6" fillId="15" borderId="3" xfId="2" applyNumberFormat="1" applyFont="1" applyFill="1" applyBorder="1"/>
    <xf numFmtId="169" fontId="14" fillId="8" borderId="0" xfId="2" applyNumberFormat="1" applyFont="1" applyFill="1" applyBorder="1"/>
    <xf numFmtId="169" fontId="14" fillId="8" borderId="3" xfId="2" applyNumberFormat="1" applyFont="1" applyFill="1" applyBorder="1"/>
    <xf numFmtId="169" fontId="26" fillId="8" borderId="0" xfId="2" applyNumberFormat="1" applyFont="1" applyFill="1" applyBorder="1"/>
    <xf numFmtId="169" fontId="26" fillId="8" borderId="3" xfId="2" applyNumberFormat="1" applyFont="1" applyFill="1" applyBorder="1"/>
    <xf numFmtId="169" fontId="11" fillId="2" borderId="0" xfId="2" applyNumberFormat="1" applyFont="1" applyFill="1" applyBorder="1"/>
    <xf numFmtId="169" fontId="6" fillId="5" borderId="0" xfId="2" applyNumberFormat="1" applyFont="1" applyFill="1" applyBorder="1"/>
    <xf numFmtId="169" fontId="31" fillId="8" borderId="0" xfId="2" applyNumberFormat="1" applyFont="1" applyFill="1" applyBorder="1"/>
    <xf numFmtId="169" fontId="31" fillId="8" borderId="3" xfId="2" applyNumberFormat="1" applyFont="1" applyFill="1" applyBorder="1"/>
    <xf numFmtId="168" fontId="6" fillId="2" borderId="2" xfId="1" applyNumberFormat="1" applyFont="1" applyFill="1" applyBorder="1"/>
    <xf numFmtId="168" fontId="0" fillId="0" borderId="2" xfId="0" applyNumberFormat="1" applyFont="1" applyBorder="1"/>
    <xf numFmtId="0" fontId="3" fillId="8" borderId="0" xfId="0" applyFont="1" applyFill="1" applyBorder="1" applyAlignment="1"/>
    <xf numFmtId="0" fontId="22" fillId="8" borderId="0" xfId="0" applyFont="1" applyFill="1" applyBorder="1"/>
    <xf numFmtId="0" fontId="24" fillId="8" borderId="0" xfId="0" applyFont="1" applyFill="1" applyBorder="1"/>
    <xf numFmtId="0" fontId="22" fillId="8" borderId="0" xfId="0" applyFont="1" applyFill="1"/>
    <xf numFmtId="0" fontId="0" fillId="0" borderId="0" xfId="0" applyFill="1"/>
    <xf numFmtId="164" fontId="6" fillId="2" borderId="2" xfId="2" applyNumberFormat="1" applyFont="1" applyFill="1" applyBorder="1"/>
    <xf numFmtId="164" fontId="6" fillId="2" borderId="3" xfId="2" applyNumberFormat="1" applyFont="1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28" xfId="0" applyFill="1" applyBorder="1"/>
    <xf numFmtId="0" fontId="3" fillId="8" borderId="1" xfId="0" applyFont="1" applyFill="1" applyBorder="1"/>
    <xf numFmtId="0" fontId="0" fillId="8" borderId="1" xfId="0" applyFill="1" applyBorder="1"/>
    <xf numFmtId="0" fontId="6" fillId="8" borderId="1" xfId="0" applyFont="1" applyFill="1" applyBorder="1"/>
    <xf numFmtId="0" fontId="6" fillId="8" borderId="27" xfId="0" applyFont="1" applyFill="1" applyBorder="1"/>
    <xf numFmtId="0" fontId="0" fillId="8" borderId="29" xfId="0" applyFill="1" applyBorder="1"/>
    <xf numFmtId="0" fontId="0" fillId="3" borderId="29" xfId="0" applyFill="1" applyBorder="1"/>
    <xf numFmtId="14" fontId="23" fillId="3" borderId="30" xfId="0" applyNumberFormat="1" applyFont="1" applyFill="1" applyBorder="1"/>
    <xf numFmtId="0" fontId="0" fillId="2" borderId="29" xfId="0" applyFill="1" applyBorder="1"/>
    <xf numFmtId="0" fontId="6" fillId="2" borderId="37" xfId="0" applyFont="1" applyFill="1" applyBorder="1"/>
    <xf numFmtId="169" fontId="11" fillId="2" borderId="37" xfId="2" applyNumberFormat="1" applyFont="1" applyFill="1" applyBorder="1"/>
    <xf numFmtId="169" fontId="6" fillId="2" borderId="37" xfId="2" applyNumberFormat="1" applyFont="1" applyFill="1" applyBorder="1"/>
    <xf numFmtId="164" fontId="6" fillId="2" borderId="37" xfId="2" applyNumberFormat="1" applyFont="1" applyFill="1" applyBorder="1"/>
    <xf numFmtId="169" fontId="6" fillId="5" borderId="37" xfId="2" applyNumberFormat="1" applyFont="1" applyFill="1" applyBorder="1"/>
    <xf numFmtId="169" fontId="6" fillId="2" borderId="30" xfId="2" applyNumberFormat="1" applyFont="1" applyFill="1" applyBorder="1"/>
    <xf numFmtId="169" fontId="6" fillId="7" borderId="30" xfId="2" applyNumberFormat="1" applyFont="1" applyFill="1" applyBorder="1"/>
    <xf numFmtId="10" fontId="6" fillId="2" borderId="30" xfId="2" applyNumberFormat="1" applyFont="1" applyFill="1" applyBorder="1"/>
    <xf numFmtId="169" fontId="6" fillId="7" borderId="37" xfId="2" applyNumberFormat="1" applyFont="1" applyFill="1" applyBorder="1"/>
    <xf numFmtId="169" fontId="6" fillId="2" borderId="37" xfId="0" applyNumberFormat="1" applyFont="1" applyFill="1" applyBorder="1"/>
    <xf numFmtId="169" fontId="6" fillId="2" borderId="30" xfId="0" applyNumberFormat="1" applyFont="1" applyFill="1" applyBorder="1"/>
    <xf numFmtId="0" fontId="0" fillId="2" borderId="31" xfId="0" applyFill="1" applyBorder="1"/>
    <xf numFmtId="0" fontId="6" fillId="2" borderId="22" xfId="0" applyFont="1" applyFill="1" applyBorder="1"/>
    <xf numFmtId="169" fontId="6" fillId="2" borderId="38" xfId="0" applyNumberFormat="1" applyFont="1" applyFill="1" applyBorder="1"/>
    <xf numFmtId="169" fontId="6" fillId="2" borderId="32" xfId="0" applyNumberFormat="1" applyFont="1" applyFill="1" applyBorder="1"/>
    <xf numFmtId="0" fontId="6" fillId="11" borderId="5" xfId="0" applyFont="1" applyFill="1" applyBorder="1"/>
    <xf numFmtId="0" fontId="0" fillId="11" borderId="6" xfId="0" applyFill="1" applyBorder="1"/>
    <xf numFmtId="0" fontId="0" fillId="11" borderId="39" xfId="0" applyFill="1" applyBorder="1"/>
    <xf numFmtId="0" fontId="0" fillId="6" borderId="29" xfId="0" applyFill="1" applyBorder="1"/>
    <xf numFmtId="0" fontId="0" fillId="6" borderId="31" xfId="0" applyFill="1" applyBorder="1"/>
    <xf numFmtId="0" fontId="0" fillId="0" borderId="0" xfId="0" applyFill="1" applyBorder="1"/>
    <xf numFmtId="0" fontId="0" fillId="6" borderId="22" xfId="0" applyFill="1" applyBorder="1"/>
    <xf numFmtId="0" fontId="34" fillId="16" borderId="19" xfId="0" applyFont="1" applyFill="1" applyBorder="1"/>
    <xf numFmtId="0" fontId="32" fillId="13" borderId="42" xfId="0" applyFont="1" applyFill="1" applyBorder="1"/>
    <xf numFmtId="0" fontId="32" fillId="18" borderId="40" xfId="0" applyFont="1" applyFill="1" applyBorder="1"/>
    <xf numFmtId="0" fontId="32" fillId="18" borderId="43" xfId="0" applyFont="1" applyFill="1" applyBorder="1"/>
    <xf numFmtId="170" fontId="0" fillId="2" borderId="30" xfId="1" applyNumberFormat="1" applyFont="1" applyFill="1" applyBorder="1"/>
    <xf numFmtId="0" fontId="0" fillId="2" borderId="44" xfId="0" applyFill="1" applyBorder="1"/>
    <xf numFmtId="10" fontId="0" fillId="2" borderId="45" xfId="0" applyNumberFormat="1" applyFill="1" applyBorder="1"/>
    <xf numFmtId="0" fontId="2" fillId="2" borderId="29" xfId="0" applyFont="1" applyFill="1" applyBorder="1"/>
    <xf numFmtId="170" fontId="0" fillId="2" borderId="30" xfId="0" applyNumberFormat="1" applyFill="1" applyBorder="1"/>
    <xf numFmtId="171" fontId="0" fillId="2" borderId="30" xfId="1" applyNumberFormat="1" applyFont="1" applyFill="1" applyBorder="1"/>
    <xf numFmtId="0" fontId="0" fillId="2" borderId="30" xfId="0" applyFill="1" applyBorder="1"/>
    <xf numFmtId="171" fontId="0" fillId="2" borderId="30" xfId="0" applyNumberFormat="1" applyFill="1" applyBorder="1"/>
    <xf numFmtId="0" fontId="2" fillId="2" borderId="44" xfId="0" applyFont="1" applyFill="1" applyBorder="1"/>
    <xf numFmtId="172" fontId="0" fillId="2" borderId="45" xfId="2" applyNumberFormat="1" applyFont="1" applyFill="1" applyBorder="1"/>
    <xf numFmtId="170" fontId="2" fillId="2" borderId="29" xfId="0" applyNumberFormat="1" applyFont="1" applyFill="1" applyBorder="1"/>
    <xf numFmtId="0" fontId="0" fillId="2" borderId="45" xfId="0" applyFill="1" applyBorder="1"/>
    <xf numFmtId="171" fontId="0" fillId="2" borderId="45" xfId="0" applyNumberFormat="1" applyFill="1" applyBorder="1"/>
    <xf numFmtId="9" fontId="0" fillId="2" borderId="30" xfId="1" applyFont="1" applyFill="1" applyBorder="1"/>
    <xf numFmtId="0" fontId="32" fillId="17" borderId="28" xfId="0" applyFont="1" applyFill="1" applyBorder="1"/>
    <xf numFmtId="0" fontId="32" fillId="17" borderId="27" xfId="0" applyFont="1" applyFill="1" applyBorder="1"/>
    <xf numFmtId="0" fontId="0" fillId="2" borderId="27" xfId="0" applyFill="1" applyBorder="1"/>
    <xf numFmtId="171" fontId="0" fillId="2" borderId="0" xfId="1" applyNumberFormat="1" applyFont="1" applyFill="1" applyBorder="1"/>
    <xf numFmtId="0" fontId="0" fillId="2" borderId="32" xfId="0" applyFill="1" applyBorder="1"/>
    <xf numFmtId="0" fontId="0" fillId="2" borderId="1" xfId="0" applyFill="1" applyBorder="1"/>
    <xf numFmtId="0" fontId="32" fillId="13" borderId="5" xfId="0" applyFont="1" applyFill="1" applyBorder="1"/>
    <xf numFmtId="171" fontId="32" fillId="13" borderId="39" xfId="1" applyNumberFormat="1" applyFont="1" applyFill="1" applyBorder="1"/>
    <xf numFmtId="0" fontId="0" fillId="6" borderId="0" xfId="0" applyFill="1" applyBorder="1"/>
    <xf numFmtId="14" fontId="0" fillId="2" borderId="0" xfId="0" applyNumberFormat="1" applyFill="1" applyBorder="1"/>
    <xf numFmtId="14" fontId="23" fillId="3" borderId="0" xfId="0" applyNumberFormat="1" applyFont="1" applyFill="1" applyBorder="1" applyAlignment="1">
      <alignment horizontal="right"/>
    </xf>
    <xf numFmtId="0" fontId="0" fillId="19" borderId="0" xfId="0" applyFont="1" applyFill="1" applyBorder="1"/>
    <xf numFmtId="169" fontId="0" fillId="2" borderId="0" xfId="2" applyNumberFormat="1" applyFont="1" applyFill="1" applyBorder="1"/>
    <xf numFmtId="14" fontId="0" fillId="0" borderId="0" xfId="0" applyNumberFormat="1" applyFill="1" applyBorder="1"/>
    <xf numFmtId="0" fontId="0" fillId="20" borderId="0" xfId="0" applyFill="1"/>
    <xf numFmtId="0" fontId="4" fillId="14" borderId="27" xfId="0" applyFont="1" applyFill="1" applyBorder="1"/>
    <xf numFmtId="0" fontId="0" fillId="14" borderId="29" xfId="0" applyFill="1" applyBorder="1"/>
    <xf numFmtId="14" fontId="23" fillId="3" borderId="30" xfId="0" applyNumberFormat="1" applyFont="1" applyFill="1" applyBorder="1" applyAlignment="1">
      <alignment horizontal="center" vertical="center"/>
    </xf>
    <xf numFmtId="0" fontId="11" fillId="2" borderId="29" xfId="0" applyFont="1" applyFill="1" applyBorder="1"/>
    <xf numFmtId="168" fontId="6" fillId="2" borderId="29" xfId="0" applyNumberFormat="1" applyFont="1" applyFill="1" applyBorder="1"/>
    <xf numFmtId="168" fontId="6" fillId="2" borderId="37" xfId="0" applyNumberFormat="1" applyFont="1" applyFill="1" applyBorder="1"/>
    <xf numFmtId="168" fontId="11" fillId="5" borderId="29" xfId="0" applyNumberFormat="1" applyFont="1" applyFill="1" applyBorder="1"/>
    <xf numFmtId="168" fontId="11" fillId="5" borderId="0" xfId="0" applyNumberFormat="1" applyFont="1" applyFill="1" applyBorder="1"/>
    <xf numFmtId="168" fontId="11" fillId="5" borderId="37" xfId="0" applyNumberFormat="1" applyFont="1" applyFill="1" applyBorder="1"/>
    <xf numFmtId="168" fontId="11" fillId="6" borderId="29" xfId="0" applyNumberFormat="1" applyFont="1" applyFill="1" applyBorder="1"/>
    <xf numFmtId="168" fontId="11" fillId="6" borderId="0" xfId="0" applyNumberFormat="1" applyFont="1" applyFill="1" applyBorder="1"/>
    <xf numFmtId="168" fontId="11" fillId="6" borderId="37" xfId="0" applyNumberFormat="1" applyFont="1" applyFill="1" applyBorder="1"/>
    <xf numFmtId="168" fontId="11" fillId="2" borderId="29" xfId="0" applyNumberFormat="1" applyFont="1" applyFill="1" applyBorder="1"/>
    <xf numFmtId="168" fontId="11" fillId="2" borderId="37" xfId="0" applyNumberFormat="1" applyFont="1" applyFill="1" applyBorder="1"/>
    <xf numFmtId="168" fontId="14" fillId="2" borderId="29" xfId="0" applyNumberFormat="1" applyFont="1" applyFill="1" applyBorder="1"/>
    <xf numFmtId="168" fontId="6" fillId="2" borderId="29" xfId="0" applyNumberFormat="1" applyFont="1" applyFill="1" applyBorder="1" applyAlignment="1">
      <alignment wrapText="1"/>
    </xf>
    <xf numFmtId="168" fontId="6" fillId="2" borderId="30" xfId="0" applyNumberFormat="1" applyFont="1" applyFill="1" applyBorder="1"/>
    <xf numFmtId="168" fontId="11" fillId="5" borderId="30" xfId="0" applyNumberFormat="1" applyFont="1" applyFill="1" applyBorder="1"/>
    <xf numFmtId="168" fontId="11" fillId="7" borderId="29" xfId="0" applyNumberFormat="1" applyFont="1" applyFill="1" applyBorder="1"/>
    <xf numFmtId="168" fontId="11" fillId="7" borderId="0" xfId="0" applyNumberFormat="1" applyFont="1" applyFill="1" applyBorder="1"/>
    <xf numFmtId="168" fontId="11" fillId="7" borderId="30" xfId="0" applyNumberFormat="1" applyFont="1" applyFill="1" applyBorder="1"/>
    <xf numFmtId="168" fontId="6" fillId="5" borderId="29" xfId="0" applyNumberFormat="1" applyFont="1" applyFill="1" applyBorder="1"/>
    <xf numFmtId="168" fontId="6" fillId="5" borderId="0" xfId="0" applyNumberFormat="1" applyFont="1" applyFill="1" applyBorder="1"/>
    <xf numFmtId="168" fontId="14" fillId="6" borderId="29" xfId="0" applyNumberFormat="1" applyFont="1" applyFill="1" applyBorder="1"/>
    <xf numFmtId="168" fontId="14" fillId="6" borderId="0" xfId="0" applyNumberFormat="1" applyFont="1" applyFill="1" applyBorder="1"/>
    <xf numFmtId="168" fontId="7" fillId="6" borderId="37" xfId="0" applyNumberFormat="1" applyFont="1" applyFill="1" applyBorder="1"/>
    <xf numFmtId="168" fontId="14" fillId="2" borderId="37" xfId="0" applyNumberFormat="1" applyFont="1" applyFill="1" applyBorder="1"/>
    <xf numFmtId="168" fontId="11" fillId="7" borderId="31" xfId="0" applyNumberFormat="1" applyFont="1" applyFill="1" applyBorder="1"/>
    <xf numFmtId="168" fontId="11" fillId="7" borderId="22" xfId="0" applyNumberFormat="1" applyFont="1" applyFill="1" applyBorder="1"/>
    <xf numFmtId="168" fontId="11" fillId="7" borderId="38" xfId="0" applyNumberFormat="1" applyFont="1" applyFill="1" applyBorder="1"/>
    <xf numFmtId="168" fontId="11" fillId="7" borderId="47" xfId="0" applyNumberFormat="1" applyFont="1" applyFill="1" applyBorder="1"/>
    <xf numFmtId="0" fontId="3" fillId="14" borderId="28" xfId="0" applyFont="1" applyFill="1" applyBorder="1"/>
    <xf numFmtId="0" fontId="6" fillId="14" borderId="1" xfId="0" applyFont="1" applyFill="1" applyBorder="1"/>
    <xf numFmtId="0" fontId="6" fillId="14" borderId="27" xfId="0" applyFont="1" applyFill="1" applyBorder="1"/>
    <xf numFmtId="0" fontId="6" fillId="14" borderId="29" xfId="0" applyFont="1" applyFill="1" applyBorder="1"/>
    <xf numFmtId="0" fontId="0" fillId="3" borderId="29" xfId="0" applyFont="1" applyFill="1" applyBorder="1"/>
    <xf numFmtId="14" fontId="23" fillId="3" borderId="30" xfId="0" applyNumberFormat="1" applyFont="1" applyFill="1" applyBorder="1" applyAlignment="1">
      <alignment horizontal="right"/>
    </xf>
    <xf numFmtId="0" fontId="0" fillId="2" borderId="29" xfId="0" applyFont="1" applyFill="1" applyBorder="1"/>
    <xf numFmtId="0" fontId="0" fillId="2" borderId="37" xfId="0" applyFont="1" applyFill="1" applyBorder="1"/>
    <xf numFmtId="0" fontId="11" fillId="5" borderId="29" xfId="0" applyFont="1" applyFill="1" applyBorder="1"/>
    <xf numFmtId="0" fontId="0" fillId="0" borderId="29" xfId="0" applyFont="1" applyBorder="1"/>
    <xf numFmtId="0" fontId="6" fillId="0" borderId="29" xfId="0" applyFont="1" applyBorder="1"/>
    <xf numFmtId="168" fontId="6" fillId="0" borderId="37" xfId="0" applyNumberFormat="1" applyFont="1" applyBorder="1"/>
    <xf numFmtId="0" fontId="6" fillId="19" borderId="29" xfId="0" applyFont="1" applyFill="1" applyBorder="1"/>
    <xf numFmtId="168" fontId="6" fillId="19" borderId="37" xfId="0" applyNumberFormat="1" applyFont="1" applyFill="1" applyBorder="1"/>
    <xf numFmtId="168" fontId="6" fillId="5" borderId="37" xfId="0" applyNumberFormat="1" applyFont="1" applyFill="1" applyBorder="1"/>
    <xf numFmtId="0" fontId="11" fillId="7" borderId="31" xfId="0" applyFont="1" applyFill="1" applyBorder="1"/>
    <xf numFmtId="0" fontId="0" fillId="7" borderId="22" xfId="0" applyFont="1" applyFill="1" applyBorder="1"/>
    <xf numFmtId="14" fontId="33" fillId="0" borderId="0" xfId="0" applyNumberFormat="1" applyFont="1" applyFill="1" applyBorder="1"/>
    <xf numFmtId="0" fontId="3" fillId="8" borderId="28" xfId="0" applyFont="1" applyFill="1" applyBorder="1"/>
    <xf numFmtId="0" fontId="11" fillId="7" borderId="29" xfId="0" applyFont="1" applyFill="1" applyBorder="1"/>
    <xf numFmtId="0" fontId="6" fillId="2" borderId="31" xfId="0" applyFont="1" applyFill="1" applyBorder="1"/>
    <xf numFmtId="10" fontId="0" fillId="0" borderId="0" xfId="1" applyNumberFormat="1" applyFont="1" applyFill="1" applyBorder="1"/>
    <xf numFmtId="0" fontId="36" fillId="0" borderId="0" xfId="0" applyFont="1" applyFill="1" applyBorder="1"/>
    <xf numFmtId="0" fontId="33" fillId="0" borderId="0" xfId="0" applyFont="1" applyFill="1" applyBorder="1"/>
    <xf numFmtId="169" fontId="0" fillId="11" borderId="39" xfId="0" applyNumberFormat="1" applyFill="1" applyBorder="1"/>
    <xf numFmtId="0" fontId="32" fillId="0" borderId="0" xfId="0" applyFont="1" applyFill="1"/>
    <xf numFmtId="0" fontId="37" fillId="0" borderId="0" xfId="0" applyFont="1" applyFill="1"/>
    <xf numFmtId="169" fontId="0" fillId="11" borderId="39" xfId="2" applyNumberFormat="1" applyFont="1" applyFill="1" applyBorder="1"/>
    <xf numFmtId="0" fontId="38" fillId="21" borderId="26" xfId="0" applyFont="1" applyFill="1" applyBorder="1"/>
    <xf numFmtId="0" fontId="39" fillId="2" borderId="29" xfId="0" applyFont="1" applyFill="1" applyBorder="1"/>
    <xf numFmtId="0" fontId="39" fillId="2" borderId="44" xfId="0" applyFont="1" applyFill="1" applyBorder="1"/>
    <xf numFmtId="0" fontId="38" fillId="2" borderId="29" xfId="0" applyFont="1" applyFill="1" applyBorder="1"/>
    <xf numFmtId="0" fontId="39" fillId="2" borderId="0" xfId="0" applyFont="1" applyFill="1" applyBorder="1"/>
    <xf numFmtId="0" fontId="38" fillId="2" borderId="0" xfId="0" applyFont="1" applyFill="1" applyBorder="1"/>
    <xf numFmtId="0" fontId="39" fillId="2" borderId="35" xfId="0" applyFont="1" applyFill="1" applyBorder="1"/>
    <xf numFmtId="0" fontId="38" fillId="2" borderId="44" xfId="0" applyFont="1" applyFill="1" applyBorder="1"/>
    <xf numFmtId="0" fontId="38" fillId="2" borderId="48" xfId="0" applyFont="1" applyFill="1" applyBorder="1"/>
    <xf numFmtId="0" fontId="39" fillId="2" borderId="30" xfId="0" applyFont="1" applyFill="1" applyBorder="1"/>
    <xf numFmtId="0" fontId="40" fillId="2" borderId="35" xfId="0" applyFont="1" applyFill="1" applyBorder="1"/>
    <xf numFmtId="0" fontId="39" fillId="2" borderId="45" xfId="0" applyFont="1" applyFill="1" applyBorder="1"/>
    <xf numFmtId="2" fontId="39" fillId="2" borderId="35" xfId="0" applyNumberFormat="1" applyFont="1" applyFill="1" applyBorder="1"/>
    <xf numFmtId="1" fontId="39" fillId="2" borderId="35" xfId="3" applyNumberFormat="1" applyFont="1" applyFill="1" applyBorder="1"/>
    <xf numFmtId="1" fontId="39" fillId="2" borderId="35" xfId="0" applyNumberFormat="1" applyFont="1" applyFill="1" applyBorder="1"/>
    <xf numFmtId="1" fontId="39" fillId="2" borderId="0" xfId="0" applyNumberFormat="1" applyFont="1" applyFill="1" applyBorder="1"/>
    <xf numFmtId="1" fontId="38" fillId="2" borderId="0" xfId="0" applyNumberFormat="1" applyFont="1" applyFill="1" applyBorder="1"/>
    <xf numFmtId="0" fontId="38" fillId="2" borderId="35" xfId="0" applyFont="1" applyFill="1" applyBorder="1"/>
    <xf numFmtId="0" fontId="38" fillId="2" borderId="36" xfId="0" applyFont="1" applyFill="1" applyBorder="1"/>
    <xf numFmtId="0" fontId="0" fillId="19" borderId="31" xfId="0" applyFill="1" applyBorder="1"/>
    <xf numFmtId="0" fontId="2" fillId="19" borderId="31" xfId="0" applyFont="1" applyFill="1" applyBorder="1"/>
    <xf numFmtId="1" fontId="41" fillId="19" borderId="22" xfId="0" applyNumberFormat="1" applyFont="1" applyFill="1" applyBorder="1"/>
    <xf numFmtId="0" fontId="38" fillId="2" borderId="30" xfId="0" applyFont="1" applyFill="1" applyBorder="1"/>
    <xf numFmtId="1" fontId="38" fillId="2" borderId="30" xfId="0" applyNumberFormat="1" applyFont="1" applyFill="1" applyBorder="1"/>
    <xf numFmtId="0" fontId="38" fillId="2" borderId="46" xfId="0" applyFont="1" applyFill="1" applyBorder="1"/>
    <xf numFmtId="1" fontId="41" fillId="19" borderId="32" xfId="0" applyNumberFormat="1" applyFont="1" applyFill="1" applyBorder="1"/>
    <xf numFmtId="0" fontId="38" fillId="2" borderId="45" xfId="0" applyFont="1" applyFill="1" applyBorder="1"/>
    <xf numFmtId="0" fontId="38" fillId="22" borderId="5" xfId="0" applyFont="1" applyFill="1" applyBorder="1"/>
    <xf numFmtId="14" fontId="38" fillId="22" borderId="26" xfId="0" applyNumberFormat="1" applyFont="1" applyFill="1" applyBorder="1"/>
    <xf numFmtId="0" fontId="38" fillId="23" borderId="31" xfId="0" applyFont="1" applyFill="1" applyBorder="1"/>
    <xf numFmtId="0" fontId="39" fillId="23" borderId="22" xfId="0" applyFont="1" applyFill="1" applyBorder="1"/>
    <xf numFmtId="0" fontId="39" fillId="23" borderId="32" xfId="0" applyFont="1" applyFill="1" applyBorder="1"/>
    <xf numFmtId="0" fontId="38" fillId="2" borderId="49" xfId="0" applyFont="1" applyFill="1" applyBorder="1"/>
    <xf numFmtId="0" fontId="38" fillId="2" borderId="50" xfId="0" applyFont="1" applyFill="1" applyBorder="1"/>
    <xf numFmtId="0" fontId="38" fillId="2" borderId="51" xfId="0" applyFont="1" applyFill="1" applyBorder="1"/>
    <xf numFmtId="0" fontId="39" fillId="2" borderId="31" xfId="0" applyFont="1" applyFill="1" applyBorder="1"/>
    <xf numFmtId="0" fontId="39" fillId="2" borderId="22" xfId="0" applyFont="1" applyFill="1" applyBorder="1"/>
    <xf numFmtId="0" fontId="39" fillId="2" borderId="32" xfId="0" applyFont="1" applyFill="1" applyBorder="1"/>
    <xf numFmtId="2" fontId="39" fillId="2" borderId="45" xfId="0" applyNumberFormat="1" applyFont="1" applyFill="1" applyBorder="1"/>
    <xf numFmtId="2" fontId="38" fillId="2" borderId="0" xfId="0" applyNumberFormat="1" applyFont="1" applyFill="1" applyBorder="1"/>
    <xf numFmtId="2" fontId="38" fillId="2" borderId="30" xfId="0" applyNumberFormat="1" applyFont="1" applyFill="1" applyBorder="1"/>
    <xf numFmtId="1" fontId="39" fillId="2" borderId="45" xfId="0" applyNumberFormat="1" applyFont="1" applyFill="1" applyBorder="1"/>
    <xf numFmtId="0" fontId="40" fillId="2" borderId="29" xfId="0" applyFont="1" applyFill="1" applyBorder="1"/>
    <xf numFmtId="10" fontId="40" fillId="2" borderId="0" xfId="1" applyNumberFormat="1" applyFont="1" applyFill="1" applyBorder="1"/>
    <xf numFmtId="10" fontId="40" fillId="2" borderId="30" xfId="1" applyNumberFormat="1" applyFont="1" applyFill="1" applyBorder="1"/>
    <xf numFmtId="1" fontId="39" fillId="2" borderId="30" xfId="0" applyNumberFormat="1" applyFont="1" applyFill="1" applyBorder="1"/>
    <xf numFmtId="0" fontId="38" fillId="2" borderId="31" xfId="0" applyFont="1" applyFill="1" applyBorder="1"/>
    <xf numFmtId="0" fontId="38" fillId="2" borderId="22" xfId="0" applyFont="1" applyFill="1" applyBorder="1"/>
    <xf numFmtId="0" fontId="38" fillId="2" borderId="32" xfId="0" applyFont="1" applyFill="1" applyBorder="1"/>
    <xf numFmtId="14" fontId="38" fillId="0" borderId="0" xfId="0" applyNumberFormat="1" applyFont="1" applyFill="1" applyBorder="1"/>
    <xf numFmtId="14" fontId="38" fillId="21" borderId="26" xfId="0" applyNumberFormat="1" applyFont="1" applyFill="1" applyBorder="1"/>
    <xf numFmtId="14" fontId="38" fillId="21" borderId="39" xfId="0" applyNumberFormat="1" applyFont="1" applyFill="1" applyBorder="1"/>
    <xf numFmtId="0" fontId="38" fillId="22" borderId="26" xfId="0" applyFont="1" applyFill="1" applyBorder="1"/>
    <xf numFmtId="0" fontId="0" fillId="6" borderId="30" xfId="0" applyFill="1" applyBorder="1"/>
    <xf numFmtId="0" fontId="0" fillId="6" borderId="32" xfId="0" applyFill="1" applyBorder="1"/>
    <xf numFmtId="0" fontId="0" fillId="10" borderId="31" xfId="0" applyFill="1" applyBorder="1"/>
    <xf numFmtId="1" fontId="0" fillId="10" borderId="22" xfId="0" applyNumberFormat="1" applyFill="1" applyBorder="1"/>
    <xf numFmtId="1" fontId="0" fillId="10" borderId="32" xfId="0" applyNumberFormat="1" applyFill="1" applyBorder="1"/>
    <xf numFmtId="1" fontId="0" fillId="19" borderId="22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2" borderId="20" xfId="0" applyFill="1" applyBorder="1"/>
    <xf numFmtId="0" fontId="0" fillId="2" borderId="26" xfId="0" applyFill="1" applyBorder="1"/>
    <xf numFmtId="0" fontId="32" fillId="24" borderId="26" xfId="0" applyFont="1" applyFill="1" applyBorder="1"/>
    <xf numFmtId="14" fontId="32" fillId="24" borderId="26" xfId="0" applyNumberFormat="1" applyFont="1" applyFill="1" applyBorder="1"/>
    <xf numFmtId="0" fontId="32" fillId="24" borderId="39" xfId="0" applyFont="1" applyFill="1" applyBorder="1"/>
    <xf numFmtId="0" fontId="32" fillId="24" borderId="5" xfId="0" applyFont="1" applyFill="1" applyBorder="1"/>
    <xf numFmtId="0" fontId="32" fillId="24" borderId="6" xfId="0" applyFont="1" applyFill="1" applyBorder="1"/>
    <xf numFmtId="0" fontId="0" fillId="6" borderId="39" xfId="0" applyFill="1" applyBorder="1"/>
    <xf numFmtId="166" fontId="42" fillId="18" borderId="43" xfId="1" applyNumberFormat="1" applyFont="1" applyFill="1" applyBorder="1"/>
    <xf numFmtId="166" fontId="42" fillId="13" borderId="17" xfId="1" applyNumberFormat="1" applyFont="1" applyFill="1" applyBorder="1"/>
    <xf numFmtId="0" fontId="32" fillId="0" borderId="0" xfId="0" applyFont="1" applyFill="1" applyBorder="1"/>
    <xf numFmtId="0" fontId="2" fillId="24" borderId="5" xfId="0" applyFont="1" applyFill="1" applyBorder="1"/>
    <xf numFmtId="0" fontId="32" fillId="25" borderId="19" xfId="0" applyFont="1" applyFill="1" applyBorder="1"/>
    <xf numFmtId="0" fontId="32" fillId="25" borderId="21" xfId="0" applyFont="1" applyFill="1" applyBorder="1"/>
    <xf numFmtId="0" fontId="32" fillId="26" borderId="19" xfId="0" applyFont="1" applyFill="1" applyBorder="1"/>
    <xf numFmtId="0" fontId="32" fillId="26" borderId="21" xfId="0" applyFont="1" applyFill="1" applyBorder="1"/>
    <xf numFmtId="0" fontId="0" fillId="6" borderId="28" xfId="0" applyFill="1" applyBorder="1"/>
    <xf numFmtId="0" fontId="2" fillId="6" borderId="27" xfId="0" applyFont="1" applyFill="1" applyBorder="1"/>
    <xf numFmtId="0" fontId="2" fillId="6" borderId="32" xfId="0" applyFont="1" applyFill="1" applyBorder="1"/>
    <xf numFmtId="0" fontId="0" fillId="23" borderId="28" xfId="0" applyFill="1" applyBorder="1"/>
    <xf numFmtId="0" fontId="2" fillId="23" borderId="27" xfId="0" applyFont="1" applyFill="1" applyBorder="1"/>
    <xf numFmtId="0" fontId="0" fillId="23" borderId="31" xfId="0" applyFill="1" applyBorder="1"/>
    <xf numFmtId="0" fontId="2" fillId="23" borderId="32" xfId="0" applyFont="1" applyFill="1" applyBorder="1"/>
    <xf numFmtId="0" fontId="0" fillId="10" borderId="53" xfId="0" applyFill="1" applyBorder="1"/>
    <xf numFmtId="0" fontId="0" fillId="10" borderId="52" xfId="0" applyFill="1" applyBorder="1"/>
    <xf numFmtId="0" fontId="0" fillId="10" borderId="54" xfId="0" applyFill="1" applyBorder="1"/>
    <xf numFmtId="0" fontId="0" fillId="10" borderId="34" xfId="0" applyFill="1" applyBorder="1"/>
    <xf numFmtId="0" fontId="0" fillId="24" borderId="39" xfId="0" applyFill="1" applyBorder="1"/>
    <xf numFmtId="0" fontId="32" fillId="25" borderId="5" xfId="0" applyFont="1" applyFill="1" applyBorder="1"/>
    <xf numFmtId="0" fontId="32" fillId="25" borderId="1" xfId="0" applyFont="1" applyFill="1" applyBorder="1"/>
    <xf numFmtId="0" fontId="32" fillId="25" borderId="27" xfId="0" applyFont="1" applyFill="1" applyBorder="1"/>
    <xf numFmtId="0" fontId="32" fillId="2" borderId="0" xfId="0" applyFont="1" applyFill="1" applyBorder="1"/>
    <xf numFmtId="0" fontId="32" fillId="2" borderId="1" xfId="0" applyFont="1" applyFill="1" applyBorder="1"/>
    <xf numFmtId="0" fontId="2" fillId="2" borderId="10" xfId="0" applyFont="1" applyFill="1" applyBorder="1"/>
    <xf numFmtId="0" fontId="2" fillId="2" borderId="40" xfId="0" applyFont="1" applyFill="1" applyBorder="1"/>
    <xf numFmtId="0" fontId="2" fillId="2" borderId="8" xfId="0" applyFont="1" applyFill="1" applyBorder="1"/>
    <xf numFmtId="0" fontId="2" fillId="2" borderId="41" xfId="0" applyFont="1" applyFill="1" applyBorder="1"/>
    <xf numFmtId="0" fontId="2" fillId="2" borderId="42" xfId="0" applyFont="1" applyFill="1" applyBorder="1"/>
    <xf numFmtId="0" fontId="2" fillId="2" borderId="12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2" fillId="2" borderId="13" xfId="0" applyFont="1" applyFill="1" applyBorder="1"/>
    <xf numFmtId="0" fontId="0" fillId="24" borderId="23" xfId="0" applyFill="1" applyBorder="1"/>
    <xf numFmtId="0" fontId="2" fillId="6" borderId="55" xfId="0" applyFont="1" applyFill="1" applyBorder="1"/>
    <xf numFmtId="0" fontId="2" fillId="6" borderId="56" xfId="0" applyFont="1" applyFill="1" applyBorder="1"/>
    <xf numFmtId="0" fontId="2" fillId="23" borderId="55" xfId="0" applyFont="1" applyFill="1" applyBorder="1"/>
    <xf numFmtId="0" fontId="2" fillId="23" borderId="56" xfId="0" applyFont="1" applyFill="1" applyBorder="1"/>
    <xf numFmtId="0" fontId="0" fillId="10" borderId="14" xfId="0" applyFill="1" applyBorder="1"/>
    <xf numFmtId="0" fontId="0" fillId="10" borderId="25" xfId="0" applyFill="1" applyBorder="1"/>
    <xf numFmtId="166" fontId="0" fillId="2" borderId="0" xfId="1" applyNumberFormat="1" applyFont="1" applyFill="1" applyBorder="1"/>
    <xf numFmtId="168" fontId="0" fillId="0" borderId="2" xfId="0" applyNumberFormat="1" applyBorder="1"/>
    <xf numFmtId="168" fontId="0" fillId="0" borderId="3" xfId="0" applyNumberFormat="1" applyBorder="1"/>
    <xf numFmtId="168" fontId="11" fillId="6" borderId="30" xfId="0" applyNumberFormat="1" applyFont="1" applyFill="1" applyBorder="1"/>
    <xf numFmtId="168" fontId="14" fillId="2" borderId="29" xfId="0" applyNumberFormat="1" applyFont="1" applyFill="1" applyBorder="1" applyAlignment="1">
      <alignment wrapText="1"/>
    </xf>
    <xf numFmtId="168" fontId="14" fillId="2" borderId="0" xfId="0" applyNumberFormat="1" applyFont="1" applyFill="1" applyBorder="1" applyAlignment="1">
      <alignment wrapText="1"/>
    </xf>
    <xf numFmtId="168" fontId="14" fillId="6" borderId="37" xfId="0" applyNumberFormat="1" applyFont="1" applyFill="1" applyBorder="1"/>
    <xf numFmtId="0" fontId="29" fillId="2" borderId="31" xfId="0" applyFont="1" applyFill="1" applyBorder="1"/>
    <xf numFmtId="0" fontId="29" fillId="2" borderId="22" xfId="0" applyFont="1" applyFill="1" applyBorder="1"/>
    <xf numFmtId="168" fontId="29" fillId="2" borderId="22" xfId="0" applyNumberFormat="1" applyFont="1" applyFill="1" applyBorder="1"/>
    <xf numFmtId="168" fontId="29" fillId="2" borderId="32" xfId="0" applyNumberFormat="1" applyFont="1" applyFill="1" applyBorder="1"/>
    <xf numFmtId="0" fontId="0" fillId="2" borderId="37" xfId="0" applyFill="1" applyBorder="1"/>
    <xf numFmtId="0" fontId="14" fillId="2" borderId="29" xfId="0" applyFont="1" applyFill="1" applyBorder="1"/>
    <xf numFmtId="0" fontId="11" fillId="6" borderId="29" xfId="0" applyFont="1" applyFill="1" applyBorder="1"/>
    <xf numFmtId="0" fontId="0" fillId="5" borderId="0" xfId="0" applyFill="1" applyBorder="1"/>
    <xf numFmtId="168" fontId="6" fillId="2" borderId="37" xfId="1" applyNumberFormat="1" applyFont="1" applyFill="1" applyBorder="1"/>
    <xf numFmtId="0" fontId="6" fillId="2" borderId="29" xfId="0" applyFont="1" applyFill="1" applyBorder="1" applyAlignment="1">
      <alignment wrapText="1"/>
    </xf>
    <xf numFmtId="168" fontId="0" fillId="0" borderId="37" xfId="0" applyNumberFormat="1" applyBorder="1"/>
    <xf numFmtId="0" fontId="0" fillId="7" borderId="22" xfId="0" applyFill="1" applyBorder="1"/>
    <xf numFmtId="168" fontId="11" fillId="7" borderId="57" xfId="0" applyNumberFormat="1" applyFont="1" applyFill="1" applyBorder="1"/>
    <xf numFmtId="164" fontId="6" fillId="2" borderId="37" xfId="2" applyFont="1" applyFill="1" applyBorder="1"/>
    <xf numFmtId="164" fontId="6" fillId="7" borderId="2" xfId="2" applyNumberFormat="1" applyFont="1" applyFill="1" applyBorder="1"/>
    <xf numFmtId="10" fontId="6" fillId="2" borderId="2" xfId="1" applyNumberFormat="1" applyFont="1" applyFill="1" applyBorder="1"/>
    <xf numFmtId="169" fontId="6" fillId="5" borderId="30" xfId="2" applyNumberFormat="1" applyFont="1" applyFill="1" applyBorder="1"/>
    <xf numFmtId="164" fontId="6" fillId="2" borderId="30" xfId="2" applyNumberFormat="1" applyFont="1" applyFill="1" applyBorder="1"/>
    <xf numFmtId="164" fontId="6" fillId="7" borderId="30" xfId="2" applyNumberFormat="1" applyFont="1" applyFill="1" applyBorder="1"/>
    <xf numFmtId="10" fontId="6" fillId="2" borderId="30" xfId="1" applyNumberFormat="1" applyFont="1" applyFill="1" applyBorder="1"/>
    <xf numFmtId="0" fontId="43" fillId="2" borderId="0" xfId="0" applyFont="1" applyFill="1" applyBorder="1"/>
    <xf numFmtId="168" fontId="43" fillId="2" borderId="0" xfId="0" applyNumberFormat="1" applyFont="1" applyFill="1" applyBorder="1"/>
    <xf numFmtId="0" fontId="43" fillId="2" borderId="0" xfId="0" applyFont="1" applyFill="1"/>
    <xf numFmtId="0" fontId="30" fillId="2" borderId="35" xfId="0" applyFont="1" applyFill="1" applyBorder="1"/>
    <xf numFmtId="0" fontId="0" fillId="2" borderId="52" xfId="0" applyFill="1" applyBorder="1"/>
    <xf numFmtId="10" fontId="0" fillId="2" borderId="0" xfId="0" applyNumberFormat="1" applyFill="1" applyBorder="1"/>
    <xf numFmtId="10" fontId="0" fillId="2" borderId="0" xfId="1" applyNumberFormat="1" applyFont="1" applyFill="1" applyBorder="1"/>
    <xf numFmtId="10" fontId="0" fillId="2" borderId="0" xfId="1" applyNumberFormat="1" applyFont="1" applyFill="1"/>
    <xf numFmtId="168" fontId="11" fillId="7" borderId="37" xfId="0" applyNumberFormat="1" applyFont="1" applyFill="1" applyBorder="1"/>
    <xf numFmtId="0" fontId="0" fillId="14" borderId="28" xfId="0" applyFill="1" applyBorder="1"/>
    <xf numFmtId="0" fontId="0" fillId="2" borderId="29" xfId="0" applyFill="1" applyBorder="1" applyAlignment="1"/>
    <xf numFmtId="168" fontId="0" fillId="0" borderId="37" xfId="0" applyNumberFormat="1" applyFont="1" applyBorder="1"/>
    <xf numFmtId="168" fontId="39" fillId="2" borderId="0" xfId="0" applyNumberFormat="1" applyFont="1" applyFill="1" applyBorder="1"/>
    <xf numFmtId="168" fontId="43" fillId="6" borderId="0" xfId="0" applyNumberFormat="1" applyFont="1" applyFill="1" applyBorder="1"/>
    <xf numFmtId="10" fontId="0" fillId="6" borderId="0" xfId="0" applyNumberFormat="1" applyFill="1" applyBorder="1"/>
    <xf numFmtId="10" fontId="0" fillId="6" borderId="0" xfId="1" applyNumberFormat="1" applyFont="1" applyFill="1" applyBorder="1"/>
    <xf numFmtId="168" fontId="43" fillId="6" borderId="52" xfId="0" applyNumberFormat="1" applyFont="1" applyFill="1" applyBorder="1"/>
    <xf numFmtId="0" fontId="0" fillId="6" borderId="52" xfId="0" applyFill="1" applyBorder="1"/>
    <xf numFmtId="10" fontId="0" fillId="6" borderId="52" xfId="1" applyNumberFormat="1" applyFont="1" applyFill="1" applyBorder="1"/>
    <xf numFmtId="0" fontId="43" fillId="6" borderId="0" xfId="0" applyFont="1" applyFill="1"/>
    <xf numFmtId="0" fontId="0" fillId="6" borderId="0" xfId="0" applyFill="1"/>
    <xf numFmtId="0" fontId="0" fillId="2" borderId="54" xfId="0" applyFill="1" applyBorder="1"/>
    <xf numFmtId="4" fontId="0" fillId="0" borderId="0" xfId="0" applyNumberFormat="1" applyBorder="1"/>
    <xf numFmtId="4" fontId="0" fillId="6" borderId="0" xfId="0" applyNumberFormat="1" applyFill="1" applyBorder="1"/>
    <xf numFmtId="0" fontId="0" fillId="2" borderId="19" xfId="0" applyFill="1" applyBorder="1"/>
    <xf numFmtId="0" fontId="21" fillId="8" borderId="0" xfId="0" applyFont="1" applyFill="1" applyBorder="1" applyAlignment="1">
      <alignment horizontal="center"/>
    </xf>
    <xf numFmtId="0" fontId="21" fillId="14" borderId="0" xfId="0" applyFont="1" applyFill="1" applyBorder="1" applyAlignment="1">
      <alignment horizontal="center"/>
    </xf>
    <xf numFmtId="0" fontId="21" fillId="14" borderId="30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4" fillId="14" borderId="0" xfId="0" applyFont="1" applyFill="1" applyBorder="1" applyAlignment="1">
      <alignment horizontal="center"/>
    </xf>
    <xf numFmtId="0" fontId="24" fillId="14" borderId="3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4" fillId="8" borderId="30" xfId="0" applyFont="1" applyFill="1" applyBorder="1" applyAlignment="1">
      <alignment horizontal="center"/>
    </xf>
    <xf numFmtId="0" fontId="32" fillId="27" borderId="5" xfId="0" applyFont="1" applyFill="1" applyBorder="1"/>
    <xf numFmtId="0" fontId="32" fillId="27" borderId="6" xfId="0" applyFont="1" applyFill="1" applyBorder="1"/>
    <xf numFmtId="0" fontId="32" fillId="27" borderId="39" xfId="0" applyFont="1" applyFill="1" applyBorder="1"/>
    <xf numFmtId="0" fontId="2" fillId="2" borderId="35" xfId="0" applyFont="1" applyFill="1" applyBorder="1"/>
    <xf numFmtId="0" fontId="0" fillId="2" borderId="35" xfId="0" applyFont="1" applyFill="1" applyBorder="1"/>
    <xf numFmtId="0" fontId="0" fillId="2" borderId="58" xfId="0" applyFill="1" applyBorder="1"/>
    <xf numFmtId="0" fontId="43" fillId="6" borderId="52" xfId="0" applyFont="1" applyFill="1" applyBorder="1"/>
    <xf numFmtId="0" fontId="43" fillId="6" borderId="0" xfId="0" applyFont="1" applyFill="1" applyBorder="1"/>
    <xf numFmtId="10" fontId="0" fillId="6" borderId="0" xfId="0" applyNumberFormat="1" applyFill="1"/>
    <xf numFmtId="10" fontId="0" fillId="6" borderId="52" xfId="0" applyNumberFormat="1" applyFill="1" applyBorder="1"/>
    <xf numFmtId="10" fontId="0" fillId="2" borderId="59" xfId="0" applyNumberFormat="1" applyFill="1" applyBorder="1"/>
    <xf numFmtId="10" fontId="0" fillId="2" borderId="14" xfId="1" applyNumberFormat="1" applyFont="1" applyFill="1" applyBorder="1"/>
    <xf numFmtId="0" fontId="0" fillId="2" borderId="49" xfId="0" applyFill="1" applyBorder="1"/>
    <xf numFmtId="0" fontId="0" fillId="2" borderId="22" xfId="0" applyFill="1" applyBorder="1"/>
    <xf numFmtId="0" fontId="0" fillId="2" borderId="60" xfId="0" applyFill="1" applyBorder="1"/>
  </cellXfs>
  <cellStyles count="4">
    <cellStyle name="Migliaia" xfId="2" builtinId="3"/>
    <cellStyle name="Normale" xfId="0" builtinId="0"/>
    <cellStyle name="Percentuale" xfId="1" builtinId="5"/>
    <cellStyle name="Valuta" xfId="3" builtinId="4"/>
  </cellStyles>
  <dxfs count="0"/>
  <tableStyles count="0" defaultTableStyle="TableStyleMedium2" defaultPivotStyle="PivotStyleLight16"/>
  <colors>
    <mruColors>
      <color rgb="FF003399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85</xdr:row>
      <xdr:rowOff>9525</xdr:rowOff>
    </xdr:from>
    <xdr:to>
      <xdr:col>10</xdr:col>
      <xdr:colOff>3038475</xdr:colOff>
      <xdr:row>88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2FCF630-7643-4B49-9A56-1BDA94217A26}"/>
            </a:ext>
          </a:extLst>
        </xdr:cNvPr>
        <xdr:cNvSpPr txBox="1"/>
      </xdr:nvSpPr>
      <xdr:spPr>
        <a:xfrm>
          <a:off x="10820401" y="16573500"/>
          <a:ext cx="292417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"Curren tax asset" refers to IRES and IRAP receivables for amounts requested for reimbursement on payments of previous years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26</xdr:row>
      <xdr:rowOff>137583</xdr:rowOff>
    </xdr:from>
    <xdr:to>
      <xdr:col>9</xdr:col>
      <xdr:colOff>560916</xdr:colOff>
      <xdr:row>30</xdr:row>
      <xdr:rowOff>21166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B97413A-7668-42A9-8C78-F17CD8476847}"/>
            </a:ext>
          </a:extLst>
        </xdr:cNvPr>
        <xdr:cNvSpPr txBox="1"/>
      </xdr:nvSpPr>
      <xdr:spPr>
        <a:xfrm>
          <a:off x="9249833" y="3799416"/>
          <a:ext cx="2286000" cy="687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18</xdr:row>
      <xdr:rowOff>85725</xdr:rowOff>
    </xdr:from>
    <xdr:to>
      <xdr:col>13</xdr:col>
      <xdr:colOff>466725</xdr:colOff>
      <xdr:row>21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29431BD-483E-431F-A5A3-A3E096AEDDE2}"/>
            </a:ext>
          </a:extLst>
        </xdr:cNvPr>
        <xdr:cNvSpPr txBox="1"/>
      </xdr:nvSpPr>
      <xdr:spPr>
        <a:xfrm>
          <a:off x="8791575" y="3705225"/>
          <a:ext cx="313372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129540</xdr:colOff>
      <xdr:row>5</xdr:row>
      <xdr:rowOff>91440</xdr:rowOff>
    </xdr:from>
    <xdr:to>
      <xdr:col>13</xdr:col>
      <xdr:colOff>320040</xdr:colOff>
      <xdr:row>8</xdr:row>
      <xdr:rowOff>15240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691E8824-2DFD-430D-99D0-D2AFEB3BB9A0}"/>
            </a:ext>
          </a:extLst>
        </xdr:cNvPr>
        <xdr:cNvSpPr txBox="1"/>
      </xdr:nvSpPr>
      <xdr:spPr>
        <a:xfrm>
          <a:off x="8923020" y="1303020"/>
          <a:ext cx="3238500" cy="56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28</xdr:row>
      <xdr:rowOff>129540</xdr:rowOff>
    </xdr:from>
    <xdr:to>
      <xdr:col>11</xdr:col>
      <xdr:colOff>65616</xdr:colOff>
      <xdr:row>32</xdr:row>
      <xdr:rowOff>13123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5AC9C0F-1F8A-496E-87FF-D9041337C47E}"/>
            </a:ext>
          </a:extLst>
        </xdr:cNvPr>
        <xdr:cNvSpPr txBox="1"/>
      </xdr:nvSpPr>
      <xdr:spPr>
        <a:xfrm>
          <a:off x="9555480" y="5509260"/>
          <a:ext cx="2336376" cy="6151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  <xdr:twoCellAnchor>
    <xdr:from>
      <xdr:col>7</xdr:col>
      <xdr:colOff>259080</xdr:colOff>
      <xdr:row>45</xdr:row>
      <xdr:rowOff>0</xdr:rowOff>
    </xdr:from>
    <xdr:to>
      <xdr:col>11</xdr:col>
      <xdr:colOff>157056</xdr:colOff>
      <xdr:row>50</xdr:row>
      <xdr:rowOff>30480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6445F0D-30E0-4FD7-972F-C68AD2B97E42}"/>
            </a:ext>
          </a:extLst>
        </xdr:cNvPr>
        <xdr:cNvSpPr txBox="1"/>
      </xdr:nvSpPr>
      <xdr:spPr>
        <a:xfrm>
          <a:off x="9646920" y="8488680"/>
          <a:ext cx="2336376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</a:t>
          </a:r>
          <a:r>
            <a:rPr lang="it-IT" sz="1100" baseline="0">
              <a:solidFill>
                <a:srgbClr val="002060"/>
              </a:solidFill>
            </a:rPr>
            <a:t>e, this is Net debt computation according to Consob rules, different from what we computed in Overviews. We find more realistic that way of computation. 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327660</xdr:colOff>
      <xdr:row>126</xdr:row>
      <xdr:rowOff>45720</xdr:rowOff>
    </xdr:from>
    <xdr:to>
      <xdr:col>11</xdr:col>
      <xdr:colOff>228600</xdr:colOff>
      <xdr:row>128</xdr:row>
      <xdr:rowOff>152400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FDAC2FFD-E500-445B-AD8C-09107F89B5A4}"/>
            </a:ext>
          </a:extLst>
        </xdr:cNvPr>
        <xdr:cNvSpPr txBox="1"/>
      </xdr:nvSpPr>
      <xdr:spPr>
        <a:xfrm>
          <a:off x="8869680" y="23637240"/>
          <a:ext cx="3238500" cy="472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  <xdr:twoCellAnchor>
    <xdr:from>
      <xdr:col>6</xdr:col>
      <xdr:colOff>434340</xdr:colOff>
      <xdr:row>139</xdr:row>
      <xdr:rowOff>160020</xdr:rowOff>
    </xdr:from>
    <xdr:to>
      <xdr:col>11</xdr:col>
      <xdr:colOff>230505</xdr:colOff>
      <xdr:row>143</xdr:row>
      <xdr:rowOff>15240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9FB124CE-457E-4EB2-915B-4215870865A6}"/>
            </a:ext>
          </a:extLst>
        </xdr:cNvPr>
        <xdr:cNvSpPr txBox="1"/>
      </xdr:nvSpPr>
      <xdr:spPr>
        <a:xfrm>
          <a:off x="8976360" y="26128980"/>
          <a:ext cx="3133725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426720</xdr:colOff>
      <xdr:row>158</xdr:row>
      <xdr:rowOff>60960</xdr:rowOff>
    </xdr:from>
    <xdr:to>
      <xdr:col>11</xdr:col>
      <xdr:colOff>30480</xdr:colOff>
      <xdr:row>161</xdr:row>
      <xdr:rowOff>137160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2E7FE1D2-0A15-4597-B7DB-F1051FB420F7}"/>
            </a:ext>
          </a:extLst>
        </xdr:cNvPr>
        <xdr:cNvSpPr txBox="1"/>
      </xdr:nvSpPr>
      <xdr:spPr>
        <a:xfrm>
          <a:off x="8968740" y="29504640"/>
          <a:ext cx="294132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This</a:t>
          </a:r>
          <a:r>
            <a:rPr lang="it-IT" sz="1100" baseline="0"/>
            <a:t> value comes from modification In BS net debt side (according to Consob) 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68580</xdr:rowOff>
    </xdr:from>
    <xdr:to>
      <xdr:col>4</xdr:col>
      <xdr:colOff>99060</xdr:colOff>
      <xdr:row>26</xdr:row>
      <xdr:rowOff>114300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BAE75B0-FDA7-4AFE-93CC-85EA8B3008DE}"/>
            </a:ext>
          </a:extLst>
        </xdr:cNvPr>
        <xdr:cNvSpPr txBox="1"/>
      </xdr:nvSpPr>
      <xdr:spPr>
        <a:xfrm>
          <a:off x="0" y="2453640"/>
          <a:ext cx="2537460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</a:t>
          </a:r>
          <a:r>
            <a:rPr lang="it-IT" sz="1100" baseline="0"/>
            <a:t> declared to augment DPS at least for 5% each year until 2024. </a:t>
          </a:r>
        </a:p>
        <a:p>
          <a:r>
            <a:rPr lang="it-IT" sz="1100" baseline="0"/>
            <a:t>Looking at historical changes we decide to be conservative for 2020 and 2021, due to NCOVID2019, then augment from 2021 to 2022 (until 9%) reducing again until 5%.</a:t>
          </a:r>
        </a:p>
        <a:p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Gianmarco,s%20p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Simone's%20p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REORGANIZED BS"/>
      <sheetName val="trailing 12-months"/>
      <sheetName val="IS"/>
      <sheetName val="CF S "/>
    </sheetNames>
    <sheetDataSet>
      <sheetData sheetId="0"/>
      <sheetData sheetId="1"/>
      <sheetData sheetId="2"/>
      <sheetData sheetId="3"/>
      <sheetData sheetId="4">
        <row r="22">
          <cell r="C22">
            <v>932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Reorganized IS"/>
      <sheetName val="IS Trailing 12 months "/>
      <sheetName val="Analysis "/>
      <sheetName val="Bottom up Beta"/>
      <sheetName val="FCFE Computation"/>
      <sheetName val="Ratios "/>
      <sheetName val="Forecasts "/>
      <sheetName val="Foglio1"/>
      <sheetName val="Foglio2"/>
    </sheetNames>
    <sheetDataSet>
      <sheetData sheetId="0"/>
      <sheetData sheetId="1"/>
      <sheetData sheetId="2"/>
      <sheetData sheetId="3"/>
      <sheetData sheetId="4"/>
      <sheetData sheetId="5">
        <row r="11">
          <cell r="D11">
            <v>627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9370-6A8C-4EA4-8353-72ABD4D2014D}">
  <dimension ref="B1:V75"/>
  <sheetViews>
    <sheetView topLeftCell="F1" workbookViewId="0">
      <selection activeCell="G64" sqref="G64"/>
    </sheetView>
  </sheetViews>
  <sheetFormatPr defaultRowHeight="14.4" x14ac:dyDescent="0.3"/>
  <cols>
    <col min="1" max="1" width="5.77734375" customWidth="1"/>
    <col min="2" max="2" width="15.6640625" customWidth="1"/>
    <col min="3" max="3" width="11.6640625" customWidth="1"/>
    <col min="4" max="6" width="11" bestFit="1" customWidth="1"/>
    <col min="7" max="7" width="12.88671875" customWidth="1"/>
    <col min="9" max="9" width="17" customWidth="1"/>
    <col min="10" max="10" width="10.6640625" customWidth="1"/>
    <col min="11" max="11" width="11.21875" customWidth="1"/>
    <col min="12" max="12" width="11.44140625" customWidth="1"/>
    <col min="13" max="13" width="12.33203125" customWidth="1"/>
    <col min="14" max="14" width="12" customWidth="1"/>
    <col min="16" max="16" width="21.88671875" customWidth="1"/>
    <col min="17" max="17" width="13.109375" customWidth="1"/>
    <col min="18" max="18" width="12.21875" customWidth="1"/>
    <col min="19" max="19" width="12.77734375" customWidth="1"/>
    <col min="20" max="20" width="11.109375" customWidth="1"/>
  </cols>
  <sheetData>
    <row r="1" spans="2:20" ht="15" thickBot="1" x14ac:dyDescent="0.35"/>
    <row r="2" spans="2:20" ht="15" thickBot="1" x14ac:dyDescent="0.35">
      <c r="B2" s="382" t="s">
        <v>488</v>
      </c>
      <c r="C2" s="432">
        <v>42369</v>
      </c>
      <c r="D2" s="432">
        <v>42735</v>
      </c>
      <c r="E2" s="432">
        <v>43100</v>
      </c>
      <c r="F2" s="433">
        <v>43465</v>
      </c>
      <c r="G2" s="433">
        <v>43830</v>
      </c>
      <c r="I2" s="382" t="s">
        <v>489</v>
      </c>
      <c r="J2" s="432">
        <v>42369</v>
      </c>
      <c r="K2" s="432">
        <v>42735</v>
      </c>
      <c r="L2" s="432">
        <v>43100</v>
      </c>
      <c r="M2" s="433">
        <v>43465</v>
      </c>
      <c r="N2" s="433">
        <v>43830</v>
      </c>
      <c r="P2" s="382" t="s">
        <v>490</v>
      </c>
      <c r="Q2" s="432">
        <v>42735</v>
      </c>
      <c r="R2" s="432">
        <v>43100</v>
      </c>
      <c r="S2" s="433">
        <v>43465</v>
      </c>
      <c r="T2" s="433">
        <v>43830</v>
      </c>
    </row>
    <row r="3" spans="2:20" x14ac:dyDescent="0.3">
      <c r="B3" s="383" t="s">
        <v>491</v>
      </c>
      <c r="C3" s="386">
        <v>5067</v>
      </c>
      <c r="D3" s="386">
        <v>5129</v>
      </c>
      <c r="E3" s="386">
        <v>4606</v>
      </c>
      <c r="F3" s="386">
        <v>4620</v>
      </c>
      <c r="G3" s="391">
        <v>4869</v>
      </c>
      <c r="I3" s="414" t="s">
        <v>509</v>
      </c>
      <c r="J3" s="415">
        <v>4921</v>
      </c>
      <c r="K3" s="415">
        <v>4860</v>
      </c>
      <c r="L3" s="415">
        <v>5796</v>
      </c>
      <c r="M3" s="415">
        <v>6494</v>
      </c>
      <c r="N3" s="416">
        <v>7324</v>
      </c>
      <c r="P3" s="385" t="s">
        <v>303</v>
      </c>
      <c r="Q3" s="387">
        <v>443</v>
      </c>
      <c r="R3" s="387">
        <v>710</v>
      </c>
      <c r="S3" s="387">
        <v>588</v>
      </c>
      <c r="T3" s="404">
        <v>687</v>
      </c>
    </row>
    <row r="4" spans="2:20" x14ac:dyDescent="0.3">
      <c r="B4" s="383" t="s">
        <v>492</v>
      </c>
      <c r="C4" s="386">
        <v>1348</v>
      </c>
      <c r="D4" s="386">
        <v>1704</v>
      </c>
      <c r="E4" s="386">
        <v>1863</v>
      </c>
      <c r="F4" s="386">
        <v>2302</v>
      </c>
      <c r="G4" s="391">
        <v>2379</v>
      </c>
      <c r="I4" s="383"/>
      <c r="J4" s="386"/>
      <c r="K4" s="386"/>
      <c r="L4" s="386"/>
      <c r="M4" s="386"/>
      <c r="N4" s="391"/>
      <c r="P4" s="383" t="s">
        <v>517</v>
      </c>
      <c r="Q4" s="386">
        <f>K16</f>
        <v>-122</v>
      </c>
      <c r="R4" s="386">
        <f t="shared" ref="R4:T4" si="0">L16</f>
        <v>-192</v>
      </c>
      <c r="S4" s="386">
        <f t="shared" si="0"/>
        <v>-157</v>
      </c>
      <c r="T4" s="391">
        <f t="shared" si="0"/>
        <v>-189</v>
      </c>
    </row>
    <row r="5" spans="2:20" x14ac:dyDescent="0.3">
      <c r="B5" s="384" t="s">
        <v>493</v>
      </c>
      <c r="C5" s="392">
        <v>137</v>
      </c>
      <c r="D5" s="388">
        <v>136</v>
      </c>
      <c r="E5" s="388">
        <v>107</v>
      </c>
      <c r="F5" s="388">
        <v>45</v>
      </c>
      <c r="G5" s="393">
        <v>65</v>
      </c>
      <c r="I5" s="383" t="s">
        <v>510</v>
      </c>
      <c r="J5" s="386">
        <v>-3244</v>
      </c>
      <c r="K5" s="386">
        <v>-3102</v>
      </c>
      <c r="L5" s="386">
        <v>-3962</v>
      </c>
      <c r="M5" s="386">
        <v>-4598</v>
      </c>
      <c r="N5" s="391">
        <v>-5390</v>
      </c>
      <c r="P5" s="384" t="s">
        <v>518</v>
      </c>
      <c r="Q5" s="394">
        <f>-K13*(K16/K14)</f>
        <v>-39.814371257485028</v>
      </c>
      <c r="R5" s="394">
        <f t="shared" ref="R5:T5" si="1">-L13*(L16/L14)</f>
        <v>-44.666666666666664</v>
      </c>
      <c r="S5" s="394">
        <f t="shared" si="1"/>
        <v>-31.400000000000002</v>
      </c>
      <c r="T5" s="420">
        <f t="shared" si="1"/>
        <v>-34.481927710843372</v>
      </c>
    </row>
    <row r="6" spans="2:20" x14ac:dyDescent="0.3">
      <c r="B6" s="385" t="s">
        <v>494</v>
      </c>
      <c r="C6" s="387">
        <f>SUM(C3:C5)</f>
        <v>6552</v>
      </c>
      <c r="D6" s="387">
        <f>SUM(D3:D5)</f>
        <v>6969</v>
      </c>
      <c r="E6" s="387">
        <f t="shared" ref="E6:G6" si="2">SUM(E3:E5)</f>
        <v>6576</v>
      </c>
      <c r="F6" s="387">
        <f t="shared" si="2"/>
        <v>6967</v>
      </c>
      <c r="G6" s="404">
        <f t="shared" si="2"/>
        <v>7313</v>
      </c>
      <c r="I6" s="384" t="s">
        <v>511</v>
      </c>
      <c r="J6" s="388">
        <v>-629</v>
      </c>
      <c r="K6" s="388">
        <v>-596</v>
      </c>
      <c r="L6" s="388">
        <v>-635</v>
      </c>
      <c r="M6" s="388">
        <v>-665</v>
      </c>
      <c r="N6" s="393">
        <v>-700</v>
      </c>
      <c r="P6" s="385" t="s">
        <v>375</v>
      </c>
      <c r="Q6" s="421">
        <f>Q3+Q4+Q5</f>
        <v>281.18562874251495</v>
      </c>
      <c r="R6" s="421">
        <f t="shared" ref="R6:T6" si="3">R3+R4+R5</f>
        <v>473.33333333333331</v>
      </c>
      <c r="S6" s="421">
        <f t="shared" si="3"/>
        <v>399.6</v>
      </c>
      <c r="T6" s="422">
        <f t="shared" si="3"/>
        <v>463.51807228915663</v>
      </c>
    </row>
    <row r="7" spans="2:20" x14ac:dyDescent="0.3">
      <c r="B7" s="383"/>
      <c r="C7" s="386"/>
      <c r="D7" s="386"/>
      <c r="E7" s="386"/>
      <c r="F7" s="386"/>
      <c r="G7" s="391"/>
      <c r="I7" s="385" t="s">
        <v>512</v>
      </c>
      <c r="J7" s="387">
        <f>J3+J5+J6</f>
        <v>1048</v>
      </c>
      <c r="K7" s="387">
        <f t="shared" ref="K7:N7" si="4">K3+K5+K6</f>
        <v>1162</v>
      </c>
      <c r="L7" s="387">
        <f t="shared" si="4"/>
        <v>1199</v>
      </c>
      <c r="M7" s="387">
        <f t="shared" si="4"/>
        <v>1231</v>
      </c>
      <c r="N7" s="404">
        <f t="shared" si="4"/>
        <v>1234</v>
      </c>
      <c r="P7" s="383"/>
      <c r="Q7" s="386"/>
      <c r="R7" s="386"/>
      <c r="S7" s="386"/>
      <c r="T7" s="391"/>
    </row>
    <row r="8" spans="2:20" x14ac:dyDescent="0.3">
      <c r="B8" s="383" t="s">
        <v>495</v>
      </c>
      <c r="C8" s="386">
        <v>184</v>
      </c>
      <c r="D8" s="386">
        <v>159</v>
      </c>
      <c r="E8" s="386">
        <v>147</v>
      </c>
      <c r="F8" s="386">
        <v>187</v>
      </c>
      <c r="G8" s="391">
        <v>184</v>
      </c>
      <c r="I8" s="383"/>
      <c r="J8" s="386"/>
      <c r="K8" s="386"/>
      <c r="L8" s="386"/>
      <c r="M8" s="386"/>
      <c r="N8" s="391"/>
      <c r="P8" s="383" t="s">
        <v>397</v>
      </c>
      <c r="Q8" s="386">
        <f>C8-D8</f>
        <v>25</v>
      </c>
      <c r="R8" s="386">
        <f t="shared" ref="R8:T10" si="5">D8-E8</f>
        <v>12</v>
      </c>
      <c r="S8" s="386">
        <f t="shared" si="5"/>
        <v>-40</v>
      </c>
      <c r="T8" s="391">
        <f t="shared" si="5"/>
        <v>3</v>
      </c>
    </row>
    <row r="9" spans="2:20" x14ac:dyDescent="0.3">
      <c r="B9" s="383" t="s">
        <v>345</v>
      </c>
      <c r="C9" s="386">
        <v>1485</v>
      </c>
      <c r="D9" s="386">
        <v>1821</v>
      </c>
      <c r="E9" s="386">
        <v>1671</v>
      </c>
      <c r="F9" s="386">
        <v>1781</v>
      </c>
      <c r="G9" s="391">
        <v>1852</v>
      </c>
      <c r="I9" s="383" t="s">
        <v>513</v>
      </c>
      <c r="J9" s="386">
        <v>-754</v>
      </c>
      <c r="K9" s="386">
        <v>-648</v>
      </c>
      <c r="L9" s="386">
        <v>-444</v>
      </c>
      <c r="M9" s="386">
        <v>-623</v>
      </c>
      <c r="N9" s="391">
        <v>-511</v>
      </c>
      <c r="P9" s="383" t="s">
        <v>519</v>
      </c>
      <c r="Q9" s="386">
        <f>C9-D9</f>
        <v>-336</v>
      </c>
      <c r="R9" s="386">
        <f t="shared" si="5"/>
        <v>150</v>
      </c>
      <c r="S9" s="386">
        <f t="shared" si="5"/>
        <v>-110</v>
      </c>
      <c r="T9" s="391">
        <f t="shared" si="5"/>
        <v>-71</v>
      </c>
    </row>
    <row r="10" spans="2:20" x14ac:dyDescent="0.3">
      <c r="B10" s="384" t="s">
        <v>496</v>
      </c>
      <c r="C10" s="395">
        <v>-1170</v>
      </c>
      <c r="D10" s="396">
        <v>-1384</v>
      </c>
      <c r="E10" s="388">
        <v>-1381</v>
      </c>
      <c r="F10" s="388">
        <v>-1413</v>
      </c>
      <c r="G10" s="393">
        <v>-1481</v>
      </c>
      <c r="I10" s="384" t="s">
        <v>514</v>
      </c>
      <c r="J10" s="388">
        <v>-79</v>
      </c>
      <c r="K10" s="388">
        <v>-71</v>
      </c>
      <c r="L10" s="388">
        <v>-45</v>
      </c>
      <c r="M10" s="388">
        <v>-20</v>
      </c>
      <c r="N10" s="393">
        <v>-36</v>
      </c>
      <c r="P10" s="384" t="s">
        <v>520</v>
      </c>
      <c r="Q10" s="396">
        <f>C10-D10</f>
        <v>214</v>
      </c>
      <c r="R10" s="396">
        <f t="shared" si="5"/>
        <v>-3</v>
      </c>
      <c r="S10" s="396">
        <f t="shared" si="5"/>
        <v>32</v>
      </c>
      <c r="T10" s="423">
        <f t="shared" si="5"/>
        <v>68</v>
      </c>
    </row>
    <row r="11" spans="2:20" x14ac:dyDescent="0.3">
      <c r="B11" s="385" t="s">
        <v>497</v>
      </c>
      <c r="C11" s="398">
        <f>C8+C9+C10</f>
        <v>499</v>
      </c>
      <c r="D11" s="398">
        <f>D8+D9+D10</f>
        <v>596</v>
      </c>
      <c r="E11" s="398">
        <f t="shared" ref="E11:G11" si="6">E8+E9+E10</f>
        <v>437</v>
      </c>
      <c r="F11" s="398">
        <f t="shared" si="6"/>
        <v>555</v>
      </c>
      <c r="G11" s="405">
        <f t="shared" si="6"/>
        <v>555</v>
      </c>
      <c r="I11" s="385" t="s">
        <v>303</v>
      </c>
      <c r="J11" s="387">
        <f>J7+J9+J10</f>
        <v>215</v>
      </c>
      <c r="K11" s="387">
        <f t="shared" ref="K11:N11" si="7">K7+K9+K10</f>
        <v>443</v>
      </c>
      <c r="L11" s="387">
        <f t="shared" si="7"/>
        <v>710</v>
      </c>
      <c r="M11" s="387">
        <f t="shared" si="7"/>
        <v>588</v>
      </c>
      <c r="N11" s="404">
        <f t="shared" si="7"/>
        <v>687</v>
      </c>
      <c r="P11" s="385" t="s">
        <v>521</v>
      </c>
      <c r="Q11" s="398">
        <f>Q8+Q9+Q10</f>
        <v>-97</v>
      </c>
      <c r="R11" s="398">
        <f t="shared" ref="R11:T11" si="8">R8+R9+R10</f>
        <v>159</v>
      </c>
      <c r="S11" s="398">
        <f t="shared" si="8"/>
        <v>-118</v>
      </c>
      <c r="T11" s="405">
        <f t="shared" si="8"/>
        <v>0</v>
      </c>
    </row>
    <row r="12" spans="2:20" x14ac:dyDescent="0.3">
      <c r="B12" s="383"/>
      <c r="C12" s="386"/>
      <c r="D12" s="386"/>
      <c r="E12" s="386"/>
      <c r="F12" s="386"/>
      <c r="G12" s="391"/>
      <c r="I12" s="383"/>
      <c r="J12" s="386"/>
      <c r="K12" s="386"/>
      <c r="L12" s="386"/>
      <c r="M12" s="386"/>
      <c r="N12" s="391"/>
      <c r="P12" s="383"/>
      <c r="Q12" s="386"/>
      <c r="R12" s="386"/>
      <c r="S12" s="386"/>
      <c r="T12" s="391"/>
    </row>
    <row r="13" spans="2:20" x14ac:dyDescent="0.3">
      <c r="B13" s="383" t="s">
        <v>498</v>
      </c>
      <c r="C13" s="386">
        <f>636</f>
        <v>636</v>
      </c>
      <c r="D13" s="386">
        <v>695</v>
      </c>
      <c r="E13" s="386">
        <v>563</v>
      </c>
      <c r="F13" s="386">
        <v>510</v>
      </c>
      <c r="G13" s="391">
        <v>665</v>
      </c>
      <c r="I13" s="384" t="s">
        <v>386</v>
      </c>
      <c r="J13" s="388">
        <v>-137</v>
      </c>
      <c r="K13" s="388">
        <v>-109</v>
      </c>
      <c r="L13" s="388">
        <v>-134</v>
      </c>
      <c r="M13" s="388">
        <v>-98</v>
      </c>
      <c r="N13" s="393">
        <v>-106</v>
      </c>
      <c r="P13" s="383" t="s">
        <v>377</v>
      </c>
      <c r="Q13" s="386">
        <f>C13-D13</f>
        <v>-59</v>
      </c>
      <c r="R13" s="386">
        <f t="shared" ref="R13:T14" si="9">D13-E13</f>
        <v>132</v>
      </c>
      <c r="S13" s="386">
        <f t="shared" si="9"/>
        <v>53</v>
      </c>
      <c r="T13" s="391">
        <f t="shared" si="9"/>
        <v>-155</v>
      </c>
    </row>
    <row r="14" spans="2:20" x14ac:dyDescent="0.3">
      <c r="B14" s="384" t="s">
        <v>368</v>
      </c>
      <c r="C14" s="388">
        <v>-683</v>
      </c>
      <c r="D14" s="388">
        <v>-893</v>
      </c>
      <c r="E14" s="388">
        <v>-673</v>
      </c>
      <c r="F14" s="388">
        <v>-763</v>
      </c>
      <c r="G14" s="393">
        <v>-999</v>
      </c>
      <c r="I14" s="385" t="s">
        <v>304</v>
      </c>
      <c r="J14" s="387">
        <f>J11+J13</f>
        <v>78</v>
      </c>
      <c r="K14" s="387">
        <f t="shared" ref="K14:N14" si="10">K11+K13</f>
        <v>334</v>
      </c>
      <c r="L14" s="387">
        <f t="shared" si="10"/>
        <v>576</v>
      </c>
      <c r="M14" s="387">
        <f t="shared" si="10"/>
        <v>490</v>
      </c>
      <c r="N14" s="404">
        <f t="shared" si="10"/>
        <v>581</v>
      </c>
      <c r="P14" s="384" t="s">
        <v>522</v>
      </c>
      <c r="Q14" s="388">
        <f>C14-D14</f>
        <v>210</v>
      </c>
      <c r="R14" s="388">
        <f t="shared" si="9"/>
        <v>-220</v>
      </c>
      <c r="S14" s="388">
        <f t="shared" si="9"/>
        <v>90</v>
      </c>
      <c r="T14" s="393">
        <f t="shared" si="9"/>
        <v>236</v>
      </c>
    </row>
    <row r="15" spans="2:20" x14ac:dyDescent="0.3">
      <c r="B15" s="385" t="s">
        <v>499</v>
      </c>
      <c r="C15" s="398">
        <f>C11+C13+C14</f>
        <v>452</v>
      </c>
      <c r="D15" s="398">
        <f>D11+D13+D14</f>
        <v>398</v>
      </c>
      <c r="E15" s="398">
        <f t="shared" ref="E15:G15" si="11">E11+E13+E14</f>
        <v>327</v>
      </c>
      <c r="F15" s="398">
        <f t="shared" si="11"/>
        <v>302</v>
      </c>
      <c r="G15" s="405">
        <f t="shared" si="11"/>
        <v>221</v>
      </c>
      <c r="I15" s="383"/>
      <c r="J15" s="386"/>
      <c r="K15" s="386"/>
      <c r="L15" s="386"/>
      <c r="M15" s="386"/>
      <c r="N15" s="391"/>
      <c r="P15" s="385" t="s">
        <v>523</v>
      </c>
      <c r="Q15" s="398">
        <f>Q11+Q13+Q14</f>
        <v>54</v>
      </c>
      <c r="R15" s="398">
        <f t="shared" ref="R15:T15" si="12">R11+R13+R14</f>
        <v>71</v>
      </c>
      <c r="S15" s="398">
        <f t="shared" si="12"/>
        <v>25</v>
      </c>
      <c r="T15" s="405">
        <f t="shared" si="12"/>
        <v>81</v>
      </c>
    </row>
    <row r="16" spans="2:20" x14ac:dyDescent="0.3">
      <c r="B16" s="383"/>
      <c r="C16" s="386"/>
      <c r="D16" s="386"/>
      <c r="E16" s="386"/>
      <c r="F16" s="386"/>
      <c r="G16" s="391"/>
      <c r="I16" s="383" t="s">
        <v>480</v>
      </c>
      <c r="J16" s="386">
        <v>-133</v>
      </c>
      <c r="K16" s="386">
        <v>-122</v>
      </c>
      <c r="L16" s="386">
        <v>-192</v>
      </c>
      <c r="M16" s="386">
        <v>-157</v>
      </c>
      <c r="N16" s="391">
        <v>-189</v>
      </c>
      <c r="P16" s="383"/>
      <c r="Q16" s="386"/>
      <c r="R16" s="386"/>
      <c r="S16" s="386"/>
      <c r="T16" s="391"/>
    </row>
    <row r="17" spans="2:20" x14ac:dyDescent="0.3">
      <c r="B17" s="383" t="s">
        <v>500</v>
      </c>
      <c r="C17" s="386">
        <v>308</v>
      </c>
      <c r="D17" s="386">
        <v>341</v>
      </c>
      <c r="E17" s="386">
        <v>301</v>
      </c>
      <c r="F17" s="386">
        <v>264</v>
      </c>
      <c r="G17" s="391">
        <v>277</v>
      </c>
      <c r="I17" s="383" t="s">
        <v>515</v>
      </c>
      <c r="J17" s="386">
        <v>0</v>
      </c>
      <c r="K17" s="386">
        <v>19</v>
      </c>
      <c r="L17" s="386">
        <v>-86</v>
      </c>
      <c r="M17" s="386">
        <v>21</v>
      </c>
      <c r="N17" s="391">
        <v>1</v>
      </c>
      <c r="P17" s="383" t="s">
        <v>524</v>
      </c>
      <c r="Q17" s="386">
        <f>C3+C4-D3-D4 + K9</f>
        <v>-1066</v>
      </c>
      <c r="R17" s="386">
        <f t="shared" ref="R17:T17" si="13">D3+D4-E3-E4 + L9</f>
        <v>-80</v>
      </c>
      <c r="S17" s="386">
        <f t="shared" si="13"/>
        <v>-1076</v>
      </c>
      <c r="T17" s="391">
        <f t="shared" si="13"/>
        <v>-837</v>
      </c>
    </row>
    <row r="18" spans="2:20" x14ac:dyDescent="0.3">
      <c r="B18" s="383" t="s">
        <v>501</v>
      </c>
      <c r="C18" s="386">
        <v>-332</v>
      </c>
      <c r="D18" s="386">
        <v>-365</v>
      </c>
      <c r="E18" s="386">
        <v>-319</v>
      </c>
      <c r="F18" s="386">
        <v>-314</v>
      </c>
      <c r="G18" s="391">
        <v>-307</v>
      </c>
      <c r="I18" s="384" t="s">
        <v>482</v>
      </c>
      <c r="J18" s="388">
        <v>130</v>
      </c>
      <c r="K18" s="388">
        <v>1</v>
      </c>
      <c r="L18" s="388">
        <v>-6</v>
      </c>
      <c r="M18" s="388">
        <v>-10</v>
      </c>
      <c r="N18" s="393">
        <v>-4</v>
      </c>
      <c r="P18" s="383" t="s">
        <v>525</v>
      </c>
      <c r="Q18" s="386">
        <f>-K9</f>
        <v>648</v>
      </c>
      <c r="R18" s="386">
        <f t="shared" ref="R18:T18" si="14">-L9</f>
        <v>444</v>
      </c>
      <c r="S18" s="386">
        <f t="shared" si="14"/>
        <v>623</v>
      </c>
      <c r="T18" s="391">
        <f t="shared" si="14"/>
        <v>511</v>
      </c>
    </row>
    <row r="19" spans="2:20" x14ac:dyDescent="0.3">
      <c r="B19" s="384" t="s">
        <v>502</v>
      </c>
      <c r="C19" s="388">
        <v>-576</v>
      </c>
      <c r="D19" s="388">
        <v>-671</v>
      </c>
      <c r="E19" s="388">
        <v>-625</v>
      </c>
      <c r="F19" s="388">
        <v>-642</v>
      </c>
      <c r="G19" s="393">
        <v>-676</v>
      </c>
      <c r="I19" s="385" t="s">
        <v>516</v>
      </c>
      <c r="J19" s="387">
        <f>J14+J16+J17+J18</f>
        <v>75</v>
      </c>
      <c r="K19" s="387">
        <f t="shared" ref="K19:N19" si="15">K14+K16+K17+K18</f>
        <v>232</v>
      </c>
      <c r="L19" s="387">
        <f t="shared" si="15"/>
        <v>292</v>
      </c>
      <c r="M19" s="387">
        <f t="shared" si="15"/>
        <v>344</v>
      </c>
      <c r="N19" s="404">
        <f t="shared" si="15"/>
        <v>389</v>
      </c>
      <c r="P19" s="383" t="s">
        <v>381</v>
      </c>
      <c r="Q19" s="386">
        <f>C19-D19</f>
        <v>95</v>
      </c>
      <c r="R19" s="386">
        <f t="shared" ref="R19:T19" si="16">D19-E19</f>
        <v>-46</v>
      </c>
      <c r="S19" s="386">
        <f t="shared" si="16"/>
        <v>17</v>
      </c>
      <c r="T19" s="391">
        <f t="shared" si="16"/>
        <v>34</v>
      </c>
    </row>
    <row r="20" spans="2:20" ht="15" thickBot="1" x14ac:dyDescent="0.35">
      <c r="B20" s="385" t="s">
        <v>503</v>
      </c>
      <c r="C20" s="398">
        <f>C6+C15+C17+C18+C19</f>
        <v>6404</v>
      </c>
      <c r="D20" s="398">
        <f>D6+D15+D17+D18+D19</f>
        <v>6672</v>
      </c>
      <c r="E20" s="398">
        <f t="shared" ref="E20:G20" si="17">E6+E15+E17+E18+E19</f>
        <v>6260</v>
      </c>
      <c r="F20" s="398">
        <f t="shared" si="17"/>
        <v>6577</v>
      </c>
      <c r="G20" s="405">
        <f t="shared" si="17"/>
        <v>6828</v>
      </c>
      <c r="I20" s="417"/>
      <c r="J20" s="418"/>
      <c r="K20" s="418"/>
      <c r="L20" s="418"/>
      <c r="M20" s="418"/>
      <c r="N20" s="419"/>
      <c r="P20" s="383" t="s">
        <v>526</v>
      </c>
      <c r="Q20" s="386">
        <f>C18-D18</f>
        <v>33</v>
      </c>
      <c r="R20" s="386">
        <f t="shared" ref="R20:T20" si="18">D18-E18</f>
        <v>-46</v>
      </c>
      <c r="S20" s="386">
        <f t="shared" si="18"/>
        <v>-5</v>
      </c>
      <c r="T20" s="391">
        <f t="shared" si="18"/>
        <v>-7</v>
      </c>
    </row>
    <row r="21" spans="2:20" x14ac:dyDescent="0.3">
      <c r="B21" s="383"/>
      <c r="C21" s="386"/>
      <c r="D21" s="386"/>
      <c r="E21" s="386"/>
      <c r="F21" s="386"/>
      <c r="G21" s="391"/>
      <c r="I21" s="254"/>
      <c r="J21" s="254"/>
      <c r="K21" s="254"/>
      <c r="L21" s="254"/>
      <c r="M21" s="254"/>
      <c r="N21" s="254"/>
      <c r="P21" s="383" t="s">
        <v>527</v>
      </c>
      <c r="Q21" s="386">
        <f>C17-D17</f>
        <v>-33</v>
      </c>
      <c r="R21" s="386">
        <f t="shared" ref="R21:T21" si="19">D17-E17</f>
        <v>40</v>
      </c>
      <c r="S21" s="386">
        <f t="shared" si="19"/>
        <v>37</v>
      </c>
      <c r="T21" s="391">
        <f t="shared" si="19"/>
        <v>-13</v>
      </c>
    </row>
    <row r="22" spans="2:20" x14ac:dyDescent="0.3">
      <c r="B22" s="389" t="s">
        <v>365</v>
      </c>
      <c r="C22" s="399">
        <v>-3259</v>
      </c>
      <c r="D22" s="399">
        <v>-3279</v>
      </c>
      <c r="E22" s="399">
        <v>-3013</v>
      </c>
      <c r="F22" s="399">
        <v>-3523</v>
      </c>
      <c r="G22" s="408">
        <v>-3651</v>
      </c>
      <c r="I22" s="254"/>
      <c r="J22" s="254"/>
      <c r="K22" s="254"/>
      <c r="L22" s="254"/>
      <c r="M22" s="254"/>
      <c r="N22" s="254"/>
      <c r="P22" s="384" t="s">
        <v>383</v>
      </c>
      <c r="Q22" s="388">
        <f>K17+K18</f>
        <v>20</v>
      </c>
      <c r="R22" s="388">
        <f t="shared" ref="R22:T22" si="20">L17+L18</f>
        <v>-92</v>
      </c>
      <c r="S22" s="388">
        <f t="shared" si="20"/>
        <v>11</v>
      </c>
      <c r="T22" s="393">
        <f t="shared" si="20"/>
        <v>-3</v>
      </c>
    </row>
    <row r="23" spans="2:20" x14ac:dyDescent="0.3">
      <c r="B23" s="385"/>
      <c r="C23" s="386"/>
      <c r="D23" s="386"/>
      <c r="E23" s="386"/>
      <c r="F23" s="386"/>
      <c r="G23" s="391"/>
      <c r="I23" s="254"/>
      <c r="J23" s="254"/>
      <c r="K23" s="254"/>
      <c r="L23" s="254"/>
      <c r="M23" s="254"/>
      <c r="N23" s="254"/>
      <c r="P23" s="385" t="s">
        <v>384</v>
      </c>
      <c r="Q23" s="421">
        <f>Q6+Q15+SUM(Q17:Q22)</f>
        <v>32.18562874251495</v>
      </c>
      <c r="R23" s="421">
        <f t="shared" ref="R23:T23" si="21">R6+R15+SUM(R17:R22)</f>
        <v>764.33333333333326</v>
      </c>
      <c r="S23" s="421">
        <f t="shared" si="21"/>
        <v>31.600000000000023</v>
      </c>
      <c r="T23" s="422">
        <f t="shared" si="21"/>
        <v>229.51807228915663</v>
      </c>
    </row>
    <row r="24" spans="2:20" x14ac:dyDescent="0.3">
      <c r="B24" s="383" t="s">
        <v>504</v>
      </c>
      <c r="C24" s="386">
        <v>-3781</v>
      </c>
      <c r="D24" s="386">
        <v>-3795</v>
      </c>
      <c r="E24" s="386">
        <v>-3938</v>
      </c>
      <c r="F24" s="386">
        <v>-3678</v>
      </c>
      <c r="G24" s="391">
        <v>-3611</v>
      </c>
      <c r="I24" s="254"/>
      <c r="J24" s="254"/>
      <c r="K24" s="254"/>
      <c r="L24" s="254"/>
      <c r="M24" s="254"/>
      <c r="N24" s="254"/>
      <c r="P24" s="424" t="s">
        <v>385</v>
      </c>
      <c r="Q24" s="425">
        <f>Q23/Q3</f>
        <v>7.2653789486489734E-2</v>
      </c>
      <c r="R24" s="425">
        <f t="shared" ref="R24:T24" si="22">R23/R3</f>
        <v>1.0765258215962441</v>
      </c>
      <c r="S24" s="425">
        <f t="shared" si="22"/>
        <v>5.3741496598639492E-2</v>
      </c>
      <c r="T24" s="426">
        <f t="shared" si="22"/>
        <v>0.33408744146893249</v>
      </c>
    </row>
    <row r="25" spans="2:20" x14ac:dyDescent="0.3">
      <c r="B25" s="384" t="s">
        <v>505</v>
      </c>
      <c r="C25" s="388">
        <v>636</v>
      </c>
      <c r="D25" s="388">
        <v>402</v>
      </c>
      <c r="E25" s="388">
        <v>691</v>
      </c>
      <c r="F25" s="388">
        <v>624</v>
      </c>
      <c r="G25" s="393">
        <v>434</v>
      </c>
      <c r="I25" s="254"/>
      <c r="J25" s="254"/>
      <c r="K25" s="254"/>
      <c r="L25" s="254"/>
      <c r="M25" s="254"/>
      <c r="N25" s="254"/>
      <c r="P25" s="383"/>
      <c r="Q25" s="386"/>
      <c r="R25" s="386"/>
      <c r="S25" s="386"/>
      <c r="T25" s="391"/>
    </row>
    <row r="26" spans="2:20" x14ac:dyDescent="0.3">
      <c r="B26" s="390" t="s">
        <v>506</v>
      </c>
      <c r="C26" s="400">
        <f>C24+C25</f>
        <v>-3145</v>
      </c>
      <c r="D26" s="400">
        <f>D24+D25</f>
        <v>-3393</v>
      </c>
      <c r="E26" s="400">
        <f t="shared" ref="E26:G26" si="23">E24+E25</f>
        <v>-3247</v>
      </c>
      <c r="F26" s="400">
        <f t="shared" si="23"/>
        <v>-3054</v>
      </c>
      <c r="G26" s="406">
        <f t="shared" si="23"/>
        <v>-3177</v>
      </c>
      <c r="I26" s="254"/>
      <c r="J26" s="254"/>
      <c r="K26" s="254"/>
      <c r="L26" s="254"/>
      <c r="M26" s="254"/>
      <c r="N26" s="254"/>
      <c r="P26" s="383" t="s">
        <v>528</v>
      </c>
      <c r="Q26" s="386">
        <f>K13+C5-D5</f>
        <v>-108</v>
      </c>
      <c r="R26" s="386">
        <f t="shared" ref="R26:T26" si="24">L13+D5-E5</f>
        <v>-105</v>
      </c>
      <c r="S26" s="386">
        <f t="shared" si="24"/>
        <v>-36</v>
      </c>
      <c r="T26" s="391">
        <f t="shared" si="24"/>
        <v>-126</v>
      </c>
    </row>
    <row r="27" spans="2:20" x14ac:dyDescent="0.3">
      <c r="B27" s="385" t="s">
        <v>507</v>
      </c>
      <c r="C27" s="387">
        <f>C22+C26</f>
        <v>-6404</v>
      </c>
      <c r="D27" s="387">
        <f>D22+D26</f>
        <v>-6672</v>
      </c>
      <c r="E27" s="387">
        <f t="shared" ref="E27:G27" si="25">E22+E26</f>
        <v>-6260</v>
      </c>
      <c r="F27" s="387">
        <f t="shared" si="25"/>
        <v>-6577</v>
      </c>
      <c r="G27" s="404">
        <f t="shared" si="25"/>
        <v>-6828</v>
      </c>
      <c r="I27" s="254"/>
      <c r="J27" s="254"/>
      <c r="K27" s="254"/>
      <c r="L27" s="254"/>
      <c r="M27" s="254"/>
      <c r="N27" s="254"/>
      <c r="P27" s="383" t="s">
        <v>529</v>
      </c>
      <c r="Q27" s="386">
        <f>C24-D24</f>
        <v>14</v>
      </c>
      <c r="R27" s="386">
        <f t="shared" ref="R27:T27" si="26">D24-E24</f>
        <v>143</v>
      </c>
      <c r="S27" s="386">
        <f t="shared" si="26"/>
        <v>-260</v>
      </c>
      <c r="T27" s="391">
        <f t="shared" si="26"/>
        <v>-67</v>
      </c>
    </row>
    <row r="28" spans="2:20" ht="15" thickBot="1" x14ac:dyDescent="0.35">
      <c r="B28" s="402" t="s">
        <v>508</v>
      </c>
      <c r="C28" s="403">
        <f>C20+C27</f>
        <v>0</v>
      </c>
      <c r="D28" s="403">
        <f t="shared" ref="D28:G28" si="27">D20+D27</f>
        <v>0</v>
      </c>
      <c r="E28" s="403">
        <f t="shared" si="27"/>
        <v>0</v>
      </c>
      <c r="F28" s="403">
        <f t="shared" si="27"/>
        <v>0</v>
      </c>
      <c r="G28" s="407">
        <f t="shared" si="27"/>
        <v>0</v>
      </c>
      <c r="I28" s="254"/>
      <c r="J28" s="254"/>
      <c r="K28" s="254"/>
      <c r="L28" s="254"/>
      <c r="M28" s="254"/>
      <c r="N28" s="254"/>
      <c r="P28" s="384" t="s">
        <v>530</v>
      </c>
      <c r="Q28" s="394">
        <f>-Q5</f>
        <v>39.814371257485028</v>
      </c>
      <c r="R28" s="394">
        <f t="shared" ref="R28:T28" si="28">-R5</f>
        <v>44.666666666666664</v>
      </c>
      <c r="S28" s="394">
        <f t="shared" si="28"/>
        <v>31.400000000000002</v>
      </c>
      <c r="T28" s="420">
        <f t="shared" si="28"/>
        <v>34.481927710843372</v>
      </c>
    </row>
    <row r="29" spans="2:20" x14ac:dyDescent="0.3">
      <c r="I29" s="254"/>
      <c r="J29" s="254"/>
      <c r="K29" s="254"/>
      <c r="L29" s="254"/>
      <c r="M29" s="254"/>
      <c r="N29" s="254"/>
      <c r="P29" s="385" t="s">
        <v>531</v>
      </c>
      <c r="Q29" s="397">
        <f>Q23+Q26+Q27+Q28</f>
        <v>-22.000000000000021</v>
      </c>
      <c r="R29" s="397">
        <f t="shared" ref="R29:T29" si="29">R23+R26+R27+R28</f>
        <v>846.99999999999989</v>
      </c>
      <c r="S29" s="397">
        <f t="shared" si="29"/>
        <v>-232.99999999999997</v>
      </c>
      <c r="T29" s="427">
        <f t="shared" si="29"/>
        <v>71</v>
      </c>
    </row>
    <row r="30" spans="2:20" x14ac:dyDescent="0.3">
      <c r="I30" s="254"/>
      <c r="J30" s="254"/>
      <c r="K30" s="254"/>
      <c r="L30" s="254"/>
      <c r="M30" s="254"/>
      <c r="N30" s="254"/>
      <c r="P30" s="424" t="s">
        <v>385</v>
      </c>
      <c r="Q30" s="425">
        <f>Q29/Q3</f>
        <v>-4.9661399548532777E-2</v>
      </c>
      <c r="R30" s="425">
        <f t="shared" ref="R30:T30" si="30">R29/R3</f>
        <v>1.192957746478873</v>
      </c>
      <c r="S30" s="425">
        <f t="shared" si="30"/>
        <v>-0.39625850340136048</v>
      </c>
      <c r="T30" s="426">
        <f t="shared" si="30"/>
        <v>0.10334788937409024</v>
      </c>
    </row>
    <row r="31" spans="2:20" x14ac:dyDescent="0.3">
      <c r="P31" s="383"/>
      <c r="Q31" s="386"/>
      <c r="R31" s="386"/>
      <c r="S31" s="386"/>
      <c r="T31" s="391"/>
    </row>
    <row r="32" spans="2:20" x14ac:dyDescent="0.3">
      <c r="P32" s="384" t="s">
        <v>390</v>
      </c>
      <c r="Q32" s="388">
        <f>C22-D22-K19</f>
        <v>-212</v>
      </c>
      <c r="R32" s="388">
        <f t="shared" ref="R32:T32" si="31">D22-E22-L19</f>
        <v>-558</v>
      </c>
      <c r="S32" s="388">
        <f t="shared" si="31"/>
        <v>166</v>
      </c>
      <c r="T32" s="393">
        <f t="shared" si="31"/>
        <v>-261</v>
      </c>
    </row>
    <row r="33" spans="2:22" x14ac:dyDescent="0.3">
      <c r="P33" s="385" t="s">
        <v>532</v>
      </c>
      <c r="Q33" s="398">
        <f>Q29+Q32</f>
        <v>-234.00000000000003</v>
      </c>
      <c r="R33" s="398">
        <f t="shared" ref="R33:T33" si="32">R29+R32</f>
        <v>288.99999999999989</v>
      </c>
      <c r="S33" s="398">
        <f t="shared" si="32"/>
        <v>-66.999999999999972</v>
      </c>
      <c r="T33" s="405">
        <f t="shared" si="32"/>
        <v>-190</v>
      </c>
    </row>
    <row r="34" spans="2:22" x14ac:dyDescent="0.3">
      <c r="P34" s="383"/>
      <c r="Q34" s="386"/>
      <c r="R34" s="386"/>
      <c r="S34" s="386"/>
      <c r="T34" s="391"/>
    </row>
    <row r="35" spans="2:22" x14ac:dyDescent="0.3">
      <c r="P35" s="385" t="s">
        <v>533</v>
      </c>
      <c r="Q35" s="387">
        <f>D25-C25</f>
        <v>-234</v>
      </c>
      <c r="R35" s="387">
        <f t="shared" ref="R35:T35" si="33">E25-D25</f>
        <v>289</v>
      </c>
      <c r="S35" s="387">
        <f t="shared" si="33"/>
        <v>-67</v>
      </c>
      <c r="T35" s="404">
        <f t="shared" si="33"/>
        <v>-190</v>
      </c>
    </row>
    <row r="36" spans="2:22" x14ac:dyDescent="0.3">
      <c r="P36" s="267"/>
      <c r="Q36" s="55"/>
      <c r="R36" s="55"/>
      <c r="S36" s="55"/>
      <c r="T36" s="300"/>
      <c r="U36" s="254"/>
      <c r="V36" s="254"/>
    </row>
    <row r="37" spans="2:22" ht="15" thickBot="1" x14ac:dyDescent="0.35">
      <c r="P37" s="401" t="s">
        <v>538</v>
      </c>
      <c r="Q37" s="440">
        <f>Q33-Q35</f>
        <v>0</v>
      </c>
      <c r="R37" s="440">
        <f t="shared" ref="R37:T37" si="34">R33-R35</f>
        <v>0</v>
      </c>
      <c r="S37" s="440">
        <f t="shared" si="34"/>
        <v>0</v>
      </c>
      <c r="T37" s="440">
        <f t="shared" si="34"/>
        <v>0</v>
      </c>
      <c r="U37" s="254"/>
      <c r="V37" s="254"/>
    </row>
    <row r="38" spans="2:22" x14ac:dyDescent="0.3">
      <c r="P38" s="254"/>
      <c r="Q38" s="254"/>
      <c r="R38" s="254"/>
      <c r="S38" s="254"/>
      <c r="T38" s="254"/>
      <c r="U38" s="254"/>
      <c r="V38" s="254"/>
    </row>
    <row r="39" spans="2:22" ht="15" thickBot="1" x14ac:dyDescent="0.35">
      <c r="U39" s="254"/>
      <c r="V39" s="254"/>
    </row>
    <row r="40" spans="2:22" ht="15" thickBot="1" x14ac:dyDescent="0.35">
      <c r="B40" s="409" t="s">
        <v>534</v>
      </c>
      <c r="C40" s="410">
        <v>42461</v>
      </c>
      <c r="D40" s="410">
        <v>42826</v>
      </c>
      <c r="E40" s="410">
        <v>43191</v>
      </c>
      <c r="F40" s="410">
        <v>43556</v>
      </c>
      <c r="G40" s="410">
        <v>43922</v>
      </c>
      <c r="I40" s="409" t="s">
        <v>535</v>
      </c>
      <c r="J40" s="410" t="s">
        <v>536</v>
      </c>
      <c r="K40" s="410" t="s">
        <v>474</v>
      </c>
      <c r="L40" s="410" t="s">
        <v>475</v>
      </c>
      <c r="M40" s="410" t="s">
        <v>476</v>
      </c>
      <c r="N40" s="410" t="s">
        <v>477</v>
      </c>
      <c r="P40" s="434" t="s">
        <v>537</v>
      </c>
      <c r="Q40" s="410" t="s">
        <v>474</v>
      </c>
      <c r="R40" s="410" t="s">
        <v>475</v>
      </c>
      <c r="S40" s="410" t="s">
        <v>476</v>
      </c>
      <c r="T40" s="410" t="s">
        <v>477</v>
      </c>
      <c r="U40" s="431"/>
      <c r="V40" s="254"/>
    </row>
    <row r="41" spans="2:22" x14ac:dyDescent="0.3">
      <c r="B41" s="383" t="s">
        <v>491</v>
      </c>
      <c r="C41" s="386">
        <v>5022</v>
      </c>
      <c r="D41" s="386">
        <v>5026</v>
      </c>
      <c r="E41" s="386">
        <v>4592</v>
      </c>
      <c r="F41" s="386">
        <v>4703</v>
      </c>
      <c r="G41" s="391">
        <v>4917</v>
      </c>
      <c r="I41" s="414" t="s">
        <v>509</v>
      </c>
      <c r="J41" s="415">
        <v>4829</v>
      </c>
      <c r="K41" s="415">
        <v>5050</v>
      </c>
      <c r="L41" s="415">
        <v>5986</v>
      </c>
      <c r="M41" s="415">
        <v>6801</v>
      </c>
      <c r="N41" s="416">
        <v>6921</v>
      </c>
      <c r="P41" s="414" t="s">
        <v>303</v>
      </c>
      <c r="Q41" s="415">
        <f>K49</f>
        <v>447</v>
      </c>
      <c r="R41" s="415">
        <f t="shared" ref="R41:T41" si="35">L49</f>
        <v>714</v>
      </c>
      <c r="S41" s="415">
        <f t="shared" si="35"/>
        <v>507</v>
      </c>
      <c r="T41" s="416">
        <f t="shared" si="35"/>
        <v>686</v>
      </c>
      <c r="U41" s="254"/>
      <c r="V41" s="254"/>
    </row>
    <row r="42" spans="2:22" x14ac:dyDescent="0.3">
      <c r="B42" s="383" t="s">
        <v>492</v>
      </c>
      <c r="C42" s="386">
        <v>1360</v>
      </c>
      <c r="D42" s="386">
        <v>1756</v>
      </c>
      <c r="E42" s="386">
        <v>1902</v>
      </c>
      <c r="F42" s="386">
        <v>2344</v>
      </c>
      <c r="G42" s="391">
        <v>2429</v>
      </c>
      <c r="I42" s="383"/>
      <c r="J42" s="386"/>
      <c r="K42" s="386"/>
      <c r="L42" s="386"/>
      <c r="M42" s="386"/>
      <c r="N42" s="391"/>
      <c r="P42" s="383" t="s">
        <v>517</v>
      </c>
      <c r="Q42" s="386">
        <f>K54</f>
        <v>-127</v>
      </c>
      <c r="R42" s="386">
        <f t="shared" ref="R42:T42" si="36">L54</f>
        <v>-197</v>
      </c>
      <c r="S42" s="386">
        <f t="shared" si="36"/>
        <v>-133</v>
      </c>
      <c r="T42" s="391">
        <f t="shared" si="36"/>
        <v>-188</v>
      </c>
      <c r="U42" s="254"/>
      <c r="V42" s="254"/>
    </row>
    <row r="43" spans="2:22" x14ac:dyDescent="0.3">
      <c r="B43" s="384" t="s">
        <v>493</v>
      </c>
      <c r="C43" s="388">
        <v>146</v>
      </c>
      <c r="D43" s="388">
        <v>140</v>
      </c>
      <c r="E43" s="388">
        <v>105</v>
      </c>
      <c r="F43" s="388">
        <v>44</v>
      </c>
      <c r="G43" s="393">
        <v>95</v>
      </c>
      <c r="I43" s="383" t="s">
        <v>510</v>
      </c>
      <c r="J43" s="386">
        <v>-3176</v>
      </c>
      <c r="K43" s="386">
        <v>-3272</v>
      </c>
      <c r="L43" s="386">
        <v>-4132</v>
      </c>
      <c r="M43" s="386">
        <v>-4964</v>
      </c>
      <c r="N43" s="391">
        <v>-4981</v>
      </c>
      <c r="P43" s="384" t="s">
        <v>518</v>
      </c>
      <c r="Q43" s="394">
        <f>-K51*(K54/K52)</f>
        <v>-42.967065868263475</v>
      </c>
      <c r="R43" s="394">
        <f t="shared" ref="R43:T43" si="37">-L51*(L54/L52)</f>
        <v>-47.197916666666664</v>
      </c>
      <c r="S43" s="394">
        <f t="shared" si="37"/>
        <v>-29.876811594202898</v>
      </c>
      <c r="T43" s="420">
        <f t="shared" si="37"/>
        <v>-32.081911262798634</v>
      </c>
      <c r="U43" s="254"/>
      <c r="V43" s="254"/>
    </row>
    <row r="44" spans="2:22" x14ac:dyDescent="0.3">
      <c r="B44" s="385" t="s">
        <v>494</v>
      </c>
      <c r="C44" s="387">
        <f>C41+C42+C43</f>
        <v>6528</v>
      </c>
      <c r="D44" s="387">
        <f t="shared" ref="D44:G44" si="38">D41+D42+D43</f>
        <v>6922</v>
      </c>
      <c r="E44" s="387">
        <f t="shared" si="38"/>
        <v>6599</v>
      </c>
      <c r="F44" s="387">
        <f t="shared" si="38"/>
        <v>7091</v>
      </c>
      <c r="G44" s="404">
        <f t="shared" si="38"/>
        <v>7441</v>
      </c>
      <c r="I44" s="384" t="s">
        <v>511</v>
      </c>
      <c r="J44" s="388">
        <v>-634</v>
      </c>
      <c r="K44" s="388">
        <v>-601</v>
      </c>
      <c r="L44" s="388">
        <v>-640</v>
      </c>
      <c r="M44" s="388">
        <v>-677</v>
      </c>
      <c r="N44" s="393">
        <v>-703</v>
      </c>
      <c r="P44" s="385" t="s">
        <v>375</v>
      </c>
      <c r="Q44" s="421">
        <f>Q41+Q42+Q43</f>
        <v>277.03293413173651</v>
      </c>
      <c r="R44" s="421">
        <f t="shared" ref="R44:T44" si="39">R41+R42+R43</f>
        <v>469.80208333333331</v>
      </c>
      <c r="S44" s="421">
        <f t="shared" si="39"/>
        <v>344.12318840579712</v>
      </c>
      <c r="T44" s="422">
        <f t="shared" si="39"/>
        <v>465.91808873720134</v>
      </c>
    </row>
    <row r="45" spans="2:22" x14ac:dyDescent="0.3">
      <c r="B45" s="383"/>
      <c r="C45" s="386"/>
      <c r="D45" s="386"/>
      <c r="E45" s="386"/>
      <c r="F45" s="386"/>
      <c r="G45" s="391"/>
      <c r="I45" s="385" t="s">
        <v>512</v>
      </c>
      <c r="J45" s="387">
        <f>J41+J43+J44</f>
        <v>1019</v>
      </c>
      <c r="K45" s="387">
        <f t="shared" ref="K45:N45" si="40">K41+K43+K44</f>
        <v>1177</v>
      </c>
      <c r="L45" s="387">
        <f t="shared" si="40"/>
        <v>1214</v>
      </c>
      <c r="M45" s="387">
        <f t="shared" si="40"/>
        <v>1160</v>
      </c>
      <c r="N45" s="404">
        <f t="shared" si="40"/>
        <v>1237</v>
      </c>
      <c r="P45" s="383"/>
      <c r="Q45" s="386"/>
      <c r="R45" s="386"/>
      <c r="S45" s="386"/>
      <c r="T45" s="391"/>
    </row>
    <row r="46" spans="2:22" x14ac:dyDescent="0.3">
      <c r="B46" s="383" t="s">
        <v>495</v>
      </c>
      <c r="C46" s="386">
        <v>98</v>
      </c>
      <c r="D46" s="386">
        <v>118</v>
      </c>
      <c r="E46" s="386">
        <v>80</v>
      </c>
      <c r="F46" s="386">
        <v>119</v>
      </c>
      <c r="G46" s="391">
        <v>104</v>
      </c>
      <c r="I46" s="383"/>
      <c r="J46" s="386"/>
      <c r="K46" s="386"/>
      <c r="L46" s="386"/>
      <c r="M46" s="386"/>
      <c r="N46" s="391"/>
      <c r="P46" s="383" t="s">
        <v>397</v>
      </c>
      <c r="Q46" s="386">
        <f>C46-D46</f>
        <v>-20</v>
      </c>
      <c r="R46" s="386">
        <f t="shared" ref="R46:T48" si="41">D46-E46</f>
        <v>38</v>
      </c>
      <c r="S46" s="386">
        <f t="shared" si="41"/>
        <v>-39</v>
      </c>
      <c r="T46" s="391">
        <f t="shared" si="41"/>
        <v>15</v>
      </c>
    </row>
    <row r="47" spans="2:22" x14ac:dyDescent="0.3">
      <c r="B47" s="383" t="s">
        <v>345</v>
      </c>
      <c r="C47" s="386">
        <v>1547</v>
      </c>
      <c r="D47" s="386">
        <v>1878</v>
      </c>
      <c r="E47" s="386">
        <v>1826</v>
      </c>
      <c r="F47" s="386">
        <v>2077</v>
      </c>
      <c r="G47" s="391">
        <v>2056</v>
      </c>
      <c r="I47" s="383" t="s">
        <v>513</v>
      </c>
      <c r="J47" s="386">
        <f>-(844-79)</f>
        <v>-765</v>
      </c>
      <c r="K47" s="386">
        <f>-(730-71)</f>
        <v>-659</v>
      </c>
      <c r="L47" s="386">
        <f>-(500-45)</f>
        <v>-455</v>
      </c>
      <c r="M47" s="386">
        <f>-(653-20)</f>
        <v>-633</v>
      </c>
      <c r="N47" s="391">
        <v>-515</v>
      </c>
      <c r="P47" s="383" t="s">
        <v>519</v>
      </c>
      <c r="Q47" s="386">
        <f>C47-D47</f>
        <v>-331</v>
      </c>
      <c r="R47" s="386">
        <f t="shared" si="41"/>
        <v>52</v>
      </c>
      <c r="S47" s="386">
        <f t="shared" si="41"/>
        <v>-251</v>
      </c>
      <c r="T47" s="391">
        <f t="shared" si="41"/>
        <v>21</v>
      </c>
    </row>
    <row r="48" spans="2:22" x14ac:dyDescent="0.3">
      <c r="B48" s="384" t="s">
        <v>496</v>
      </c>
      <c r="C48" s="388">
        <v>-1012</v>
      </c>
      <c r="D48" s="388">
        <v>-1151</v>
      </c>
      <c r="E48" s="388">
        <v>-1150</v>
      </c>
      <c r="F48" s="388">
        <v>-1321</v>
      </c>
      <c r="G48" s="393">
        <v>-1323</v>
      </c>
      <c r="I48" s="384" t="s">
        <v>514</v>
      </c>
      <c r="J48" s="388">
        <v>-79</v>
      </c>
      <c r="K48" s="388">
        <v>-71</v>
      </c>
      <c r="L48" s="388">
        <v>-45</v>
      </c>
      <c r="M48" s="388">
        <v>-20</v>
      </c>
      <c r="N48" s="393">
        <f>-(551-515)</f>
        <v>-36</v>
      </c>
      <c r="P48" s="384" t="s">
        <v>520</v>
      </c>
      <c r="Q48" s="388">
        <f>C48-D48</f>
        <v>139</v>
      </c>
      <c r="R48" s="388">
        <f t="shared" si="41"/>
        <v>-1</v>
      </c>
      <c r="S48" s="388">
        <f t="shared" si="41"/>
        <v>171</v>
      </c>
      <c r="T48" s="393">
        <f t="shared" si="41"/>
        <v>2</v>
      </c>
    </row>
    <row r="49" spans="2:20" x14ac:dyDescent="0.3">
      <c r="B49" s="385" t="s">
        <v>497</v>
      </c>
      <c r="C49" s="387">
        <f>C46+C48+C47</f>
        <v>633</v>
      </c>
      <c r="D49" s="387">
        <f t="shared" ref="D49:G49" si="42">D46+D48+D47</f>
        <v>845</v>
      </c>
      <c r="E49" s="387">
        <f t="shared" si="42"/>
        <v>756</v>
      </c>
      <c r="F49" s="387">
        <f t="shared" si="42"/>
        <v>875</v>
      </c>
      <c r="G49" s="404">
        <f t="shared" si="42"/>
        <v>837</v>
      </c>
      <c r="I49" s="385" t="s">
        <v>303</v>
      </c>
      <c r="J49" s="387">
        <f>J45+J47+J48</f>
        <v>175</v>
      </c>
      <c r="K49" s="387">
        <f t="shared" ref="K49:N49" si="43">K45+K47+K48</f>
        <v>447</v>
      </c>
      <c r="L49" s="387">
        <f t="shared" si="43"/>
        <v>714</v>
      </c>
      <c r="M49" s="387">
        <f t="shared" si="43"/>
        <v>507</v>
      </c>
      <c r="N49" s="404">
        <f t="shared" si="43"/>
        <v>686</v>
      </c>
      <c r="P49" s="385" t="s">
        <v>521</v>
      </c>
      <c r="Q49" s="387">
        <f>Q46+Q47+Q48</f>
        <v>-212</v>
      </c>
      <c r="R49" s="387">
        <f t="shared" ref="R49:T49" si="44">R46+R47+R48</f>
        <v>89</v>
      </c>
      <c r="S49" s="387">
        <f t="shared" si="44"/>
        <v>-119</v>
      </c>
      <c r="T49" s="404">
        <f t="shared" si="44"/>
        <v>38</v>
      </c>
    </row>
    <row r="50" spans="2:20" x14ac:dyDescent="0.3">
      <c r="B50" s="383"/>
      <c r="C50" s="386"/>
      <c r="D50" s="386"/>
      <c r="E50" s="386"/>
      <c r="F50" s="386"/>
      <c r="G50" s="391"/>
      <c r="I50" s="383"/>
      <c r="J50" s="386"/>
      <c r="K50" s="386"/>
      <c r="L50" s="386"/>
      <c r="M50" s="386"/>
      <c r="N50" s="391"/>
      <c r="P50" s="383"/>
      <c r="Q50" s="386"/>
      <c r="R50" s="386"/>
      <c r="S50" s="386"/>
      <c r="T50" s="391"/>
    </row>
    <row r="51" spans="2:20" x14ac:dyDescent="0.3">
      <c r="B51" s="383" t="s">
        <v>498</v>
      </c>
      <c r="C51" s="386">
        <v>645</v>
      </c>
      <c r="D51" s="386">
        <v>542</v>
      </c>
      <c r="E51" s="386">
        <v>509</v>
      </c>
      <c r="F51" s="386">
        <v>583</v>
      </c>
      <c r="G51" s="391">
        <v>1038</v>
      </c>
      <c r="I51" s="384" t="s">
        <v>386</v>
      </c>
      <c r="J51" s="388">
        <v>-141</v>
      </c>
      <c r="K51" s="388">
        <v>-113</v>
      </c>
      <c r="L51" s="388">
        <v>-138</v>
      </c>
      <c r="M51" s="388">
        <v>-93</v>
      </c>
      <c r="N51" s="393">
        <v>-100</v>
      </c>
      <c r="P51" s="383" t="s">
        <v>377</v>
      </c>
      <c r="Q51" s="386">
        <f>C51-D51</f>
        <v>103</v>
      </c>
      <c r="R51" s="386">
        <f t="shared" ref="R51:T52" si="45">D51-E51</f>
        <v>33</v>
      </c>
      <c r="S51" s="386">
        <f t="shared" si="45"/>
        <v>-74</v>
      </c>
      <c r="T51" s="391">
        <f t="shared" si="45"/>
        <v>-455</v>
      </c>
    </row>
    <row r="52" spans="2:20" x14ac:dyDescent="0.3">
      <c r="B52" s="384" t="s">
        <v>368</v>
      </c>
      <c r="C52" s="388">
        <v>-887</v>
      </c>
      <c r="D52" s="388">
        <v>-895</v>
      </c>
      <c r="E52" s="388">
        <v>-827</v>
      </c>
      <c r="F52" s="388">
        <v>-1124</v>
      </c>
      <c r="G52" s="393">
        <v>-1559</v>
      </c>
      <c r="I52" s="385" t="s">
        <v>304</v>
      </c>
      <c r="J52" s="387">
        <f>J49+J51</f>
        <v>34</v>
      </c>
      <c r="K52" s="387">
        <f t="shared" ref="K52:N52" si="46">K49+K51</f>
        <v>334</v>
      </c>
      <c r="L52" s="387">
        <f t="shared" si="46"/>
        <v>576</v>
      </c>
      <c r="M52" s="387">
        <f t="shared" si="46"/>
        <v>414</v>
      </c>
      <c r="N52" s="404">
        <f t="shared" si="46"/>
        <v>586</v>
      </c>
      <c r="P52" s="384" t="s">
        <v>522</v>
      </c>
      <c r="Q52" s="388">
        <f>C52-D52</f>
        <v>8</v>
      </c>
      <c r="R52" s="388">
        <f t="shared" si="45"/>
        <v>-68</v>
      </c>
      <c r="S52" s="388">
        <f t="shared" si="45"/>
        <v>297</v>
      </c>
      <c r="T52" s="393">
        <f t="shared" si="45"/>
        <v>435</v>
      </c>
    </row>
    <row r="53" spans="2:20" x14ac:dyDescent="0.3">
      <c r="B53" s="385" t="s">
        <v>499</v>
      </c>
      <c r="C53" s="387">
        <f>C49+C51+C52</f>
        <v>391</v>
      </c>
      <c r="D53" s="387">
        <f t="shared" ref="D53:G53" si="47">D49+D51+D52</f>
        <v>492</v>
      </c>
      <c r="E53" s="387">
        <f t="shared" si="47"/>
        <v>438</v>
      </c>
      <c r="F53" s="387">
        <f t="shared" si="47"/>
        <v>334</v>
      </c>
      <c r="G53" s="404">
        <f t="shared" si="47"/>
        <v>316</v>
      </c>
      <c r="I53" s="383"/>
      <c r="J53" s="386"/>
      <c r="K53" s="386"/>
      <c r="L53" s="386"/>
      <c r="M53" s="386"/>
      <c r="N53" s="391"/>
      <c r="P53" s="385" t="s">
        <v>523</v>
      </c>
      <c r="Q53" s="387">
        <f>Q49+Q51+Q52</f>
        <v>-101</v>
      </c>
      <c r="R53" s="387">
        <f t="shared" ref="R53:T53" si="48">R49+R51+R52</f>
        <v>54</v>
      </c>
      <c r="S53" s="387">
        <f t="shared" si="48"/>
        <v>104</v>
      </c>
      <c r="T53" s="404">
        <f t="shared" si="48"/>
        <v>18</v>
      </c>
    </row>
    <row r="54" spans="2:20" x14ac:dyDescent="0.3">
      <c r="B54" s="383"/>
      <c r="C54" s="386"/>
      <c r="D54" s="386"/>
      <c r="E54" s="386"/>
      <c r="F54" s="386"/>
      <c r="G54" s="391"/>
      <c r="I54" s="383" t="s">
        <v>480</v>
      </c>
      <c r="J54" s="386">
        <v>-138</v>
      </c>
      <c r="K54" s="386">
        <v>-127</v>
      </c>
      <c r="L54" s="386">
        <v>-197</v>
      </c>
      <c r="M54" s="386">
        <v>-133</v>
      </c>
      <c r="N54" s="391">
        <v>-188</v>
      </c>
      <c r="P54" s="383"/>
      <c r="Q54" s="386"/>
      <c r="R54" s="386"/>
      <c r="S54" s="386"/>
      <c r="T54" s="391"/>
    </row>
    <row r="55" spans="2:20" x14ac:dyDescent="0.3">
      <c r="B55" s="383" t="s">
        <v>500</v>
      </c>
      <c r="C55" s="386">
        <v>305</v>
      </c>
      <c r="D55" s="386">
        <v>357</v>
      </c>
      <c r="E55" s="386">
        <v>295</v>
      </c>
      <c r="F55" s="386">
        <v>274</v>
      </c>
      <c r="G55" s="391">
        <v>286</v>
      </c>
      <c r="I55" s="383" t="s">
        <v>515</v>
      </c>
      <c r="J55" s="386">
        <v>-2</v>
      </c>
      <c r="K55" s="386">
        <v>17</v>
      </c>
      <c r="L55" s="386">
        <v>-87</v>
      </c>
      <c r="M55" s="386">
        <v>19</v>
      </c>
      <c r="N55" s="391">
        <v>1</v>
      </c>
      <c r="P55" s="383" t="s">
        <v>524</v>
      </c>
      <c r="Q55" s="386">
        <f>C41+C42-D41-D42+K47</f>
        <v>-1059</v>
      </c>
      <c r="R55" s="386">
        <f t="shared" ref="R55:T55" si="49">D41+D42-E41-E42+L47</f>
        <v>-167</v>
      </c>
      <c r="S55" s="386">
        <f t="shared" si="49"/>
        <v>-1186</v>
      </c>
      <c r="T55" s="391">
        <f t="shared" si="49"/>
        <v>-814</v>
      </c>
    </row>
    <row r="56" spans="2:20" x14ac:dyDescent="0.3">
      <c r="B56" s="383" t="s">
        <v>501</v>
      </c>
      <c r="C56" s="386">
        <v>-327</v>
      </c>
      <c r="D56" s="386">
        <v>-359</v>
      </c>
      <c r="E56" s="386">
        <v>-315</v>
      </c>
      <c r="F56" s="386">
        <v>-311</v>
      </c>
      <c r="G56" s="391">
        <v>-300</v>
      </c>
      <c r="I56" s="384" t="s">
        <v>482</v>
      </c>
      <c r="J56" s="388">
        <v>130</v>
      </c>
      <c r="K56" s="388">
        <v>1</v>
      </c>
      <c r="L56" s="388">
        <v>-6</v>
      </c>
      <c r="M56" s="388">
        <v>-16</v>
      </c>
      <c r="N56" s="393">
        <v>-2</v>
      </c>
      <c r="P56" s="383" t="s">
        <v>525</v>
      </c>
      <c r="Q56" s="386">
        <f>-K47</f>
        <v>659</v>
      </c>
      <c r="R56" s="386">
        <f t="shared" ref="R56:T56" si="50">-L47</f>
        <v>455</v>
      </c>
      <c r="S56" s="386">
        <f t="shared" si="50"/>
        <v>633</v>
      </c>
      <c r="T56" s="391">
        <f t="shared" si="50"/>
        <v>515</v>
      </c>
    </row>
    <row r="57" spans="2:20" ht="15" thickBot="1" x14ac:dyDescent="0.35">
      <c r="B57" s="384" t="s">
        <v>502</v>
      </c>
      <c r="C57" s="388">
        <v>-604</v>
      </c>
      <c r="D57" s="388">
        <v>-666</v>
      </c>
      <c r="E57" s="388">
        <v>-626</v>
      </c>
      <c r="F57" s="388">
        <v>-637</v>
      </c>
      <c r="G57" s="393">
        <v>-668</v>
      </c>
      <c r="I57" s="428" t="s">
        <v>516</v>
      </c>
      <c r="J57" s="429">
        <f>J52+J54+J55+J56</f>
        <v>24</v>
      </c>
      <c r="K57" s="429">
        <f t="shared" ref="K57:N57" si="51">K52+K54+K55+K56</f>
        <v>225</v>
      </c>
      <c r="L57" s="429">
        <f t="shared" si="51"/>
        <v>286</v>
      </c>
      <c r="M57" s="429">
        <f t="shared" si="51"/>
        <v>284</v>
      </c>
      <c r="N57" s="430">
        <f t="shared" si="51"/>
        <v>397</v>
      </c>
      <c r="P57" s="383" t="s">
        <v>381</v>
      </c>
      <c r="Q57" s="386">
        <f>C57-D57</f>
        <v>62</v>
      </c>
      <c r="R57" s="386">
        <f t="shared" ref="R57:T57" si="52">D57-E57</f>
        <v>-40</v>
      </c>
      <c r="S57" s="386">
        <f t="shared" si="52"/>
        <v>11</v>
      </c>
      <c r="T57" s="391">
        <f t="shared" si="52"/>
        <v>31</v>
      </c>
    </row>
    <row r="58" spans="2:20" x14ac:dyDescent="0.3">
      <c r="B58" s="385" t="s">
        <v>503</v>
      </c>
      <c r="C58" s="387">
        <f>C44+C53+C55+C56+C57</f>
        <v>6293</v>
      </c>
      <c r="D58" s="387">
        <f t="shared" ref="D58:G58" si="53">D44+D53+D55+D56+D57</f>
        <v>6746</v>
      </c>
      <c r="E58" s="387">
        <f t="shared" si="53"/>
        <v>6391</v>
      </c>
      <c r="F58" s="387">
        <f t="shared" si="53"/>
        <v>6751</v>
      </c>
      <c r="G58" s="404">
        <f t="shared" si="53"/>
        <v>7075</v>
      </c>
      <c r="P58" s="383" t="s">
        <v>526</v>
      </c>
      <c r="Q58" s="386">
        <f>C56-D56</f>
        <v>32</v>
      </c>
      <c r="R58" s="386">
        <f t="shared" ref="R58:T58" si="54">D56-E56</f>
        <v>-44</v>
      </c>
      <c r="S58" s="386">
        <f t="shared" si="54"/>
        <v>-4</v>
      </c>
      <c r="T58" s="391">
        <f t="shared" si="54"/>
        <v>-11</v>
      </c>
    </row>
    <row r="59" spans="2:20" x14ac:dyDescent="0.3">
      <c r="B59" s="383"/>
      <c r="C59" s="386"/>
      <c r="D59" s="386"/>
      <c r="E59" s="386"/>
      <c r="F59" s="386"/>
      <c r="G59" s="391"/>
      <c r="P59" s="383" t="s">
        <v>527</v>
      </c>
      <c r="Q59" s="386">
        <f>C55-D55</f>
        <v>-52</v>
      </c>
      <c r="R59" s="386">
        <f t="shared" ref="R59:T59" si="55">D55-E55</f>
        <v>62</v>
      </c>
      <c r="S59" s="386">
        <f t="shared" si="55"/>
        <v>21</v>
      </c>
      <c r="T59" s="391">
        <f t="shared" si="55"/>
        <v>-12</v>
      </c>
    </row>
    <row r="60" spans="2:20" x14ac:dyDescent="0.3">
      <c r="B60" s="385" t="s">
        <v>365</v>
      </c>
      <c r="C60" s="387">
        <v>-3132</v>
      </c>
      <c r="D60" s="387">
        <v>-3462</v>
      </c>
      <c r="E60" s="387">
        <v>-3191</v>
      </c>
      <c r="F60" s="387">
        <v>-3614</v>
      </c>
      <c r="G60" s="404">
        <v>-3746</v>
      </c>
      <c r="P60" s="384" t="s">
        <v>383</v>
      </c>
      <c r="Q60" s="388">
        <f>K55+K56</f>
        <v>18</v>
      </c>
      <c r="R60" s="388">
        <f t="shared" ref="R60:T60" si="56">L55+L56</f>
        <v>-93</v>
      </c>
      <c r="S60" s="388">
        <f t="shared" si="56"/>
        <v>3</v>
      </c>
      <c r="T60" s="393">
        <f t="shared" si="56"/>
        <v>-1</v>
      </c>
    </row>
    <row r="61" spans="2:20" x14ac:dyDescent="0.3">
      <c r="B61" s="383"/>
      <c r="C61" s="386"/>
      <c r="D61" s="386"/>
      <c r="E61" s="386"/>
      <c r="F61" s="386"/>
      <c r="G61" s="391"/>
      <c r="P61" s="385" t="s">
        <v>384</v>
      </c>
      <c r="Q61" s="421">
        <f>Q44+Q53+SUM(Q55:Q60)</f>
        <v>-163.96706586826349</v>
      </c>
      <c r="R61" s="421">
        <f t="shared" ref="R61:T61" si="57">R44+R53+SUM(R55:R60)</f>
        <v>696.80208333333326</v>
      </c>
      <c r="S61" s="421">
        <f t="shared" si="57"/>
        <v>-73.876811594202877</v>
      </c>
      <c r="T61" s="422">
        <f t="shared" si="57"/>
        <v>191.91808873720134</v>
      </c>
    </row>
    <row r="62" spans="2:20" x14ac:dyDescent="0.3">
      <c r="B62" s="383" t="s">
        <v>504</v>
      </c>
      <c r="C62" s="386">
        <v>-3720</v>
      </c>
      <c r="D62" s="386">
        <v>-3973</v>
      </c>
      <c r="E62" s="386">
        <v>-3926</v>
      </c>
      <c r="F62" s="386">
        <v>-3741</v>
      </c>
      <c r="G62" s="391">
        <v>-3636</v>
      </c>
      <c r="P62" s="424" t="s">
        <v>385</v>
      </c>
      <c r="Q62" s="425">
        <f>Q61/Q41</f>
        <v>-0.36681670216613754</v>
      </c>
      <c r="R62" s="425">
        <f t="shared" ref="R62:T62" si="58">R61/R41</f>
        <v>0.97591328197945837</v>
      </c>
      <c r="S62" s="425">
        <f t="shared" si="58"/>
        <v>-0.14571363233570586</v>
      </c>
      <c r="T62" s="426">
        <f t="shared" si="58"/>
        <v>0.27976397775102235</v>
      </c>
    </row>
    <row r="63" spans="2:20" x14ac:dyDescent="0.3">
      <c r="B63" s="384" t="s">
        <v>505</v>
      </c>
      <c r="C63" s="388">
        <v>559</v>
      </c>
      <c r="D63" s="388">
        <v>689</v>
      </c>
      <c r="E63" s="388">
        <v>726</v>
      </c>
      <c r="F63" s="388">
        <v>604</v>
      </c>
      <c r="G63" s="393">
        <v>307</v>
      </c>
      <c r="P63" s="383"/>
      <c r="Q63" s="386"/>
      <c r="R63" s="386"/>
      <c r="S63" s="386"/>
      <c r="T63" s="391"/>
    </row>
    <row r="64" spans="2:20" x14ac:dyDescent="0.3">
      <c r="B64" s="390" t="s">
        <v>506</v>
      </c>
      <c r="C64" s="400">
        <f>C62+C63</f>
        <v>-3161</v>
      </c>
      <c r="D64" s="400">
        <f t="shared" ref="D64:G64" si="59">D62+D63</f>
        <v>-3284</v>
      </c>
      <c r="E64" s="400">
        <f t="shared" si="59"/>
        <v>-3200</v>
      </c>
      <c r="F64" s="400">
        <f t="shared" si="59"/>
        <v>-3137</v>
      </c>
      <c r="G64" s="406">
        <f t="shared" si="59"/>
        <v>-3329</v>
      </c>
      <c r="P64" s="383" t="s">
        <v>528</v>
      </c>
      <c r="Q64" s="386">
        <f>C43-D43+K51</f>
        <v>-107</v>
      </c>
      <c r="R64" s="386">
        <f t="shared" ref="R64:T64" si="60">D43-E43+L51</f>
        <v>-103</v>
      </c>
      <c r="S64" s="386">
        <f t="shared" si="60"/>
        <v>-32</v>
      </c>
      <c r="T64" s="391">
        <f t="shared" si="60"/>
        <v>-151</v>
      </c>
    </row>
    <row r="65" spans="2:20" x14ac:dyDescent="0.3">
      <c r="B65" s="385" t="s">
        <v>507</v>
      </c>
      <c r="C65" s="387">
        <f>C60+C64</f>
        <v>-6293</v>
      </c>
      <c r="D65" s="387">
        <f t="shared" ref="D65:G65" si="61">D60+D64</f>
        <v>-6746</v>
      </c>
      <c r="E65" s="387">
        <f t="shared" si="61"/>
        <v>-6391</v>
      </c>
      <c r="F65" s="387">
        <f t="shared" si="61"/>
        <v>-6751</v>
      </c>
      <c r="G65" s="404">
        <f t="shared" si="61"/>
        <v>-7075</v>
      </c>
      <c r="P65" s="383" t="s">
        <v>529</v>
      </c>
      <c r="Q65" s="386">
        <f>C62-D62</f>
        <v>253</v>
      </c>
      <c r="R65" s="386">
        <f t="shared" ref="R65:T65" si="62">D62-E62</f>
        <v>-47</v>
      </c>
      <c r="S65" s="386">
        <f t="shared" si="62"/>
        <v>-185</v>
      </c>
      <c r="T65" s="391">
        <f t="shared" si="62"/>
        <v>-105</v>
      </c>
    </row>
    <row r="66" spans="2:20" ht="15" thickBot="1" x14ac:dyDescent="0.35">
      <c r="B66" s="411" t="s">
        <v>508</v>
      </c>
      <c r="C66" s="412">
        <f>C58+C65</f>
        <v>0</v>
      </c>
      <c r="D66" s="412">
        <f t="shared" ref="D66:G66" si="63">D58+D65</f>
        <v>0</v>
      </c>
      <c r="E66" s="412">
        <f t="shared" si="63"/>
        <v>0</v>
      </c>
      <c r="F66" s="412">
        <f t="shared" si="63"/>
        <v>0</v>
      </c>
      <c r="G66" s="413">
        <f t="shared" si="63"/>
        <v>0</v>
      </c>
      <c r="P66" s="384" t="s">
        <v>530</v>
      </c>
      <c r="Q66" s="394">
        <f>-Q43</f>
        <v>42.967065868263475</v>
      </c>
      <c r="R66" s="394">
        <f t="shared" ref="R66:T66" si="64">-R43</f>
        <v>47.197916666666664</v>
      </c>
      <c r="S66" s="394">
        <f t="shared" si="64"/>
        <v>29.876811594202898</v>
      </c>
      <c r="T66" s="420">
        <f t="shared" si="64"/>
        <v>32.081911262798634</v>
      </c>
    </row>
    <row r="67" spans="2:20" x14ac:dyDescent="0.3">
      <c r="P67" s="385" t="s">
        <v>531</v>
      </c>
      <c r="Q67" s="421">
        <f>Q61+Q64+Q65+Q66</f>
        <v>24.999999999999986</v>
      </c>
      <c r="R67" s="421">
        <f t="shared" ref="R67:T67" si="65">R61+R64+R65+R66</f>
        <v>593.99999999999989</v>
      </c>
      <c r="S67" s="421">
        <f t="shared" si="65"/>
        <v>-261</v>
      </c>
      <c r="T67" s="422">
        <f t="shared" si="65"/>
        <v>-32.000000000000021</v>
      </c>
    </row>
    <row r="68" spans="2:20" x14ac:dyDescent="0.3">
      <c r="P68" s="424" t="s">
        <v>385</v>
      </c>
      <c r="Q68" s="425">
        <f>Q67/Q41</f>
        <v>5.592841163310959E-2</v>
      </c>
      <c r="R68" s="425">
        <f t="shared" ref="R68:T68" si="66">R67/R41</f>
        <v>0.83193277310924352</v>
      </c>
      <c r="S68" s="425">
        <f t="shared" si="66"/>
        <v>-0.51479289940828399</v>
      </c>
      <c r="T68" s="426">
        <f t="shared" si="66"/>
        <v>-4.6647230320699742E-2</v>
      </c>
    </row>
    <row r="69" spans="2:20" x14ac:dyDescent="0.3">
      <c r="P69" s="383"/>
      <c r="Q69" s="386"/>
      <c r="R69" s="386"/>
      <c r="S69" s="386"/>
      <c r="T69" s="391"/>
    </row>
    <row r="70" spans="2:20" x14ac:dyDescent="0.3">
      <c r="P70" s="384" t="s">
        <v>390</v>
      </c>
      <c r="Q70" s="388">
        <f>C60-D60-K57</f>
        <v>105</v>
      </c>
      <c r="R70" s="388">
        <f t="shared" ref="R70:T70" si="67">D60-E60-L57</f>
        <v>-557</v>
      </c>
      <c r="S70" s="388">
        <f t="shared" si="67"/>
        <v>139</v>
      </c>
      <c r="T70" s="393">
        <f t="shared" si="67"/>
        <v>-265</v>
      </c>
    </row>
    <row r="71" spans="2:20" x14ac:dyDescent="0.3">
      <c r="P71" s="385" t="s">
        <v>532</v>
      </c>
      <c r="Q71" s="421">
        <f>Q67+Q70</f>
        <v>130</v>
      </c>
      <c r="R71" s="421">
        <f t="shared" ref="R71:T71" si="68">R67+R70</f>
        <v>36.999999999999886</v>
      </c>
      <c r="S71" s="421">
        <f t="shared" si="68"/>
        <v>-122</v>
      </c>
      <c r="T71" s="422">
        <f t="shared" si="68"/>
        <v>-297</v>
      </c>
    </row>
    <row r="72" spans="2:20" x14ac:dyDescent="0.3">
      <c r="P72" s="383"/>
      <c r="Q72" s="386"/>
      <c r="R72" s="386"/>
      <c r="S72" s="386"/>
      <c r="T72" s="391"/>
    </row>
    <row r="73" spans="2:20" x14ac:dyDescent="0.3">
      <c r="P73" s="385" t="s">
        <v>533</v>
      </c>
      <c r="Q73" s="387">
        <f>D63-C63</f>
        <v>130</v>
      </c>
      <c r="R73" s="387">
        <f t="shared" ref="R73:T73" si="69">E63-D63</f>
        <v>37</v>
      </c>
      <c r="S73" s="387">
        <f t="shared" si="69"/>
        <v>-122</v>
      </c>
      <c r="T73" s="404">
        <f t="shared" si="69"/>
        <v>-297</v>
      </c>
    </row>
    <row r="74" spans="2:20" x14ac:dyDescent="0.3">
      <c r="P74" s="267"/>
      <c r="Q74" s="55"/>
      <c r="R74" s="55"/>
      <c r="S74" s="55"/>
      <c r="T74" s="300"/>
    </row>
    <row r="75" spans="2:20" ht="15" thickBot="1" x14ac:dyDescent="0.35">
      <c r="P75" s="437" t="s">
        <v>538</v>
      </c>
      <c r="Q75" s="438">
        <f>Q71-Q73</f>
        <v>0</v>
      </c>
      <c r="R75" s="438">
        <f t="shared" ref="R75:T75" si="70">R71-R73</f>
        <v>-1.1368683772161603E-13</v>
      </c>
      <c r="S75" s="438">
        <f t="shared" si="70"/>
        <v>0</v>
      </c>
      <c r="T75" s="439">
        <f t="shared" si="70"/>
        <v>0</v>
      </c>
    </row>
  </sheetData>
  <pageMargins left="0.7" right="0.7" top="0.75" bottom="0.75" header="0.3" footer="0.3"/>
  <pageSetup paperSize="9" orientation="portrait" r:id="rId1"/>
  <ignoredErrors>
    <ignoredError sqref="C6:G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77E9-5EBC-43DF-AC77-55E4CE163A6D}">
  <dimension ref="A1:AI57"/>
  <sheetViews>
    <sheetView tabSelected="1" workbookViewId="0">
      <selection activeCell="Q24" sqref="Q24"/>
    </sheetView>
  </sheetViews>
  <sheetFormatPr defaultRowHeight="14.4" x14ac:dyDescent="0.3"/>
  <cols>
    <col min="1" max="1" width="21.6640625" customWidth="1"/>
    <col min="5" max="5" width="10.44140625" customWidth="1"/>
    <col min="6" max="6" width="10" customWidth="1"/>
    <col min="12" max="12" width="12.109375" customWidth="1"/>
  </cols>
  <sheetData>
    <row r="1" spans="1:35" ht="15" thickBot="1" x14ac:dyDescent="0.35">
      <c r="A1" s="554" t="s">
        <v>563</v>
      </c>
      <c r="B1" s="555"/>
      <c r="C1" s="55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55"/>
      <c r="AB1" s="55"/>
      <c r="AC1" s="55"/>
      <c r="AD1" s="55"/>
      <c r="AE1" s="55"/>
      <c r="AF1" s="55"/>
      <c r="AG1" s="55"/>
      <c r="AH1" s="55"/>
      <c r="AI1" s="55"/>
    </row>
    <row r="2" spans="1:35" x14ac:dyDescent="0.3">
      <c r="A2" s="55"/>
      <c r="B2" s="55"/>
      <c r="C2" s="55"/>
      <c r="D2" s="523" t="s">
        <v>553</v>
      </c>
      <c r="E2" s="523"/>
      <c r="F2" s="110"/>
      <c r="G2" s="110"/>
      <c r="H2" s="110"/>
      <c r="I2" s="110"/>
      <c r="J2" s="110"/>
      <c r="K2" s="110"/>
      <c r="L2" s="108"/>
      <c r="M2" s="110" t="s">
        <v>552</v>
      </c>
      <c r="N2" s="110"/>
      <c r="O2" s="110"/>
      <c r="P2" s="110"/>
      <c r="Q2" s="110"/>
      <c r="R2" s="110"/>
      <c r="S2" s="110"/>
      <c r="T2" s="110"/>
      <c r="U2" s="110"/>
      <c r="V2" s="108"/>
      <c r="W2" s="110"/>
      <c r="X2" s="110" t="s">
        <v>593</v>
      </c>
      <c r="Y2" s="110"/>
      <c r="Z2" s="110"/>
      <c r="AA2" s="110"/>
      <c r="AB2" s="108"/>
      <c r="AC2" s="541" t="s">
        <v>594</v>
      </c>
      <c r="AD2" s="110"/>
      <c r="AE2" s="110"/>
      <c r="AF2" s="55"/>
      <c r="AG2" s="55"/>
      <c r="AH2" s="55"/>
      <c r="AI2" s="55"/>
    </row>
    <row r="3" spans="1:35" x14ac:dyDescent="0.3">
      <c r="A3" s="520" t="s">
        <v>564</v>
      </c>
      <c r="B3" s="520"/>
      <c r="C3" s="520"/>
      <c r="D3" s="533">
        <v>2015</v>
      </c>
      <c r="E3" s="532" t="s">
        <v>568</v>
      </c>
      <c r="F3" s="533">
        <v>2016</v>
      </c>
      <c r="G3" s="532" t="s">
        <v>568</v>
      </c>
      <c r="H3" s="533">
        <v>2017</v>
      </c>
      <c r="I3" s="532" t="s">
        <v>568</v>
      </c>
      <c r="J3" s="533">
        <v>2018</v>
      </c>
      <c r="K3" s="532" t="s">
        <v>568</v>
      </c>
      <c r="L3" s="536">
        <v>2019</v>
      </c>
      <c r="M3" s="521" t="s">
        <v>385</v>
      </c>
      <c r="N3" s="539">
        <v>2020</v>
      </c>
      <c r="O3" s="522" t="s">
        <v>385</v>
      </c>
      <c r="P3" s="539">
        <v>2021</v>
      </c>
      <c r="Q3" s="522" t="s">
        <v>385</v>
      </c>
      <c r="R3" s="539">
        <v>2022</v>
      </c>
      <c r="S3" s="522" t="s">
        <v>385</v>
      </c>
      <c r="T3" s="539">
        <v>2023</v>
      </c>
      <c r="U3" s="522" t="s">
        <v>385</v>
      </c>
      <c r="V3" s="560">
        <v>2024</v>
      </c>
      <c r="W3" s="520" t="s">
        <v>385</v>
      </c>
      <c r="X3" s="539">
        <v>2025</v>
      </c>
      <c r="Y3" s="522" t="s">
        <v>385</v>
      </c>
      <c r="Z3" s="561">
        <v>2026</v>
      </c>
      <c r="AA3" s="522" t="s">
        <v>385</v>
      </c>
      <c r="AB3" s="560">
        <v>2027</v>
      </c>
      <c r="AC3" s="55"/>
      <c r="AD3" s="55"/>
      <c r="AE3" s="55"/>
      <c r="AF3" s="55"/>
      <c r="AG3" s="55"/>
      <c r="AH3" s="55"/>
      <c r="AI3" s="55"/>
    </row>
    <row r="4" spans="1:35" x14ac:dyDescent="0.3">
      <c r="A4" s="55"/>
      <c r="B4" s="55"/>
      <c r="C4" s="55"/>
      <c r="D4" s="316"/>
      <c r="E4" s="55"/>
      <c r="F4" s="316"/>
      <c r="G4" s="55"/>
      <c r="H4" s="316"/>
      <c r="I4" s="55"/>
      <c r="J4" s="316"/>
      <c r="K4" s="55"/>
      <c r="L4" s="537"/>
      <c r="M4" s="55"/>
      <c r="N4" s="316"/>
      <c r="O4" s="55"/>
      <c r="P4" s="540"/>
      <c r="Q4" s="1"/>
      <c r="R4" s="540"/>
      <c r="S4" s="1"/>
      <c r="T4" s="540"/>
      <c r="U4" s="1"/>
      <c r="V4" s="537"/>
      <c r="W4" s="55"/>
      <c r="X4" s="540"/>
      <c r="Y4" s="1"/>
      <c r="Z4" s="316"/>
      <c r="AA4" s="1"/>
      <c r="AB4" s="537"/>
      <c r="AC4" s="55"/>
      <c r="AD4" s="55"/>
      <c r="AE4" s="55"/>
      <c r="AF4" s="55"/>
      <c r="AG4" s="55"/>
      <c r="AH4" s="55"/>
      <c r="AI4" s="55"/>
    </row>
    <row r="5" spans="1:35" x14ac:dyDescent="0.3">
      <c r="A5" s="55" t="s">
        <v>570</v>
      </c>
      <c r="B5" s="55"/>
      <c r="C5" s="55"/>
      <c r="D5" s="316">
        <v>3106</v>
      </c>
      <c r="E5" s="542"/>
      <c r="F5" s="543">
        <v>3109.1838560000001</v>
      </c>
      <c r="G5" s="542"/>
      <c r="H5" s="543">
        <v>3109.1838560000001</v>
      </c>
      <c r="I5" s="55"/>
      <c r="J5" s="316">
        <v>3109.1838560000001</v>
      </c>
      <c r="K5" s="55"/>
      <c r="L5" s="537">
        <v>3109.1838560000001</v>
      </c>
      <c r="M5" s="55"/>
      <c r="N5" s="316"/>
      <c r="O5" s="55"/>
      <c r="P5" s="540"/>
      <c r="Q5" s="1"/>
      <c r="R5" s="540"/>
      <c r="S5" s="1"/>
      <c r="T5" s="540"/>
      <c r="U5" s="1"/>
      <c r="V5" s="537"/>
      <c r="W5" s="55"/>
      <c r="X5" s="540"/>
      <c r="Y5" s="1"/>
      <c r="Z5" s="316"/>
      <c r="AA5" s="1"/>
      <c r="AB5" s="537"/>
      <c r="AC5" s="55"/>
      <c r="AD5" s="55"/>
      <c r="AE5" s="55"/>
      <c r="AF5" s="55"/>
      <c r="AG5" s="55"/>
      <c r="AH5" s="55"/>
      <c r="AI5" s="55"/>
    </row>
    <row r="6" spans="1:35" x14ac:dyDescent="0.3">
      <c r="A6" s="55" t="s">
        <v>569</v>
      </c>
      <c r="B6" s="55"/>
      <c r="C6" s="55"/>
      <c r="D6" s="316">
        <f>'Fin statements overview'!J19/'Forecasts Simo '!D5</f>
        <v>2.4146812620734062E-2</v>
      </c>
      <c r="E6" s="55"/>
      <c r="F6" s="316">
        <f>'Reorganised Statements'!E114/'Forecasts Simo '!F5</f>
        <v>7.4617652330946624E-2</v>
      </c>
      <c r="G6" s="55"/>
      <c r="H6" s="316">
        <f>'Reorganised Statements'!F114/'Forecasts Simo '!H5</f>
        <v>9.4236948848997235E-2</v>
      </c>
      <c r="I6" s="55"/>
      <c r="J6" s="316">
        <f>'Reorganised Statements'!G114/'Forecasts Simo '!J5</f>
        <v>0.11063996724933464</v>
      </c>
      <c r="K6" s="55"/>
      <c r="L6" s="537">
        <f>'Reorganised Statements'!H114/'Forecasts Simo '!L5</f>
        <v>0.12511321877904411</v>
      </c>
      <c r="M6" s="55"/>
      <c r="N6" s="316"/>
      <c r="O6" s="55"/>
      <c r="P6" s="540"/>
      <c r="Q6" s="1"/>
      <c r="R6" s="540"/>
      <c r="S6" s="1"/>
      <c r="T6" s="540"/>
      <c r="U6" s="1"/>
      <c r="V6" s="537"/>
      <c r="W6" s="55"/>
      <c r="X6" s="540"/>
      <c r="Y6" s="1"/>
      <c r="Z6" s="316"/>
      <c r="AA6" s="1"/>
      <c r="AB6" s="537"/>
      <c r="AC6" s="55"/>
      <c r="AD6" s="55"/>
      <c r="AE6" s="55"/>
      <c r="AF6" s="55"/>
      <c r="AG6" s="55"/>
      <c r="AH6" s="55"/>
      <c r="AI6" s="55"/>
    </row>
    <row r="7" spans="1:35" x14ac:dyDescent="0.3">
      <c r="A7" s="55" t="s">
        <v>565</v>
      </c>
      <c r="B7" s="55"/>
      <c r="C7" s="55"/>
      <c r="D7" s="316">
        <v>126</v>
      </c>
      <c r="E7" s="55"/>
      <c r="F7" s="316">
        <v>153</v>
      </c>
      <c r="G7" s="55"/>
      <c r="H7" s="316">
        <v>180</v>
      </c>
      <c r="I7" s="55"/>
      <c r="J7" s="316">
        <v>218</v>
      </c>
      <c r="K7" s="55"/>
      <c r="L7" s="537">
        <v>241</v>
      </c>
      <c r="M7" s="55"/>
      <c r="N7" s="316"/>
      <c r="O7" s="55"/>
      <c r="P7" s="540"/>
      <c r="Q7" s="1"/>
      <c r="R7" s="540"/>
      <c r="S7" s="1"/>
      <c r="T7" s="540"/>
      <c r="U7" s="1"/>
      <c r="V7" s="537"/>
      <c r="W7" s="55"/>
      <c r="X7" s="540"/>
      <c r="Y7" s="1"/>
      <c r="Z7" s="316"/>
      <c r="AA7" s="1"/>
      <c r="AB7" s="537"/>
      <c r="AC7" s="55"/>
      <c r="AD7" s="55"/>
      <c r="AE7" s="55"/>
      <c r="AF7" s="55"/>
      <c r="AG7" s="55"/>
      <c r="AH7" s="55"/>
      <c r="AI7" s="55"/>
    </row>
    <row r="8" spans="1:35" x14ac:dyDescent="0.3">
      <c r="A8" s="55" t="s">
        <v>566</v>
      </c>
      <c r="B8" s="55"/>
      <c r="C8" s="55"/>
      <c r="D8" s="316">
        <v>4.1000000000000002E-2</v>
      </c>
      <c r="E8" s="526">
        <f>(F8-D8)/D8</f>
        <v>0.19999999999999996</v>
      </c>
      <c r="F8" s="316">
        <v>4.9200000000000001E-2</v>
      </c>
      <c r="G8" s="526">
        <f>(H8-F8)/F8</f>
        <v>0.1747967479674796</v>
      </c>
      <c r="H8" s="316">
        <v>5.7799999999999997E-2</v>
      </c>
      <c r="I8" s="526">
        <f>(J8-H8)/H8</f>
        <v>0.21107266435986177</v>
      </c>
      <c r="J8" s="316">
        <v>7.0000000000000007E-2</v>
      </c>
      <c r="K8" s="526">
        <f>(L8-J8)/J8</f>
        <v>0.10714285714285703</v>
      </c>
      <c r="L8" s="537">
        <v>7.7499999999999999E-2</v>
      </c>
      <c r="M8" s="526">
        <f>(N8-L8)/L8</f>
        <v>3.2258064516129059E-2</v>
      </c>
      <c r="N8" s="316">
        <v>0.08</v>
      </c>
      <c r="O8" s="526">
        <f>(P8-N8)/N8</f>
        <v>5.0000000000000044E-2</v>
      </c>
      <c r="P8" s="540">
        <f>N8*(1.05)</f>
        <v>8.4000000000000005E-2</v>
      </c>
      <c r="Q8" s="527">
        <f>(R8-P8)/P8</f>
        <v>5.0000000000000107E-2</v>
      </c>
      <c r="R8" s="540">
        <f>P8*(1.05)</f>
        <v>8.8200000000000014E-2</v>
      </c>
      <c r="S8" s="527">
        <f>(T8-R8)/R8</f>
        <v>5.0000000000000121E-2</v>
      </c>
      <c r="T8" s="540">
        <f>R8*(1.05)</f>
        <v>9.2610000000000026E-2</v>
      </c>
      <c r="U8" s="527">
        <f>(V8-T8)/T8</f>
        <v>5.0000000000000093E-2</v>
      </c>
      <c r="V8" s="537">
        <f>T8*(1.05)</f>
        <v>9.7240500000000035E-2</v>
      </c>
      <c r="W8" s="526">
        <f>(X8-V8)/V8</f>
        <v>3.7004597114211647E-2</v>
      </c>
      <c r="X8" s="540">
        <f>(V8*(1+K23+K25))</f>
        <v>0.10083884552568453</v>
      </c>
      <c r="Y8" s="527">
        <f>(Z8-X8)/X8</f>
        <v>2.400919422842324E-2</v>
      </c>
      <c r="Z8" s="316">
        <f>X8*(1+W8+K25)</f>
        <v>0.10325990495368066</v>
      </c>
      <c r="AA8" s="527">
        <f>(AB8-Z8)/Z8</f>
        <v>1.1013791342635136E-2</v>
      </c>
      <c r="AB8" s="537">
        <f>Z8*(1+K24)</f>
        <v>0.10439718800090084</v>
      </c>
      <c r="AC8" s="55"/>
      <c r="AD8" s="55"/>
      <c r="AE8" s="55"/>
      <c r="AF8" s="55"/>
      <c r="AG8" s="55"/>
      <c r="AH8" s="55"/>
      <c r="AI8" s="55"/>
    </row>
    <row r="9" spans="1:35" x14ac:dyDescent="0.3">
      <c r="A9" s="55"/>
      <c r="B9" s="55"/>
      <c r="C9" s="55"/>
      <c r="D9" s="534"/>
      <c r="E9" s="525"/>
      <c r="F9" s="535"/>
      <c r="G9" s="526"/>
      <c r="H9" s="535"/>
      <c r="I9" s="526"/>
      <c r="J9" s="535"/>
      <c r="K9" s="526"/>
      <c r="L9" s="538"/>
      <c r="M9" s="526"/>
      <c r="N9" s="316"/>
      <c r="O9" s="55"/>
      <c r="P9" s="540"/>
      <c r="Q9" s="1"/>
      <c r="R9" s="540"/>
      <c r="S9" s="1"/>
      <c r="T9" s="540"/>
      <c r="U9" s="1"/>
      <c r="V9" s="537"/>
      <c r="W9" s="55"/>
      <c r="X9" s="540"/>
      <c r="Y9" s="1"/>
      <c r="Z9" s="316"/>
      <c r="AA9" s="1"/>
      <c r="AB9" s="537"/>
      <c r="AC9" s="55"/>
      <c r="AD9" s="55"/>
      <c r="AE9" s="55"/>
      <c r="AF9" s="55"/>
      <c r="AG9" s="55"/>
      <c r="AH9" s="55"/>
      <c r="AI9" s="55"/>
    </row>
    <row r="10" spans="1:35" x14ac:dyDescent="0.3">
      <c r="A10" s="55"/>
      <c r="B10" s="55"/>
      <c r="C10" s="55"/>
      <c r="D10" s="316"/>
      <c r="E10" s="55"/>
      <c r="F10" s="316"/>
      <c r="G10" s="55"/>
      <c r="H10" s="316"/>
      <c r="I10" s="55"/>
      <c r="J10" s="316"/>
      <c r="K10" s="55"/>
      <c r="L10" s="537"/>
      <c r="M10" s="55" t="s">
        <v>595</v>
      </c>
      <c r="N10" s="534">
        <f>H23</f>
        <v>6.0546861768634365E-2</v>
      </c>
      <c r="O10" s="55"/>
      <c r="P10" s="562">
        <f>H23</f>
        <v>6.0546861768634365E-2</v>
      </c>
      <c r="Q10" s="1"/>
      <c r="R10" s="562">
        <f>H23</f>
        <v>6.0546861768634365E-2</v>
      </c>
      <c r="S10" s="1"/>
      <c r="T10" s="562">
        <f>H23</f>
        <v>6.0546861768634365E-2</v>
      </c>
      <c r="U10" s="1"/>
      <c r="V10" s="563">
        <f>H23</f>
        <v>6.0546861768634365E-2</v>
      </c>
      <c r="W10" s="55" t="s">
        <v>595</v>
      </c>
      <c r="X10" s="562">
        <f>V10+H25</f>
        <v>6.3514719825735491E-2</v>
      </c>
      <c r="Y10" s="1"/>
      <c r="Z10" s="534">
        <f>X10+H25</f>
        <v>6.6482577882836624E-2</v>
      </c>
      <c r="AA10" s="1"/>
      <c r="AB10" s="563">
        <f>Z10+H25</f>
        <v>6.9450435939937757E-2</v>
      </c>
      <c r="AC10" s="55"/>
      <c r="AD10" s="55"/>
      <c r="AE10" s="55"/>
      <c r="AF10" s="55"/>
      <c r="AG10" s="55"/>
      <c r="AH10" s="55"/>
      <c r="AI10" s="55"/>
    </row>
    <row r="11" spans="1:35" x14ac:dyDescent="0.3">
      <c r="A11" s="55" t="s">
        <v>567</v>
      </c>
      <c r="B11" s="55"/>
      <c r="C11" s="55"/>
      <c r="D11" s="535">
        <f>D7/'Fin statements overview'!J19</f>
        <v>1.68</v>
      </c>
      <c r="E11" s="526"/>
      <c r="F11" s="535">
        <f>F7/'Income Statement'!F77</f>
        <v>0.65948275862068961</v>
      </c>
      <c r="G11" s="526"/>
      <c r="H11" s="535">
        <f>H7/'Reorganised Statements'!F114</f>
        <v>0.61433447098976113</v>
      </c>
      <c r="I11" s="526"/>
      <c r="J11" s="535">
        <f>J7/'Reorganised Statements'!G114</f>
        <v>0.63372093023255816</v>
      </c>
      <c r="K11" s="526"/>
      <c r="L11" s="538">
        <f>L7/'Reorganised Statements'!H114</f>
        <v>0.61953727506426737</v>
      </c>
      <c r="M11" s="55" t="s">
        <v>596</v>
      </c>
      <c r="N11" s="316">
        <f>(N8/(1+N10))</f>
        <v>7.5432781788243641E-2</v>
      </c>
      <c r="O11" s="55"/>
      <c r="P11" s="540">
        <f>P8/(POWER(1+P10,2))</f>
        <v>7.4682622459105272E-2</v>
      </c>
      <c r="Q11" s="1"/>
      <c r="R11" s="540">
        <f>R8/(POWER(1+R10,3))</f>
        <v>7.3939923268725574E-2</v>
      </c>
      <c r="S11" s="1"/>
      <c r="T11" s="540">
        <f>T8/(POWER(1+T10,4))</f>
        <v>7.3204610027971476E-2</v>
      </c>
      <c r="U11" s="1"/>
      <c r="V11" s="537">
        <f>V8/(POWER(1+V10,5))</f>
        <v>7.2476609285501467E-2</v>
      </c>
      <c r="W11" s="55" t="s">
        <v>596</v>
      </c>
      <c r="X11" s="540">
        <f>(X8/(1+X10))/(POWER(1+H23,5))</f>
        <v>7.0669992254202979E-2</v>
      </c>
      <c r="Y11" s="1"/>
      <c r="Z11" s="316">
        <f>(((Z8/(1+Z10))/(1+X10))/POWER(1+H23,5))</f>
        <v>6.7855512434170762E-2</v>
      </c>
      <c r="AA11" s="1"/>
      <c r="AB11" s="537">
        <f>((AB8/(1+AB10))/(1+Z10)/(1+X10)/(POWER(1+T10,5)))</f>
        <v>6.4147768408989794E-2</v>
      </c>
      <c r="AC11" s="55"/>
      <c r="AD11" s="55"/>
      <c r="AE11" s="55"/>
      <c r="AF11" s="55"/>
      <c r="AG11" s="55"/>
      <c r="AH11" s="55"/>
      <c r="AI11" s="55"/>
    </row>
    <row r="12" spans="1:35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55"/>
      <c r="AB12" s="55"/>
      <c r="AC12" s="55"/>
      <c r="AD12" s="55"/>
      <c r="AE12" s="55"/>
      <c r="AF12" s="55"/>
      <c r="AG12" s="55"/>
      <c r="AH12" s="55"/>
      <c r="AI12" s="55"/>
    </row>
    <row r="13" spans="1:35" x14ac:dyDescent="0.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5"/>
      <c r="AB13" s="55"/>
      <c r="AC13" s="55"/>
      <c r="AD13" s="55"/>
      <c r="AE13" s="55"/>
      <c r="AF13" s="55"/>
      <c r="AG13" s="55"/>
      <c r="AH13" s="55"/>
      <c r="AI13" s="55"/>
    </row>
    <row r="14" spans="1:35" x14ac:dyDescent="0.3">
      <c r="A14" s="55"/>
      <c r="B14" s="55"/>
      <c r="C14" s="55"/>
      <c r="D14" s="55"/>
      <c r="E14" s="55"/>
      <c r="F14" s="55"/>
      <c r="G14" s="55"/>
      <c r="H14" s="55"/>
      <c r="I14" s="55"/>
      <c r="J14" s="493"/>
      <c r="K14" s="493"/>
      <c r="L14" s="493"/>
      <c r="M14" s="493"/>
      <c r="N14" s="55"/>
      <c r="O14" s="5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5"/>
      <c r="AB14" s="55"/>
      <c r="AC14" s="55"/>
      <c r="AD14" s="55"/>
      <c r="AE14" s="55"/>
      <c r="AF14" s="55"/>
      <c r="AG14" s="493"/>
      <c r="AH14" s="55"/>
      <c r="AI14" s="55"/>
    </row>
    <row r="15" spans="1:35" ht="15" thickBot="1" x14ac:dyDescent="0.3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55"/>
      <c r="AB15" s="55"/>
      <c r="AC15" s="55"/>
      <c r="AD15" s="55"/>
      <c r="AE15" s="55"/>
      <c r="AF15" s="55"/>
      <c r="AG15" s="55"/>
      <c r="AH15" s="55"/>
      <c r="AI15" s="55"/>
    </row>
    <row r="16" spans="1:35" x14ac:dyDescent="0.3">
      <c r="A16" s="55"/>
      <c r="B16" s="55"/>
      <c r="C16" s="55"/>
      <c r="D16" s="55"/>
      <c r="E16" s="55"/>
      <c r="F16" s="55"/>
      <c r="G16" s="55"/>
      <c r="H16" s="55"/>
      <c r="I16" s="55"/>
      <c r="J16" s="566" t="s">
        <v>597</v>
      </c>
      <c r="K16" s="313"/>
      <c r="L16" s="313"/>
      <c r="M16" s="310"/>
      <c r="N16" s="55"/>
      <c r="O16" s="5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5"/>
      <c r="AB16" s="55"/>
      <c r="AC16" s="55"/>
      <c r="AD16" s="55"/>
      <c r="AE16" s="55"/>
      <c r="AF16" s="55"/>
      <c r="AG16" s="55"/>
      <c r="AH16" s="55"/>
      <c r="AI16" s="55"/>
    </row>
    <row r="17" spans="1:35" x14ac:dyDescent="0.3">
      <c r="A17" s="55"/>
      <c r="B17" s="55"/>
      <c r="C17" s="55"/>
      <c r="D17" s="55"/>
      <c r="E17" s="55"/>
      <c r="F17" s="110" t="s">
        <v>577</v>
      </c>
      <c r="G17" s="110"/>
      <c r="H17" s="110"/>
      <c r="I17" s="55"/>
      <c r="J17" s="267" t="s">
        <v>574</v>
      </c>
      <c r="K17" s="55"/>
      <c r="L17" s="524"/>
      <c r="M17" s="300">
        <f>N11+P11+R11+T11+V11</f>
        <v>0.36973654682954743</v>
      </c>
      <c r="N17" s="55"/>
      <c r="O17" s="5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55"/>
      <c r="AB17" s="55"/>
      <c r="AC17" s="55"/>
      <c r="AD17" s="55"/>
      <c r="AE17" s="55"/>
      <c r="AF17" s="55"/>
      <c r="AG17" s="55"/>
      <c r="AH17" s="55"/>
      <c r="AI17" s="55"/>
    </row>
    <row r="18" spans="1:35" x14ac:dyDescent="0.3">
      <c r="A18" s="55"/>
      <c r="B18" s="55"/>
      <c r="C18" s="55"/>
      <c r="D18" s="55"/>
      <c r="E18" s="55"/>
      <c r="F18" s="55" t="s">
        <v>571</v>
      </c>
      <c r="G18" s="55"/>
      <c r="H18" s="525">
        <f>AVERAGE(D11,F11,H11,J11,L11)</f>
        <v>0.84141508698145517</v>
      </c>
      <c r="I18" s="55"/>
      <c r="J18" s="267" t="s">
        <v>585</v>
      </c>
      <c r="K18" s="55"/>
      <c r="L18" s="524"/>
      <c r="M18" s="300">
        <f>X11+Z11+AB11</f>
        <v>0.20267327309736355</v>
      </c>
      <c r="N18" s="55"/>
      <c r="O18" s="5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55"/>
      <c r="AB18" s="55"/>
      <c r="AC18" s="55"/>
      <c r="AD18" s="55"/>
      <c r="AE18" s="55"/>
      <c r="AF18" s="55"/>
      <c r="AG18" s="55"/>
      <c r="AH18" s="55"/>
      <c r="AI18" s="55"/>
    </row>
    <row r="19" spans="1:35" x14ac:dyDescent="0.3">
      <c r="A19" s="55"/>
      <c r="B19" s="55"/>
      <c r="C19" s="55"/>
      <c r="D19" s="55"/>
      <c r="E19" s="55"/>
      <c r="F19" s="55" t="s">
        <v>573</v>
      </c>
      <c r="G19" s="55"/>
      <c r="H19" s="525">
        <f>H20* (1-H18)</f>
        <v>1.1013791342635049E-2</v>
      </c>
      <c r="I19" s="55"/>
      <c r="J19" s="295" t="s">
        <v>575</v>
      </c>
      <c r="K19" s="110"/>
      <c r="L19" s="108"/>
      <c r="M19" s="300">
        <f>(V8*(1+H19)/(H20-H19))/((1+AB10)*(1+Z10)*(1+X10)*POWER(1+'WACC '!E63,5))</f>
        <v>0.9914201711234425</v>
      </c>
      <c r="N19" s="55"/>
      <c r="O19" s="5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55"/>
      <c r="AB19" s="55"/>
      <c r="AC19" s="55"/>
      <c r="AD19" s="55"/>
      <c r="AE19" s="55"/>
      <c r="AF19" s="55"/>
      <c r="AG19" s="55"/>
      <c r="AH19" s="55"/>
      <c r="AI19" s="55"/>
    </row>
    <row r="20" spans="1:35" ht="15" thickBot="1" x14ac:dyDescent="0.35">
      <c r="A20" s="55"/>
      <c r="B20" s="55"/>
      <c r="C20" s="55"/>
      <c r="D20" s="55"/>
      <c r="E20" s="55"/>
      <c r="F20" s="55" t="s">
        <v>578</v>
      </c>
      <c r="G20" s="55"/>
      <c r="H20" s="526">
        <f>'WACC '!E63</f>
        <v>6.9450435939937757E-2</v>
      </c>
      <c r="I20" s="55"/>
      <c r="J20" s="279" t="s">
        <v>576</v>
      </c>
      <c r="K20" s="567"/>
      <c r="L20" s="568"/>
      <c r="M20" s="312">
        <f>M17+M19</f>
        <v>1.36115671795299</v>
      </c>
      <c r="N20" s="55"/>
      <c r="O20" s="5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55"/>
      <c r="AB20" s="55"/>
      <c r="AC20" s="55"/>
      <c r="AD20" s="55"/>
      <c r="AE20" s="55"/>
      <c r="AF20" s="55"/>
      <c r="AG20" s="55"/>
      <c r="AH20" s="55"/>
      <c r="AI20" s="55"/>
    </row>
    <row r="21" spans="1:35" x14ac:dyDescent="0.3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55"/>
      <c r="AB21" s="55"/>
      <c r="AC21" s="55"/>
      <c r="AD21" s="55"/>
      <c r="AE21" s="55"/>
      <c r="AF21" s="55"/>
      <c r="AG21" s="55"/>
      <c r="AH21" s="55"/>
      <c r="AI21" s="55"/>
    </row>
    <row r="22" spans="1:35" x14ac:dyDescent="0.3">
      <c r="A22" s="55"/>
      <c r="B22" s="55"/>
      <c r="C22" s="55"/>
      <c r="D22" s="55"/>
      <c r="E22" s="55"/>
      <c r="F22" s="110" t="s">
        <v>586</v>
      </c>
      <c r="G22" s="110"/>
      <c r="H22" s="110"/>
      <c r="I22" s="110"/>
      <c r="J22" s="110"/>
      <c r="K22" s="110"/>
      <c r="L22" s="55"/>
      <c r="M22" s="55"/>
      <c r="N22" s="55"/>
      <c r="O22" s="5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55"/>
      <c r="AB22" s="55"/>
      <c r="AC22" s="55"/>
      <c r="AD22" s="55"/>
      <c r="AE22" s="55"/>
      <c r="AF22" s="55"/>
      <c r="AG22" s="55"/>
      <c r="AH22" s="55"/>
      <c r="AI22" s="55"/>
    </row>
    <row r="23" spans="1:35" x14ac:dyDescent="0.3">
      <c r="A23" s="55"/>
      <c r="B23" s="55"/>
      <c r="C23" s="55"/>
      <c r="D23" s="55"/>
      <c r="E23" s="55"/>
      <c r="F23" s="55" t="s">
        <v>587</v>
      </c>
      <c r="G23" s="559"/>
      <c r="H23" s="564">
        <v>6.0546861768634365E-2</v>
      </c>
      <c r="I23" s="55" t="s">
        <v>588</v>
      </c>
      <c r="J23" s="559"/>
      <c r="K23" s="525">
        <v>5.0000000000000093E-2</v>
      </c>
      <c r="L23" s="55"/>
      <c r="M23" s="55"/>
      <c r="N23" s="55"/>
      <c r="O23" s="5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55"/>
      <c r="AB23" s="55"/>
      <c r="AC23" s="55"/>
      <c r="AD23" s="55"/>
      <c r="AE23" s="55"/>
      <c r="AF23" s="55"/>
      <c r="AG23" s="55"/>
      <c r="AH23" s="55"/>
      <c r="AI23" s="55"/>
    </row>
    <row r="24" spans="1:35" x14ac:dyDescent="0.3">
      <c r="A24" s="55"/>
      <c r="B24" s="55"/>
      <c r="C24" s="55"/>
      <c r="D24" s="55"/>
      <c r="E24" s="55"/>
      <c r="F24" s="55" t="s">
        <v>589</v>
      </c>
      <c r="G24" s="524"/>
      <c r="H24" s="565">
        <v>6.9450435939937757E-2</v>
      </c>
      <c r="I24" s="55" t="s">
        <v>591</v>
      </c>
      <c r="J24" s="524"/>
      <c r="K24" s="525">
        <f>H19</f>
        <v>1.1013791342635049E-2</v>
      </c>
      <c r="L24" s="55"/>
      <c r="M24" s="55"/>
      <c r="N24" s="55"/>
      <c r="O24" s="5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55"/>
      <c r="AB24" s="55"/>
      <c r="AC24" s="55"/>
      <c r="AD24" s="55"/>
      <c r="AE24" s="55"/>
      <c r="AF24" s="55"/>
      <c r="AG24" s="55"/>
      <c r="AH24" s="55"/>
      <c r="AI24" s="55"/>
    </row>
    <row r="25" spans="1:35" x14ac:dyDescent="0.3">
      <c r="A25" s="55"/>
      <c r="B25" s="55"/>
      <c r="C25" s="55"/>
      <c r="D25" s="55"/>
      <c r="E25" s="55"/>
      <c r="F25" s="55" t="s">
        <v>590</v>
      </c>
      <c r="G25" s="524"/>
      <c r="H25" s="565">
        <f>(H24-H23)/3</f>
        <v>2.967858057101131E-3</v>
      </c>
      <c r="I25" s="55" t="s">
        <v>592</v>
      </c>
      <c r="J25" s="524"/>
      <c r="K25" s="55">
        <f>(K24-K23)/3</f>
        <v>-1.2995402885788349E-2</v>
      </c>
      <c r="L25" s="55"/>
      <c r="M25" s="55"/>
      <c r="N25" s="55"/>
      <c r="O25" s="5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55"/>
      <c r="AB25" s="55"/>
      <c r="AC25" s="55"/>
      <c r="AD25" s="55"/>
      <c r="AE25" s="55"/>
      <c r="AF25" s="55"/>
      <c r="AG25" s="55"/>
      <c r="AH25" s="55"/>
      <c r="AI25" s="55"/>
    </row>
    <row r="26" spans="1:35" x14ac:dyDescent="0.3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55"/>
      <c r="AB26" s="55"/>
      <c r="AC26" s="55"/>
      <c r="AD26" s="55"/>
      <c r="AE26" s="55"/>
      <c r="AF26" s="55"/>
      <c r="AG26" s="55"/>
      <c r="AH26" s="55"/>
      <c r="AI26" s="55"/>
    </row>
    <row r="27" spans="1:35" x14ac:dyDescent="0.3">
      <c r="A27" s="55"/>
      <c r="B27" s="55"/>
      <c r="C27" s="55"/>
      <c r="D27" s="109"/>
      <c r="E27" s="109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55"/>
      <c r="AB27" s="55"/>
      <c r="AC27" s="55"/>
      <c r="AD27" s="109"/>
      <c r="AE27" s="55"/>
      <c r="AF27" s="55"/>
      <c r="AG27" s="55"/>
      <c r="AH27" s="55"/>
      <c r="AI27" s="55"/>
    </row>
    <row r="28" spans="1:35" x14ac:dyDescent="0.3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55"/>
      <c r="AB28" s="55"/>
      <c r="AC28" s="55"/>
      <c r="AD28" s="55"/>
      <c r="AE28" s="55"/>
      <c r="AF28" s="55"/>
      <c r="AG28" s="55"/>
      <c r="AH28" s="55"/>
      <c r="AI28" s="55"/>
    </row>
    <row r="29" spans="1:35" x14ac:dyDescent="0.3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55"/>
      <c r="AB29" s="55"/>
      <c r="AC29" s="55"/>
      <c r="AD29" s="55"/>
      <c r="AE29" s="55"/>
      <c r="AF29" s="55"/>
      <c r="AG29" s="55"/>
      <c r="AH29" s="55"/>
      <c r="AI29" s="55"/>
    </row>
    <row r="30" spans="1:35" x14ac:dyDescent="0.3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55"/>
      <c r="AB30" s="55"/>
      <c r="AC30" s="55"/>
      <c r="AD30" s="55"/>
      <c r="AE30" s="55"/>
      <c r="AF30" s="55"/>
      <c r="AG30" s="55"/>
      <c r="AH30" s="55"/>
      <c r="AI30" s="55"/>
    </row>
    <row r="31" spans="1:35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55"/>
      <c r="AB31" s="55"/>
      <c r="AC31" s="55"/>
      <c r="AD31" s="55"/>
      <c r="AE31" s="55"/>
      <c r="AF31" s="55"/>
      <c r="AG31" s="55"/>
      <c r="AH31" s="55"/>
      <c r="AI31" s="55"/>
    </row>
    <row r="32" spans="1:35" x14ac:dyDescent="0.3">
      <c r="A32" s="110" t="s">
        <v>581</v>
      </c>
      <c r="B32" s="108"/>
      <c r="C32" s="110" t="s">
        <v>553</v>
      </c>
      <c r="D32" s="110"/>
      <c r="E32" s="110"/>
      <c r="F32" s="110"/>
      <c r="G32" s="110"/>
      <c r="H32" s="110"/>
      <c r="I32" s="110"/>
      <c r="J32" s="110"/>
      <c r="K32" s="110"/>
      <c r="L32" s="55"/>
      <c r="M32" s="55"/>
      <c r="N32" s="55"/>
      <c r="O32" s="5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55"/>
      <c r="AB32" s="55"/>
      <c r="AC32" s="55"/>
      <c r="AD32" s="55"/>
      <c r="AE32" s="55"/>
      <c r="AF32" s="55"/>
      <c r="AG32" s="55"/>
      <c r="AH32" s="55"/>
      <c r="AI32" s="55"/>
    </row>
    <row r="33" spans="1:35" x14ac:dyDescent="0.3">
      <c r="A33" s="55"/>
      <c r="B33" s="524"/>
      <c r="C33" s="55">
        <v>2015</v>
      </c>
      <c r="D33" s="55" t="s">
        <v>385</v>
      </c>
      <c r="E33" s="55">
        <v>2016</v>
      </c>
      <c r="F33" s="55" t="s">
        <v>385</v>
      </c>
      <c r="G33" s="55">
        <v>2017</v>
      </c>
      <c r="H33" s="55" t="s">
        <v>385</v>
      </c>
      <c r="I33" s="55">
        <v>2018</v>
      </c>
      <c r="J33" s="55" t="s">
        <v>385</v>
      </c>
      <c r="K33" s="55">
        <v>2019</v>
      </c>
      <c r="L33" s="55"/>
      <c r="M33" s="55"/>
      <c r="N33" s="55"/>
      <c r="O33" s="5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55"/>
      <c r="AB33" s="55"/>
      <c r="AC33" s="55"/>
      <c r="AD33" s="55"/>
      <c r="AE33" s="55"/>
      <c r="AF33" s="55"/>
      <c r="AG33" s="55"/>
      <c r="AH33" s="55"/>
      <c r="AI33" s="55"/>
    </row>
    <row r="34" spans="1:35" x14ac:dyDescent="0.3">
      <c r="A34" s="55"/>
      <c r="B34" s="524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55"/>
      <c r="AB34" s="55"/>
      <c r="AC34" s="55"/>
      <c r="AD34" s="55"/>
      <c r="AE34" s="55"/>
      <c r="AF34" s="55"/>
      <c r="AG34" s="55"/>
      <c r="AH34" s="55"/>
      <c r="AI34" s="55"/>
    </row>
    <row r="35" spans="1:35" x14ac:dyDescent="0.3">
      <c r="A35" s="55" t="s">
        <v>582</v>
      </c>
      <c r="B35" s="524"/>
      <c r="C35" s="55">
        <v>3947</v>
      </c>
      <c r="D35" s="55"/>
      <c r="E35" s="55">
        <v>3734</v>
      </c>
      <c r="F35" s="55"/>
      <c r="G35" s="55">
        <v>4633</v>
      </c>
      <c r="H35" s="55"/>
      <c r="I35" s="55">
        <v>5268</v>
      </c>
      <c r="J35" s="55"/>
      <c r="K35" s="55">
        <v>6046</v>
      </c>
      <c r="L35" s="55"/>
      <c r="M35" s="55"/>
      <c r="N35" s="55"/>
      <c r="O35" s="5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55"/>
      <c r="AB35" s="55"/>
      <c r="AC35" s="55"/>
      <c r="AD35" s="55"/>
      <c r="AE35" s="55"/>
      <c r="AF35" s="55"/>
      <c r="AG35" s="55"/>
      <c r="AH35" s="55"/>
      <c r="AI35" s="55"/>
    </row>
    <row r="36" spans="1:35" x14ac:dyDescent="0.3">
      <c r="A36" s="110" t="s">
        <v>169</v>
      </c>
      <c r="B36" s="108"/>
      <c r="C36" s="110">
        <v>785</v>
      </c>
      <c r="D36" s="557"/>
      <c r="E36" s="558">
        <v>847</v>
      </c>
      <c r="F36" s="110"/>
      <c r="G36" s="110">
        <v>957</v>
      </c>
      <c r="H36" s="110"/>
      <c r="I36" s="110">
        <v>1003</v>
      </c>
      <c r="J36" s="110"/>
      <c r="K36" s="110">
        <v>1076</v>
      </c>
      <c r="L36" s="55"/>
      <c r="M36" s="55"/>
      <c r="N36" s="55"/>
      <c r="O36" s="5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55"/>
      <c r="AB36" s="55"/>
      <c r="AC36" s="55"/>
      <c r="AD36" s="109"/>
      <c r="AE36" s="55"/>
      <c r="AF36" s="55"/>
      <c r="AG36" s="55"/>
      <c r="AH36" s="55"/>
      <c r="AI36" s="55"/>
    </row>
    <row r="37" spans="1:35" x14ac:dyDescent="0.3">
      <c r="A37" s="55" t="s">
        <v>173</v>
      </c>
      <c r="B37" s="524"/>
      <c r="C37" s="55">
        <v>189</v>
      </c>
      <c r="D37" s="55"/>
      <c r="E37" s="55">
        <v>279</v>
      </c>
      <c r="F37" s="55"/>
      <c r="G37" s="55">
        <v>206</v>
      </c>
      <c r="H37" s="55"/>
      <c r="I37" s="521">
        <v>223</v>
      </c>
      <c r="J37" s="55"/>
      <c r="K37" s="55">
        <v>202</v>
      </c>
      <c r="L37" s="55"/>
      <c r="M37" s="55"/>
      <c r="N37" s="55"/>
      <c r="O37" s="55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55"/>
      <c r="AB37" s="55"/>
      <c r="AC37" s="55"/>
      <c r="AD37" s="55"/>
      <c r="AE37" s="55"/>
      <c r="AF37" s="55"/>
      <c r="AG37" s="55"/>
      <c r="AH37" s="55"/>
      <c r="AI37" s="55"/>
    </row>
    <row r="38" spans="1:35" x14ac:dyDescent="0.3">
      <c r="A38" s="109" t="s">
        <v>509</v>
      </c>
      <c r="B38" s="524"/>
      <c r="C38" s="55"/>
      <c r="D38" s="109"/>
      <c r="E38" s="109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55"/>
      <c r="AB38" s="55"/>
      <c r="AC38" s="55"/>
      <c r="AD38" s="109"/>
      <c r="AE38" s="55"/>
      <c r="AF38" s="55"/>
      <c r="AG38" s="55"/>
      <c r="AH38" s="55"/>
      <c r="AI38" s="55"/>
    </row>
    <row r="39" spans="1:35" x14ac:dyDescent="0.3">
      <c r="A39" s="1"/>
      <c r="B39" s="52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55"/>
      <c r="AB39" s="55"/>
      <c r="AC39" s="55"/>
      <c r="AD39" s="55"/>
      <c r="AE39" s="55"/>
      <c r="AF39" s="55"/>
      <c r="AG39" s="55"/>
      <c r="AH39" s="55"/>
      <c r="AI39" s="55"/>
    </row>
    <row r="40" spans="1:35" x14ac:dyDescent="0.3">
      <c r="A40" s="110" t="s">
        <v>583</v>
      </c>
      <c r="B40" s="10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55"/>
      <c r="AB40" s="55"/>
      <c r="AC40" s="55"/>
      <c r="AD40" s="55"/>
      <c r="AE40" s="55"/>
      <c r="AF40" s="55"/>
      <c r="AG40" s="55"/>
      <c r="AH40" s="55"/>
      <c r="AI40" s="55"/>
    </row>
    <row r="41" spans="1:35" x14ac:dyDescent="0.3">
      <c r="A41" s="1" t="s">
        <v>177</v>
      </c>
      <c r="B41" s="52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55"/>
      <c r="AB41" s="55"/>
      <c r="AC41" s="55"/>
      <c r="AD41" s="55"/>
      <c r="AE41" s="55"/>
      <c r="AF41" s="55"/>
      <c r="AG41" s="55"/>
      <c r="AH41" s="55"/>
      <c r="AI41" s="55"/>
    </row>
    <row r="42" spans="1:35" x14ac:dyDescent="0.3">
      <c r="A42" s="1" t="s">
        <v>179</v>
      </c>
      <c r="B42" s="52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55"/>
      <c r="AB42" s="55"/>
      <c r="AC42" s="55"/>
      <c r="AD42" s="55"/>
      <c r="AE42" s="55"/>
      <c r="AF42" s="55"/>
      <c r="AG42" s="55"/>
      <c r="AH42" s="55"/>
      <c r="AI42" s="55"/>
    </row>
    <row r="43" spans="1:35" x14ac:dyDescent="0.3">
      <c r="A43" s="1" t="s">
        <v>183</v>
      </c>
      <c r="B43" s="52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55"/>
      <c r="AB43" s="55"/>
      <c r="AC43" s="55"/>
      <c r="AD43" s="55"/>
      <c r="AE43" s="55"/>
      <c r="AF43" s="55"/>
      <c r="AG43" s="55"/>
      <c r="AH43" s="55"/>
      <c r="AI43" s="55"/>
    </row>
    <row r="44" spans="1:35" x14ac:dyDescent="0.3">
      <c r="A44" s="110" t="s">
        <v>360</v>
      </c>
      <c r="B44" s="10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35" x14ac:dyDescent="0.3">
      <c r="A45" s="109" t="s">
        <v>584</v>
      </c>
      <c r="B45" s="52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35" x14ac:dyDescent="0.3">
      <c r="A46" s="5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3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3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7F48-2C04-4736-A7FC-B90E144616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581"/>
  <sheetViews>
    <sheetView topLeftCell="B1" zoomScaleNormal="100" workbookViewId="0">
      <pane xSplit="3" ySplit="3" topLeftCell="E4" activePane="bottomRight" state="frozen"/>
      <selection activeCell="B1" sqref="B1"/>
      <selection pane="topRight" activeCell="D1" sqref="D1"/>
      <selection pane="bottomLeft" activeCell="B4" sqref="B4"/>
      <selection pane="bottomRight" activeCell="F93" sqref="F93"/>
    </sheetView>
  </sheetViews>
  <sheetFormatPr defaultRowHeight="14.4" x14ac:dyDescent="0.3"/>
  <cols>
    <col min="1" max="1" width="9.109375" style="1"/>
    <col min="2" max="2" width="2" style="1" customWidth="1"/>
    <col min="3" max="3" width="68.33203125" customWidth="1"/>
    <col min="4" max="4" width="54.6640625" hidden="1" customWidth="1"/>
    <col min="5" max="5" width="8.109375" style="51" bestFit="1" customWidth="1"/>
    <col min="6" max="10" width="14.33203125" style="52" bestFit="1" customWidth="1"/>
    <col min="11" max="11" width="100.109375" style="52" bestFit="1" customWidth="1"/>
    <col min="12" max="12" width="11.6640625" style="52" customWidth="1"/>
    <col min="13" max="13" width="16.109375" style="52" bestFit="1" customWidth="1"/>
    <col min="14" max="14" width="11.6640625" style="52" customWidth="1"/>
    <col min="15" max="15" width="16.109375" style="53" customWidth="1"/>
    <col min="16" max="19" width="0" hidden="1" customWidth="1"/>
    <col min="20" max="20" width="9.109375" hidden="1" customWidth="1"/>
  </cols>
  <sheetData>
    <row r="1" spans="2:144" ht="27" customHeight="1" x14ac:dyDescent="0.65">
      <c r="B1" s="62"/>
      <c r="C1" s="60" t="s">
        <v>0</v>
      </c>
      <c r="D1" s="61"/>
      <c r="E1" s="61"/>
      <c r="F1" s="61"/>
      <c r="G1" s="61"/>
      <c r="H1" s="61"/>
      <c r="I1" s="61"/>
      <c r="J1" s="61"/>
      <c r="K1" s="169"/>
      <c r="L1" s="169"/>
      <c r="M1" s="169"/>
      <c r="N1" s="169"/>
      <c r="O1" s="17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2:144" ht="15" customHeight="1" x14ac:dyDescent="0.6">
      <c r="B2" s="62"/>
      <c r="C2" s="63"/>
      <c r="D2" s="64"/>
      <c r="E2" s="545" t="s">
        <v>158</v>
      </c>
      <c r="F2" s="545"/>
      <c r="G2" s="545"/>
      <c r="H2" s="545"/>
      <c r="I2" s="545"/>
      <c r="J2" s="545"/>
      <c r="K2" s="171"/>
      <c r="L2" s="171"/>
      <c r="M2" s="171"/>
      <c r="N2" s="171"/>
      <c r="O2" s="17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2:144" ht="18" customHeight="1" x14ac:dyDescent="0.3">
      <c r="B3" s="66"/>
      <c r="C3" s="131"/>
      <c r="D3" s="65"/>
      <c r="E3" s="131" t="s">
        <v>1</v>
      </c>
      <c r="F3" s="133">
        <v>42369</v>
      </c>
      <c r="G3" s="133">
        <v>42735</v>
      </c>
      <c r="H3" s="133">
        <v>43100</v>
      </c>
      <c r="I3" s="133">
        <v>43465</v>
      </c>
      <c r="J3" s="133">
        <v>43830</v>
      </c>
      <c r="K3" s="55"/>
      <c r="L3" s="55"/>
      <c r="M3" s="55"/>
      <c r="N3" s="55"/>
      <c r="O3" s="55"/>
      <c r="P3" s="172" t="s">
        <v>336</v>
      </c>
      <c r="Q3" s="173" t="s">
        <v>337</v>
      </c>
      <c r="R3" s="173" t="s">
        <v>338</v>
      </c>
      <c r="S3" s="173" t="s">
        <v>339</v>
      </c>
      <c r="T3" s="172">
        <v>43921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2:144" ht="24.6" x14ac:dyDescent="0.55000000000000004">
      <c r="C4" s="128" t="s">
        <v>2</v>
      </c>
      <c r="D4" s="5"/>
      <c r="E4" s="7"/>
      <c r="F4" s="204"/>
      <c r="G4" s="205"/>
      <c r="H4" s="205"/>
      <c r="I4" s="205"/>
      <c r="J4" s="205"/>
      <c r="K4" s="50"/>
      <c r="L4" s="55"/>
      <c r="M4" s="55"/>
      <c r="N4" s="55"/>
      <c r="O4" s="55"/>
      <c r="P4" s="28"/>
      <c r="Q4" s="29"/>
      <c r="R4" s="29"/>
      <c r="S4" s="29"/>
      <c r="T4" s="3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2:144" ht="19.2" x14ac:dyDescent="0.4">
      <c r="C5" s="6" t="s">
        <v>3</v>
      </c>
      <c r="D5" s="5" t="s">
        <v>4</v>
      </c>
      <c r="E5" s="5"/>
      <c r="F5" s="204"/>
      <c r="G5" s="205"/>
      <c r="H5" s="205"/>
      <c r="I5" s="205"/>
      <c r="J5" s="205"/>
      <c r="K5" s="50"/>
      <c r="L5" s="55"/>
      <c r="M5" s="55"/>
      <c r="N5" s="55"/>
      <c r="O5" s="55"/>
      <c r="P5" s="29"/>
      <c r="Q5" s="29"/>
      <c r="R5" s="29"/>
      <c r="S5" s="29"/>
      <c r="T5" s="30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2:144" ht="16.8" x14ac:dyDescent="0.4">
      <c r="C6" s="8" t="s">
        <v>5</v>
      </c>
      <c r="D6" s="5" t="s">
        <v>6</v>
      </c>
      <c r="E6" s="5"/>
      <c r="F6" s="204"/>
      <c r="G6" s="205"/>
      <c r="H6" s="205"/>
      <c r="I6" s="205"/>
      <c r="J6" s="205"/>
      <c r="K6" s="50"/>
      <c r="L6" s="55"/>
      <c r="M6" s="55"/>
      <c r="N6" s="55"/>
      <c r="O6" s="55"/>
      <c r="P6" s="29"/>
      <c r="Q6" s="29"/>
      <c r="R6" s="29"/>
      <c r="S6" s="29"/>
      <c r="T6" s="30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2:144" ht="16.8" x14ac:dyDescent="0.4">
      <c r="C7" s="5" t="s">
        <v>7</v>
      </c>
      <c r="D7" s="5"/>
      <c r="E7" s="5"/>
      <c r="F7" s="204">
        <v>266</v>
      </c>
      <c r="G7" s="205">
        <v>235</v>
      </c>
      <c r="H7" s="205">
        <v>113</v>
      </c>
      <c r="I7" s="205">
        <v>116</v>
      </c>
      <c r="J7" s="205">
        <v>112</v>
      </c>
      <c r="K7" s="50"/>
      <c r="L7" s="55"/>
      <c r="M7" s="55"/>
      <c r="N7" s="55"/>
      <c r="O7" s="55"/>
      <c r="P7" s="32">
        <f t="shared" ref="P7:P16" si="0">SUM(H7,-G7)/G7</f>
        <v>-0.51914893617021274</v>
      </c>
      <c r="Q7" s="32">
        <f t="shared" ref="Q7:Q16" si="1">SUM(I7,-H7)/H7</f>
        <v>2.6548672566371681E-2</v>
      </c>
      <c r="R7" s="32">
        <f t="shared" ref="R7:R16" si="2">SUM(J7,-I7)/I7</f>
        <v>-3.4482758620689655E-2</v>
      </c>
      <c r="S7" s="32"/>
      <c r="T7" s="3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2:144" ht="16.8" x14ac:dyDescent="0.4">
      <c r="C8" s="5" t="s">
        <v>8</v>
      </c>
      <c r="D8" s="5"/>
      <c r="E8" s="5"/>
      <c r="F8" s="204">
        <v>913</v>
      </c>
      <c r="G8" s="205">
        <v>821</v>
      </c>
      <c r="H8" s="205">
        <v>606</v>
      </c>
      <c r="I8" s="205">
        <v>590</v>
      </c>
      <c r="J8" s="205">
        <v>594</v>
      </c>
      <c r="K8" s="50"/>
      <c r="L8" s="55"/>
      <c r="M8" s="55"/>
      <c r="N8" s="55"/>
      <c r="O8" s="55"/>
      <c r="P8" s="32">
        <f t="shared" si="0"/>
        <v>-0.26187576126674789</v>
      </c>
      <c r="Q8" s="32">
        <f t="shared" si="1"/>
        <v>-2.6402640264026403E-2</v>
      </c>
      <c r="R8" s="32">
        <f t="shared" si="2"/>
        <v>6.7796610169491523E-3</v>
      </c>
      <c r="S8" s="32"/>
      <c r="T8" s="3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2:144" ht="16.8" x14ac:dyDescent="0.4">
      <c r="C9" s="5" t="s">
        <v>9</v>
      </c>
      <c r="D9" s="5"/>
      <c r="E9" s="5"/>
      <c r="F9" s="204">
        <v>3608</v>
      </c>
      <c r="G9" s="205">
        <v>3703</v>
      </c>
      <c r="H9" s="205">
        <v>3459</v>
      </c>
      <c r="I9" s="205">
        <v>3460</v>
      </c>
      <c r="J9" s="205">
        <v>3591</v>
      </c>
      <c r="K9" s="50"/>
      <c r="L9" s="55"/>
      <c r="M9" s="55"/>
      <c r="N9" s="55"/>
      <c r="O9" s="55"/>
      <c r="P9" s="32">
        <f t="shared" si="0"/>
        <v>-6.5892519578719957E-2</v>
      </c>
      <c r="Q9" s="32">
        <f t="shared" si="1"/>
        <v>2.8910089621277829E-4</v>
      </c>
      <c r="R9" s="32">
        <f t="shared" si="2"/>
        <v>3.786127167630058E-2</v>
      </c>
      <c r="S9" s="32"/>
      <c r="T9" s="3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4" ht="16.8" x14ac:dyDescent="0.4">
      <c r="C10" s="5" t="s">
        <v>10</v>
      </c>
      <c r="D10" s="5"/>
      <c r="E10" s="5"/>
      <c r="F10" s="204">
        <v>24</v>
      </c>
      <c r="G10" s="205">
        <v>33</v>
      </c>
      <c r="H10" s="205">
        <v>36</v>
      </c>
      <c r="I10" s="205">
        <v>38</v>
      </c>
      <c r="J10" s="205">
        <v>45</v>
      </c>
      <c r="K10" s="50"/>
      <c r="L10" s="55"/>
      <c r="M10" s="55"/>
      <c r="N10" s="55"/>
      <c r="O10" s="55"/>
      <c r="P10" s="32">
        <f t="shared" si="0"/>
        <v>9.0909090909090912E-2</v>
      </c>
      <c r="Q10" s="32">
        <f t="shared" si="1"/>
        <v>5.5555555555555552E-2</v>
      </c>
      <c r="R10" s="32">
        <f t="shared" si="2"/>
        <v>0.18421052631578946</v>
      </c>
      <c r="S10" s="32"/>
      <c r="T10" s="3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4" ht="16.8" x14ac:dyDescent="0.4">
      <c r="C11" s="5" t="s">
        <v>11</v>
      </c>
      <c r="D11" s="5"/>
      <c r="E11" s="5"/>
      <c r="F11" s="204">
        <v>56</v>
      </c>
      <c r="G11" s="205">
        <v>72</v>
      </c>
      <c r="H11" s="205">
        <v>98</v>
      </c>
      <c r="I11" s="205">
        <v>120</v>
      </c>
      <c r="J11" s="205">
        <v>127</v>
      </c>
      <c r="K11" s="50"/>
      <c r="L11" s="55"/>
      <c r="M11" s="55"/>
      <c r="N11" s="55"/>
      <c r="O11" s="55"/>
      <c r="P11" s="32">
        <f t="shared" si="0"/>
        <v>0.3611111111111111</v>
      </c>
      <c r="Q11" s="32">
        <f t="shared" si="1"/>
        <v>0.22448979591836735</v>
      </c>
      <c r="R11" s="32">
        <f t="shared" si="2"/>
        <v>5.8333333333333334E-2</v>
      </c>
      <c r="S11" s="32"/>
      <c r="T11" s="3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4" ht="16.8" x14ac:dyDescent="0.4">
      <c r="C12" s="5" t="s">
        <v>12</v>
      </c>
      <c r="D12" s="5"/>
      <c r="E12" s="5"/>
      <c r="F12" s="204">
        <v>23</v>
      </c>
      <c r="G12" s="205">
        <v>73</v>
      </c>
      <c r="H12" s="205">
        <v>66</v>
      </c>
      <c r="I12" s="205">
        <v>66</v>
      </c>
      <c r="J12" s="205">
        <v>28</v>
      </c>
      <c r="K12" s="50"/>
      <c r="L12" s="55"/>
      <c r="M12" s="55"/>
      <c r="N12" s="55"/>
      <c r="O12" s="55"/>
      <c r="P12" s="32">
        <f t="shared" si="0"/>
        <v>-9.5890410958904104E-2</v>
      </c>
      <c r="Q12" s="32">
        <f t="shared" si="1"/>
        <v>0</v>
      </c>
      <c r="R12" s="32">
        <f t="shared" si="2"/>
        <v>-0.5757575757575758</v>
      </c>
      <c r="S12" s="32"/>
      <c r="T12" s="3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4" ht="16.8" x14ac:dyDescent="0.4">
      <c r="C13" s="5" t="s">
        <v>13</v>
      </c>
      <c r="D13" s="5"/>
      <c r="E13" s="5"/>
      <c r="F13" s="204">
        <v>103</v>
      </c>
      <c r="G13" s="205">
        <v>101</v>
      </c>
      <c r="H13" s="205">
        <v>95</v>
      </c>
      <c r="I13" s="205">
        <v>85</v>
      </c>
      <c r="J13" s="205">
        <v>131</v>
      </c>
      <c r="K13" s="50"/>
      <c r="L13" s="113"/>
      <c r="M13" s="55"/>
      <c r="N13" s="55"/>
      <c r="O13" s="55"/>
      <c r="P13" s="32">
        <f t="shared" si="0"/>
        <v>-5.9405940594059403E-2</v>
      </c>
      <c r="Q13" s="32">
        <f t="shared" si="1"/>
        <v>-0.10526315789473684</v>
      </c>
      <c r="R13" s="32">
        <f t="shared" si="2"/>
        <v>0.54117647058823526</v>
      </c>
      <c r="S13" s="32"/>
      <c r="T13" s="3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4" ht="16.8" x14ac:dyDescent="0.4">
      <c r="C14" s="5" t="s">
        <v>14</v>
      </c>
      <c r="D14" s="5"/>
      <c r="E14" s="5"/>
      <c r="F14" s="204">
        <v>72</v>
      </c>
      <c r="G14" s="205">
        <v>82</v>
      </c>
      <c r="H14" s="205">
        <v>83</v>
      </c>
      <c r="I14" s="205">
        <v>91</v>
      </c>
      <c r="J14" s="205">
        <v>101</v>
      </c>
      <c r="K14" s="50"/>
      <c r="L14" s="55"/>
      <c r="M14" s="55"/>
      <c r="N14" s="55"/>
      <c r="O14" s="55"/>
      <c r="P14" s="32">
        <f t="shared" si="0"/>
        <v>1.2195121951219513E-2</v>
      </c>
      <c r="Q14" s="32">
        <f t="shared" si="1"/>
        <v>9.6385542168674704E-2</v>
      </c>
      <c r="R14" s="32">
        <f t="shared" si="2"/>
        <v>0.10989010989010989</v>
      </c>
      <c r="S14" s="32"/>
      <c r="T14" s="3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4" ht="16.8" x14ac:dyDescent="0.4">
      <c r="C15" s="5" t="s">
        <v>15</v>
      </c>
      <c r="D15" s="5"/>
      <c r="E15" s="5"/>
      <c r="F15" s="204">
        <v>2</v>
      </c>
      <c r="G15" s="205">
        <v>9</v>
      </c>
      <c r="H15" s="205">
        <v>50</v>
      </c>
      <c r="I15" s="205">
        <v>54</v>
      </c>
      <c r="J15" s="205">
        <v>140</v>
      </c>
      <c r="K15" s="50"/>
      <c r="L15" s="55"/>
      <c r="M15" s="55"/>
      <c r="N15" s="55"/>
      <c r="O15" s="55"/>
      <c r="P15" s="32">
        <f t="shared" si="0"/>
        <v>4.5555555555555554</v>
      </c>
      <c r="Q15" s="32">
        <f t="shared" si="1"/>
        <v>0.08</v>
      </c>
      <c r="R15" s="32">
        <f t="shared" si="2"/>
        <v>1.5925925925925926</v>
      </c>
      <c r="S15" s="32"/>
      <c r="T15" s="3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4" ht="16.8" x14ac:dyDescent="0.4">
      <c r="C16" s="10" t="s">
        <v>16</v>
      </c>
      <c r="D16" s="11"/>
      <c r="E16" s="12"/>
      <c r="F16" s="206">
        <f t="shared" ref="F16:G16" si="3">SUM(F7:F15)</f>
        <v>5067</v>
      </c>
      <c r="G16" s="206">
        <f t="shared" si="3"/>
        <v>5129</v>
      </c>
      <c r="H16" s="207">
        <f>SUM(H7:H15)</f>
        <v>4606</v>
      </c>
      <c r="I16" s="207">
        <f>SUM(I7:I15)</f>
        <v>4620</v>
      </c>
      <c r="J16" s="207">
        <f>SUM(J7:J15)</f>
        <v>4869</v>
      </c>
      <c r="K16" s="50"/>
      <c r="L16" s="55"/>
      <c r="M16" s="55"/>
      <c r="N16" s="55"/>
      <c r="O16" s="55"/>
      <c r="P16" s="34">
        <f t="shared" si="0"/>
        <v>-0.10196919477480991</v>
      </c>
      <c r="Q16" s="34">
        <f t="shared" si="1"/>
        <v>3.0395136778115501E-3</v>
      </c>
      <c r="R16" s="34">
        <f t="shared" si="2"/>
        <v>5.3896103896103893E-2</v>
      </c>
      <c r="S16" s="34">
        <f>SUM(T16,-J16)/J16</f>
        <v>9.8582871226124465E-3</v>
      </c>
      <c r="T16" s="35">
        <v>4917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3:144" ht="16.8" x14ac:dyDescent="0.4">
      <c r="C17" s="14" t="s">
        <v>17</v>
      </c>
      <c r="D17" s="14"/>
      <c r="E17" s="14"/>
      <c r="F17" s="208"/>
      <c r="G17" s="209"/>
      <c r="H17" s="209"/>
      <c r="I17" s="209"/>
      <c r="J17" s="209"/>
      <c r="K17" s="50"/>
      <c r="L17" s="55"/>
      <c r="M17" s="55"/>
      <c r="N17" s="55"/>
      <c r="O17" s="55"/>
      <c r="P17" s="36"/>
      <c r="Q17" s="36"/>
      <c r="R17" s="36"/>
      <c r="S17" s="36"/>
      <c r="T17" s="3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3:144" ht="16.8" x14ac:dyDescent="0.4">
      <c r="C18" s="14" t="s">
        <v>18</v>
      </c>
      <c r="D18" s="14"/>
      <c r="E18" s="14"/>
      <c r="F18" s="208">
        <v>9838</v>
      </c>
      <c r="G18" s="209">
        <v>10421</v>
      </c>
      <c r="H18" s="209">
        <v>10070</v>
      </c>
      <c r="I18" s="209">
        <v>10520</v>
      </c>
      <c r="J18" s="209">
        <v>11065</v>
      </c>
      <c r="K18" s="50"/>
      <c r="L18" s="55"/>
      <c r="M18" s="55"/>
      <c r="N18" s="55"/>
      <c r="O18" s="55"/>
      <c r="P18" s="36">
        <f t="shared" ref="P18:R20" si="4">SUM(H18,-G18)/G18</f>
        <v>-3.3681988292870169E-2</v>
      </c>
      <c r="Q18" s="36">
        <f t="shared" si="4"/>
        <v>4.4687189672293945E-2</v>
      </c>
      <c r="R18" s="36">
        <f t="shared" si="4"/>
        <v>5.1806083650190113E-2</v>
      </c>
      <c r="S18" s="36">
        <f>SUM(T18,-J18)/J18</f>
        <v>-1</v>
      </c>
      <c r="T18" s="3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3:144" ht="16.8" x14ac:dyDescent="0.4">
      <c r="C19" s="14" t="s">
        <v>19</v>
      </c>
      <c r="D19" s="14"/>
      <c r="E19" s="14"/>
      <c r="F19" s="208">
        <v>-4253</v>
      </c>
      <c r="G19" s="209">
        <v>-4553</v>
      </c>
      <c r="H19" s="209">
        <v>-4725</v>
      </c>
      <c r="I19" s="209">
        <v>-5045</v>
      </c>
      <c r="J19" s="209">
        <v>-5376</v>
      </c>
      <c r="K19" s="50"/>
      <c r="L19" s="55"/>
      <c r="M19" s="55"/>
      <c r="N19" s="55"/>
      <c r="O19" s="55"/>
      <c r="P19" s="36">
        <f t="shared" si="4"/>
        <v>3.7777289699099492E-2</v>
      </c>
      <c r="Q19" s="36">
        <f t="shared" si="4"/>
        <v>6.7724867724867729E-2</v>
      </c>
      <c r="R19" s="36">
        <f t="shared" si="4"/>
        <v>6.5609514370664021E-2</v>
      </c>
      <c r="S19" s="36">
        <f>SUM(T19,-J19)/J19</f>
        <v>-1</v>
      </c>
      <c r="T19" s="3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3:144" ht="16.8" x14ac:dyDescent="0.4">
      <c r="C20" s="14" t="s">
        <v>20</v>
      </c>
      <c r="D20" s="14"/>
      <c r="E20" s="14"/>
      <c r="F20" s="208">
        <v>-518</v>
      </c>
      <c r="G20" s="209">
        <v>-739</v>
      </c>
      <c r="H20" s="209">
        <v>-739</v>
      </c>
      <c r="I20" s="209">
        <v>-855</v>
      </c>
      <c r="J20" s="209">
        <v>-820</v>
      </c>
      <c r="K20" s="50"/>
      <c r="L20" s="55"/>
      <c r="M20" s="55"/>
      <c r="N20" s="55"/>
      <c r="O20" s="55"/>
      <c r="P20" s="36">
        <f t="shared" si="4"/>
        <v>0</v>
      </c>
      <c r="Q20" s="36">
        <f t="shared" si="4"/>
        <v>0.15696887686062247</v>
      </c>
      <c r="R20" s="36">
        <f t="shared" si="4"/>
        <v>-4.0935672514619881E-2</v>
      </c>
      <c r="S20" s="36">
        <f>SUM(T20,-J20)/J20</f>
        <v>-1</v>
      </c>
      <c r="T20" s="3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3:144" ht="16.8" x14ac:dyDescent="0.4">
      <c r="C21" s="8" t="s">
        <v>21</v>
      </c>
      <c r="D21" s="5" t="s">
        <v>22</v>
      </c>
      <c r="E21" s="5"/>
      <c r="F21" s="204"/>
      <c r="G21" s="205"/>
      <c r="H21" s="205"/>
      <c r="I21" s="205"/>
      <c r="J21" s="205"/>
      <c r="K21" s="50"/>
      <c r="L21" s="55"/>
      <c r="M21" s="55"/>
      <c r="N21" s="55"/>
      <c r="O21" s="55"/>
      <c r="P21" s="32"/>
      <c r="Q21" s="32"/>
      <c r="R21" s="32"/>
      <c r="S21" s="32"/>
      <c r="T21" s="3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3:144" ht="16.8" x14ac:dyDescent="0.4">
      <c r="C22" s="5" t="s">
        <v>23</v>
      </c>
      <c r="D22" s="5"/>
      <c r="E22" s="5"/>
      <c r="F22" s="204">
        <v>26</v>
      </c>
      <c r="G22" s="205">
        <v>21</v>
      </c>
      <c r="H22" s="205">
        <v>19</v>
      </c>
      <c r="I22" s="205">
        <v>24</v>
      </c>
      <c r="J22" s="205">
        <v>31</v>
      </c>
      <c r="K22" s="50"/>
      <c r="L22" s="55"/>
      <c r="M22" s="55"/>
      <c r="N22" s="55"/>
      <c r="O22" s="55"/>
      <c r="P22" s="32">
        <f t="shared" ref="P22:R27" si="5">SUM(H22,-G22)/G22</f>
        <v>-9.5238095238095233E-2</v>
      </c>
      <c r="Q22" s="32">
        <f t="shared" si="5"/>
        <v>0.26315789473684209</v>
      </c>
      <c r="R22" s="32">
        <f t="shared" si="5"/>
        <v>0.29166666666666669</v>
      </c>
      <c r="S22" s="32"/>
      <c r="T22" s="3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3:144" ht="16.8" x14ac:dyDescent="0.4">
      <c r="C23" s="5" t="s">
        <v>24</v>
      </c>
      <c r="D23" s="5"/>
      <c r="E23" s="5"/>
      <c r="F23" s="204">
        <v>799</v>
      </c>
      <c r="G23" s="205">
        <v>1046</v>
      </c>
      <c r="H23" s="205">
        <v>1130</v>
      </c>
      <c r="I23" s="205">
        <v>1502</v>
      </c>
      <c r="J23" s="205">
        <v>1616</v>
      </c>
      <c r="K23" s="50"/>
      <c r="L23" s="55"/>
      <c r="M23" s="55"/>
      <c r="N23" s="55"/>
      <c r="O23" s="55"/>
      <c r="P23" s="32">
        <f t="shared" si="5"/>
        <v>8.0305927342256209E-2</v>
      </c>
      <c r="Q23" s="32">
        <f t="shared" si="5"/>
        <v>0.32920353982300887</v>
      </c>
      <c r="R23" s="32">
        <f t="shared" si="5"/>
        <v>7.5898801597869506E-2</v>
      </c>
      <c r="S23" s="32"/>
      <c r="T23" s="3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3:144" ht="16.8" x14ac:dyDescent="0.4">
      <c r="C24" s="5" t="s">
        <v>25</v>
      </c>
      <c r="D24" s="5"/>
      <c r="E24" s="5"/>
      <c r="F24" s="204">
        <v>20</v>
      </c>
      <c r="G24" s="205">
        <v>500</v>
      </c>
      <c r="H24" s="205">
        <v>457</v>
      </c>
      <c r="I24" s="205">
        <v>444</v>
      </c>
      <c r="J24" s="205">
        <v>374</v>
      </c>
      <c r="K24" s="50"/>
      <c r="L24" s="55"/>
      <c r="M24" s="55"/>
      <c r="N24" s="55"/>
      <c r="O24" s="55"/>
      <c r="P24" s="32">
        <f t="shared" si="5"/>
        <v>-8.5999999999999993E-2</v>
      </c>
      <c r="Q24" s="32">
        <f t="shared" si="5"/>
        <v>-2.8446389496717725E-2</v>
      </c>
      <c r="R24" s="32">
        <f t="shared" si="5"/>
        <v>-0.15765765765765766</v>
      </c>
      <c r="S24" s="32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3:144" ht="16.8" x14ac:dyDescent="0.4">
      <c r="C25" s="5" t="s">
        <v>26</v>
      </c>
      <c r="D25" s="5"/>
      <c r="E25" s="5"/>
      <c r="F25" s="204">
        <v>21</v>
      </c>
      <c r="G25" s="205">
        <v>26</v>
      </c>
      <c r="H25" s="205">
        <v>40</v>
      </c>
      <c r="I25" s="205">
        <v>44</v>
      </c>
      <c r="J25" s="205">
        <v>62</v>
      </c>
      <c r="K25" s="50"/>
      <c r="L25" s="55"/>
      <c r="M25" s="55"/>
      <c r="N25" s="55"/>
      <c r="O25" s="55"/>
      <c r="P25" s="32">
        <f t="shared" si="5"/>
        <v>0.53846153846153844</v>
      </c>
      <c r="Q25" s="32">
        <f t="shared" si="5"/>
        <v>0.1</v>
      </c>
      <c r="R25" s="32">
        <f t="shared" si="5"/>
        <v>0.40909090909090912</v>
      </c>
      <c r="S25" s="32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3:144" ht="16.8" x14ac:dyDescent="0.4">
      <c r="C26" s="5" t="s">
        <v>27</v>
      </c>
      <c r="D26" s="5"/>
      <c r="E26" s="5"/>
      <c r="F26" s="204">
        <v>482</v>
      </c>
      <c r="G26" s="205">
        <v>111</v>
      </c>
      <c r="H26" s="205">
        <v>217</v>
      </c>
      <c r="I26" s="205">
        <v>288</v>
      </c>
      <c r="J26" s="205">
        <v>296</v>
      </c>
      <c r="K26" s="50"/>
      <c r="L26" s="55"/>
      <c r="M26" s="55"/>
      <c r="N26" s="55"/>
      <c r="O26" s="55"/>
      <c r="P26" s="32">
        <f t="shared" si="5"/>
        <v>0.95495495495495497</v>
      </c>
      <c r="Q26" s="32">
        <f t="shared" si="5"/>
        <v>0.32718894009216593</v>
      </c>
      <c r="R26" s="32">
        <f t="shared" si="5"/>
        <v>2.7777777777777776E-2</v>
      </c>
      <c r="S26" s="32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3:144" ht="16.8" x14ac:dyDescent="0.4">
      <c r="C27" s="10" t="s">
        <v>16</v>
      </c>
      <c r="D27" s="12"/>
      <c r="E27" s="12"/>
      <c r="F27" s="206">
        <f t="shared" ref="F27:G27" si="6">SUM(F22:F26)</f>
        <v>1348</v>
      </c>
      <c r="G27" s="207">
        <f t="shared" si="6"/>
        <v>1704</v>
      </c>
      <c r="H27" s="207">
        <f>SUM(H22:H26)</f>
        <v>1863</v>
      </c>
      <c r="I27" s="207">
        <f>SUM(I22:I26)</f>
        <v>2302</v>
      </c>
      <c r="J27" s="207">
        <f>SUM(J22:J26)</f>
        <v>2379</v>
      </c>
      <c r="K27" s="50"/>
      <c r="L27" s="55"/>
      <c r="M27" s="55"/>
      <c r="N27" s="55"/>
      <c r="O27" s="55"/>
      <c r="P27" s="34">
        <f t="shared" si="5"/>
        <v>9.3309859154929578E-2</v>
      </c>
      <c r="Q27" s="34">
        <f t="shared" si="5"/>
        <v>0.23564143853998926</v>
      </c>
      <c r="R27" s="34">
        <f t="shared" si="5"/>
        <v>3.3449174630755862E-2</v>
      </c>
      <c r="S27" s="34">
        <f>SUM(T27,-J27)/J27</f>
        <v>2.1017234131988232E-2</v>
      </c>
      <c r="T27" s="35">
        <v>2429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3:144" ht="16.8" x14ac:dyDescent="0.4">
      <c r="C28" s="8" t="s">
        <v>28</v>
      </c>
      <c r="D28" s="5"/>
      <c r="E28" s="5"/>
      <c r="F28" s="204"/>
      <c r="G28" s="205"/>
      <c r="H28" s="205"/>
      <c r="I28" s="205"/>
      <c r="J28" s="205"/>
      <c r="K28" s="50"/>
      <c r="L28" s="55"/>
      <c r="M28" s="55"/>
      <c r="N28" s="55"/>
      <c r="O28" s="55"/>
      <c r="P28" s="32"/>
      <c r="Q28" s="32"/>
      <c r="R28" s="32"/>
      <c r="S28" s="32"/>
      <c r="T28" s="3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3:144" x14ac:dyDescent="0.3">
      <c r="C29" s="5" t="s">
        <v>29</v>
      </c>
      <c r="D29" s="5" t="s">
        <v>30</v>
      </c>
      <c r="E29" s="5"/>
      <c r="F29" s="204">
        <v>68</v>
      </c>
      <c r="G29" s="205">
        <v>67</v>
      </c>
      <c r="H29" s="205">
        <v>63</v>
      </c>
      <c r="I29" s="205">
        <v>16</v>
      </c>
      <c r="J29" s="205">
        <v>38</v>
      </c>
      <c r="K29" s="50"/>
      <c r="L29" s="55"/>
      <c r="M29" s="55"/>
      <c r="N29" s="55"/>
      <c r="O29" s="55"/>
      <c r="P29" s="32">
        <f t="shared" ref="P29:R31" si="7">SUM(H29,-G29)/G29</f>
        <v>-5.9701492537313432E-2</v>
      </c>
      <c r="Q29" s="32">
        <f t="shared" si="7"/>
        <v>-0.74603174603174605</v>
      </c>
      <c r="R29" s="32">
        <f t="shared" si="7"/>
        <v>1.375</v>
      </c>
      <c r="S29" s="32">
        <f>SUM(T29,-J29)/J29</f>
        <v>-0.36842105263157893</v>
      </c>
      <c r="T29" s="30">
        <v>24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3:144" x14ac:dyDescent="0.3">
      <c r="C30" s="5" t="s">
        <v>31</v>
      </c>
      <c r="D30" s="5" t="s">
        <v>32</v>
      </c>
      <c r="E30" s="5"/>
      <c r="F30" s="204">
        <v>69</v>
      </c>
      <c r="G30" s="205">
        <v>69</v>
      </c>
      <c r="H30" s="205">
        <v>44</v>
      </c>
      <c r="I30" s="205">
        <v>29</v>
      </c>
      <c r="J30" s="205">
        <v>27</v>
      </c>
      <c r="K30" s="50"/>
      <c r="L30" s="55"/>
      <c r="M30" s="55"/>
      <c r="N30" s="55"/>
      <c r="O30" s="55"/>
      <c r="P30" s="32">
        <f t="shared" si="7"/>
        <v>-0.36231884057971014</v>
      </c>
      <c r="Q30" s="32">
        <f t="shared" si="7"/>
        <v>-0.34090909090909088</v>
      </c>
      <c r="R30" s="32">
        <f t="shared" si="7"/>
        <v>-6.8965517241379309E-2</v>
      </c>
      <c r="S30" s="32">
        <f>SUM(T30,-J30)/J30</f>
        <v>1.6296296296296295</v>
      </c>
      <c r="T30" s="30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3:144" x14ac:dyDescent="0.3">
      <c r="C31" s="10" t="s">
        <v>16</v>
      </c>
      <c r="D31" s="12"/>
      <c r="E31" s="12"/>
      <c r="F31" s="206">
        <f ca="1">SUM(F29:F31)</f>
        <v>137</v>
      </c>
      <c r="G31" s="207">
        <f ca="1">SUM(G29:G31)</f>
        <v>136</v>
      </c>
      <c r="H31" s="207">
        <f ca="1">SUM(H29:H31)</f>
        <v>107</v>
      </c>
      <c r="I31" s="207">
        <f ca="1">SUM(I29:I31)</f>
        <v>45</v>
      </c>
      <c r="J31" s="207">
        <f ca="1">SUM(J29:J31)</f>
        <v>65</v>
      </c>
      <c r="K31" s="50"/>
      <c r="L31" s="55"/>
      <c r="M31" s="55"/>
      <c r="N31" s="55"/>
      <c r="O31" s="55"/>
      <c r="P31" s="34">
        <f t="shared" ca="1" si="7"/>
        <v>-0.21323529411764705</v>
      </c>
      <c r="Q31" s="34">
        <f t="shared" ca="1" si="7"/>
        <v>-0.57943925233644855</v>
      </c>
      <c r="R31" s="34">
        <f t="shared" ca="1" si="7"/>
        <v>0.44444444444444442</v>
      </c>
      <c r="S31" s="34">
        <f ca="1">SUM(T31,-J31)/J31</f>
        <v>0.46153846153846156</v>
      </c>
      <c r="T31" s="35">
        <f>SUM(T29:T30)</f>
        <v>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3:144" x14ac:dyDescent="0.3">
      <c r="C32" s="14" t="s">
        <v>343</v>
      </c>
      <c r="D32" s="168"/>
      <c r="E32" s="174"/>
      <c r="F32" s="210">
        <v>57</v>
      </c>
      <c r="G32" s="211">
        <v>56</v>
      </c>
      <c r="H32" s="211">
        <v>36</v>
      </c>
      <c r="I32" s="211">
        <v>22</v>
      </c>
      <c r="J32" s="211">
        <v>20</v>
      </c>
      <c r="K32" s="50"/>
      <c r="L32" s="55"/>
      <c r="M32" s="55"/>
      <c r="N32" s="55"/>
      <c r="O32" s="55"/>
      <c r="P32" s="56">
        <f>SUM(H35,-G35)/G35</f>
        <v>-0.11730205278592376</v>
      </c>
      <c r="Q32" s="56">
        <f>SUM(I35,-H35)/H35</f>
        <v>-0.12292358803986711</v>
      </c>
      <c r="R32" s="56">
        <f>SUM(J35,-I35)/I35</f>
        <v>4.924242424242424E-2</v>
      </c>
      <c r="S32" s="56">
        <f>SUM(T32,-J35)/J35</f>
        <v>3.2490974729241874E-2</v>
      </c>
      <c r="T32" s="57">
        <v>286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3:144" x14ac:dyDescent="0.3">
      <c r="C33" s="1"/>
      <c r="D33" s="1"/>
      <c r="E33" s="55"/>
      <c r="F33" s="212"/>
      <c r="G33" s="213"/>
      <c r="H33" s="213"/>
      <c r="I33" s="213"/>
      <c r="J33" s="213"/>
      <c r="K33" s="50"/>
      <c r="L33" s="55"/>
      <c r="M33" s="55"/>
      <c r="N33" s="55"/>
      <c r="O33" s="55"/>
      <c r="P33" s="32"/>
      <c r="Q33" s="32"/>
      <c r="R33" s="32"/>
      <c r="S33" s="32"/>
      <c r="T33" s="3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3:144" x14ac:dyDescent="0.3">
      <c r="E34" s="55"/>
      <c r="F34" s="214"/>
      <c r="G34" s="215"/>
      <c r="H34" s="215"/>
      <c r="I34" s="215"/>
      <c r="J34" s="215"/>
      <c r="K34" s="53"/>
      <c r="L34" s="55"/>
      <c r="M34" s="55"/>
      <c r="N34" s="55"/>
      <c r="O34" s="55"/>
      <c r="P34" s="32">
        <f>SUM(H37,-G37)/G37</f>
        <v>-1</v>
      </c>
      <c r="Q34" s="32"/>
      <c r="R34" s="32">
        <f>SUM(J37,-I37)/I37</f>
        <v>-0.75</v>
      </c>
      <c r="S34" s="32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3:144" x14ac:dyDescent="0.3">
      <c r="C35" s="8" t="s">
        <v>33</v>
      </c>
      <c r="D35" s="5" t="s">
        <v>34</v>
      </c>
      <c r="E35" s="5"/>
      <c r="F35" s="216">
        <v>308</v>
      </c>
      <c r="G35" s="217">
        <v>341</v>
      </c>
      <c r="H35" s="217">
        <v>301</v>
      </c>
      <c r="I35" s="217">
        <v>264</v>
      </c>
      <c r="J35" s="217">
        <v>277</v>
      </c>
      <c r="K35" s="50"/>
      <c r="L35" s="55"/>
      <c r="M35" s="55"/>
      <c r="N35" s="55"/>
      <c r="O35" s="55"/>
      <c r="P35" s="32">
        <f>SUM(H38,-G38)/G38</f>
        <v>0</v>
      </c>
      <c r="Q35" s="32">
        <f>SUM(I38,-H38)/H38</f>
        <v>0.5</v>
      </c>
      <c r="R35" s="32">
        <f>SUM(J38,-I38)/I38</f>
        <v>0.91666666666666663</v>
      </c>
      <c r="S35" s="32"/>
      <c r="T35" s="3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3:144" x14ac:dyDescent="0.3">
      <c r="C36" s="8" t="s">
        <v>35</v>
      </c>
      <c r="D36" s="5" t="s">
        <v>32</v>
      </c>
      <c r="E36" s="5"/>
      <c r="F36" s="204"/>
      <c r="G36" s="205"/>
      <c r="H36" s="205"/>
      <c r="I36" s="205"/>
      <c r="J36" s="205"/>
      <c r="K36" s="50"/>
      <c r="L36" s="55"/>
      <c r="M36" s="55"/>
      <c r="N36" s="55"/>
      <c r="O36" s="55"/>
      <c r="P36" s="34">
        <f>SUM(H40,-G40)/G40</f>
        <v>-0.33333333333333331</v>
      </c>
      <c r="Q36" s="34">
        <f>SUM(I40,-H40)/H40</f>
        <v>1.5</v>
      </c>
      <c r="R36" s="34">
        <f>SUM(J40,-I40)/I40</f>
        <v>0.25</v>
      </c>
      <c r="S36" s="34">
        <f>SUM(T36,-J40)/J40</f>
        <v>0.12</v>
      </c>
      <c r="T36" s="38">
        <v>28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3:144" x14ac:dyDescent="0.3">
      <c r="C37" s="5" t="s">
        <v>36</v>
      </c>
      <c r="D37" s="5"/>
      <c r="E37" s="5"/>
      <c r="F37" s="186">
        <v>0</v>
      </c>
      <c r="G37" s="205">
        <v>4</v>
      </c>
      <c r="H37" s="187">
        <v>0</v>
      </c>
      <c r="I37" s="205">
        <v>8</v>
      </c>
      <c r="J37" s="205">
        <v>2</v>
      </c>
      <c r="K37" s="50"/>
      <c r="L37" s="55"/>
      <c r="M37" s="55"/>
      <c r="N37" s="55"/>
      <c r="O37" s="55"/>
      <c r="P37" s="39">
        <f ca="1">SUM(H44,-G44)/G44</f>
        <v>-5.9683146681234638E-2</v>
      </c>
      <c r="Q37" s="39">
        <f ca="1">SUM(I44,-H44)/H44</f>
        <v>5.3159041394335513E-2</v>
      </c>
      <c r="R37" s="39">
        <f ca="1">SUM(J44,-I44)/I44</f>
        <v>5.019997241759757E-2</v>
      </c>
      <c r="S37" s="39">
        <f ca="1">SUM(T37,-J44)/J44</f>
        <v>1.8384766907419567E-2</v>
      </c>
      <c r="T37" s="40">
        <f>SUM(T16,T27,T31,T32,T36)</f>
        <v>7755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3:144" x14ac:dyDescent="0.3">
      <c r="C38" s="5" t="s">
        <v>37</v>
      </c>
      <c r="D38" s="5"/>
      <c r="E38" s="5"/>
      <c r="F38" s="204">
        <v>6</v>
      </c>
      <c r="G38" s="205">
        <v>8</v>
      </c>
      <c r="H38" s="205">
        <v>8</v>
      </c>
      <c r="I38" s="205">
        <v>12</v>
      </c>
      <c r="J38" s="205">
        <v>23</v>
      </c>
      <c r="K38" s="50"/>
      <c r="L38" s="113"/>
      <c r="M38" s="55"/>
      <c r="N38" s="55"/>
      <c r="O38" s="55"/>
      <c r="P38" s="32"/>
      <c r="Q38" s="32"/>
      <c r="R38" s="32"/>
      <c r="S38" s="32"/>
      <c r="T38" s="30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3:144" x14ac:dyDescent="0.3">
      <c r="E39" s="55"/>
      <c r="F39" s="214"/>
      <c r="G39" s="215"/>
      <c r="H39" s="215"/>
      <c r="I39" s="215"/>
      <c r="J39" s="215"/>
      <c r="K39" s="50"/>
      <c r="L39" s="55"/>
      <c r="M39" s="55"/>
      <c r="N39" s="55"/>
      <c r="O39" s="55"/>
      <c r="P39" s="32"/>
      <c r="Q39" s="32"/>
      <c r="R39" s="32"/>
      <c r="S39" s="32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3:144" x14ac:dyDescent="0.3">
      <c r="C40" s="10" t="s">
        <v>16</v>
      </c>
      <c r="D40" s="12"/>
      <c r="E40" s="13"/>
      <c r="F40" s="206">
        <f>SUM(F37:F38)</f>
        <v>6</v>
      </c>
      <c r="G40" s="207">
        <f>SUM(G37:G38)</f>
        <v>12</v>
      </c>
      <c r="H40" s="207">
        <f>SUM(H37:H38)</f>
        <v>8</v>
      </c>
      <c r="I40" s="207">
        <f>SUM(I37:I38)</f>
        <v>20</v>
      </c>
      <c r="J40" s="207">
        <f>SUM(J37:J38)</f>
        <v>25</v>
      </c>
      <c r="K40" s="50"/>
      <c r="L40" s="55"/>
      <c r="M40" s="55"/>
      <c r="N40" s="55"/>
      <c r="O40" s="55"/>
      <c r="P40" s="32"/>
      <c r="Q40" s="32"/>
      <c r="R40" s="32"/>
      <c r="S40" s="32"/>
      <c r="T40" s="3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3:144" x14ac:dyDescent="0.3">
      <c r="C41" s="14" t="s">
        <v>343</v>
      </c>
      <c r="D41" s="14"/>
      <c r="E41" s="14"/>
      <c r="F41" s="199">
        <v>0</v>
      </c>
      <c r="G41" s="209">
        <v>4</v>
      </c>
      <c r="H41" s="200">
        <v>0</v>
      </c>
      <c r="I41" s="209">
        <v>8</v>
      </c>
      <c r="J41" s="209">
        <v>2</v>
      </c>
      <c r="K41" s="50"/>
      <c r="L41" s="55"/>
      <c r="M41" s="55"/>
      <c r="N41" s="55"/>
      <c r="O41" s="55"/>
      <c r="P41" s="32">
        <f t="shared" ref="P41:R48" si="8">SUM(H48,-G48)/G48</f>
        <v>-0.26041666666666669</v>
      </c>
      <c r="Q41" s="32">
        <f t="shared" si="8"/>
        <v>-2.8169014084507043E-2</v>
      </c>
      <c r="R41" s="32">
        <f t="shared" si="8"/>
        <v>8.6956521739130432E-2</v>
      </c>
      <c r="S41" s="32"/>
      <c r="T41" s="30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3:144" x14ac:dyDescent="0.3">
      <c r="C42" s="5"/>
      <c r="D42" s="5"/>
      <c r="E42" s="5"/>
      <c r="F42" s="204"/>
      <c r="G42" s="205"/>
      <c r="H42" s="205"/>
      <c r="I42" s="205"/>
      <c r="J42" s="205"/>
      <c r="K42" s="50"/>
      <c r="L42" s="55"/>
      <c r="M42" s="55"/>
      <c r="N42" s="55"/>
      <c r="O42" s="55"/>
      <c r="P42" s="32">
        <f t="shared" si="8"/>
        <v>-0.33333333333333331</v>
      </c>
      <c r="Q42" s="32">
        <f t="shared" si="8"/>
        <v>-0.15</v>
      </c>
      <c r="R42" s="32">
        <f t="shared" si="8"/>
        <v>5.8823529411764705E-2</v>
      </c>
      <c r="S42" s="32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3:144" x14ac:dyDescent="0.3">
      <c r="E43" s="55"/>
      <c r="F43" s="214"/>
      <c r="G43" s="215"/>
      <c r="H43" s="215"/>
      <c r="I43" s="215"/>
      <c r="J43" s="215"/>
      <c r="K43" s="50"/>
      <c r="L43" s="55"/>
      <c r="M43" s="55"/>
      <c r="N43" s="55"/>
      <c r="O43" s="55"/>
      <c r="P43" s="32">
        <f t="shared" si="8"/>
        <v>-0.22727272727272727</v>
      </c>
      <c r="Q43" s="32">
        <f t="shared" si="8"/>
        <v>1.9607843137254902E-2</v>
      </c>
      <c r="R43" s="32">
        <f t="shared" si="8"/>
        <v>9.6153846153846159E-2</v>
      </c>
      <c r="S43" s="32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3:144" x14ac:dyDescent="0.3">
      <c r="C44" s="15" t="s">
        <v>38</v>
      </c>
      <c r="D44" s="16"/>
      <c r="E44" s="15"/>
      <c r="F44" s="218">
        <f ca="1">SUM(F16,F27,F31,F35,F40)</f>
        <v>6866</v>
      </c>
      <c r="G44" s="219">
        <f ca="1">SUM(G16,G27,G31,G35,G40)</f>
        <v>7322</v>
      </c>
      <c r="H44" s="219">
        <f ca="1">SUM(H16,H27,H31,H35,H40)</f>
        <v>6885</v>
      </c>
      <c r="I44" s="219">
        <f ca="1">SUM(I16,I27,I31,I35,I40)</f>
        <v>7251</v>
      </c>
      <c r="J44" s="219">
        <f ca="1">SUM(J16,J27,J31,J35,J40)</f>
        <v>7615</v>
      </c>
      <c r="K44" s="50"/>
      <c r="L44" s="55"/>
      <c r="M44" s="55"/>
      <c r="N44" s="55"/>
      <c r="O44" s="55"/>
      <c r="P44" s="32">
        <f t="shared" si="8"/>
        <v>0.18181818181818182</v>
      </c>
      <c r="Q44" s="32">
        <f t="shared" si="8"/>
        <v>0.4175824175824176</v>
      </c>
      <c r="R44" s="32">
        <f t="shared" si="8"/>
        <v>-0.13178294573643412</v>
      </c>
      <c r="S44" s="32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3:144" x14ac:dyDescent="0.3">
      <c r="C45" s="8"/>
      <c r="D45" s="5"/>
      <c r="E45" s="5"/>
      <c r="F45" s="204"/>
      <c r="G45" s="205"/>
      <c r="H45" s="205"/>
      <c r="I45" s="205"/>
      <c r="J45" s="205"/>
      <c r="K45" s="50"/>
      <c r="L45" s="55"/>
      <c r="M45" s="55"/>
      <c r="N45" s="55"/>
      <c r="O45" s="55"/>
      <c r="P45" s="32">
        <f t="shared" si="8"/>
        <v>-0.88888888888888884</v>
      </c>
      <c r="Q45" s="32">
        <f t="shared" si="8"/>
        <v>1</v>
      </c>
      <c r="R45" s="32">
        <f t="shared" si="8"/>
        <v>1</v>
      </c>
      <c r="S45" s="32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3:144" ht="19.2" x14ac:dyDescent="0.4">
      <c r="C46" s="6" t="s">
        <v>39</v>
      </c>
      <c r="D46" s="5"/>
      <c r="E46" s="5"/>
      <c r="F46" s="204"/>
      <c r="G46" s="205"/>
      <c r="H46" s="205"/>
      <c r="I46" s="205"/>
      <c r="J46" s="205"/>
      <c r="K46" s="50"/>
      <c r="L46" s="55"/>
      <c r="M46" s="55"/>
      <c r="N46" s="55"/>
      <c r="O46" s="55"/>
      <c r="P46" s="32">
        <f t="shared" si="8"/>
        <v>-5.921052631578947E-2</v>
      </c>
      <c r="Q46" s="32">
        <f t="shared" si="8"/>
        <v>0.27972027972027974</v>
      </c>
      <c r="R46" s="32">
        <f t="shared" si="8"/>
        <v>-5.4644808743169397E-2</v>
      </c>
      <c r="S46" s="32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3:144" x14ac:dyDescent="0.3">
      <c r="C47" s="8" t="s">
        <v>40</v>
      </c>
      <c r="D47" s="5"/>
      <c r="E47" s="5"/>
      <c r="F47" s="204"/>
      <c r="G47" s="205"/>
      <c r="H47" s="205"/>
      <c r="I47" s="205"/>
      <c r="J47" s="205"/>
      <c r="K47" s="50"/>
      <c r="L47" s="55"/>
      <c r="M47" s="55"/>
      <c r="N47" s="55"/>
      <c r="O47" s="55"/>
      <c r="P47" s="32">
        <f t="shared" si="8"/>
        <v>-0.42857142857142855</v>
      </c>
      <c r="Q47" s="32">
        <f t="shared" si="8"/>
        <v>0</v>
      </c>
      <c r="R47" s="32">
        <f t="shared" si="8"/>
        <v>1.75</v>
      </c>
      <c r="S47" s="32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3:144" x14ac:dyDescent="0.3">
      <c r="C48" s="5" t="s">
        <v>41</v>
      </c>
      <c r="D48" s="5"/>
      <c r="E48" s="5"/>
      <c r="F48" s="204">
        <v>86</v>
      </c>
      <c r="G48" s="205">
        <v>96</v>
      </c>
      <c r="H48" s="205">
        <v>71</v>
      </c>
      <c r="I48" s="205">
        <v>69</v>
      </c>
      <c r="J48" s="205">
        <v>75</v>
      </c>
      <c r="K48" s="50"/>
      <c r="L48" s="55"/>
      <c r="M48" s="55"/>
      <c r="N48" s="55"/>
      <c r="O48" s="55"/>
      <c r="P48" s="34">
        <f t="shared" si="8"/>
        <v>-7.5471698113207544E-2</v>
      </c>
      <c r="Q48" s="34">
        <f t="shared" si="8"/>
        <v>0.27210884353741499</v>
      </c>
      <c r="R48" s="34">
        <f t="shared" si="8"/>
        <v>-1.6042780748663103E-2</v>
      </c>
      <c r="S48" s="34">
        <f>SUM(T48,-J55)/J55</f>
        <v>-0.43478260869565216</v>
      </c>
      <c r="T48" s="35">
        <v>104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3:144" x14ac:dyDescent="0.3">
      <c r="C49" s="5" t="s">
        <v>42</v>
      </c>
      <c r="D49" s="5"/>
      <c r="E49" s="5"/>
      <c r="F49" s="204">
        <v>-26</v>
      </c>
      <c r="G49" s="205">
        <v>-30</v>
      </c>
      <c r="H49" s="205">
        <v>-20</v>
      </c>
      <c r="I49" s="205">
        <v>-17</v>
      </c>
      <c r="J49" s="205">
        <v>-18</v>
      </c>
      <c r="K49" s="50"/>
      <c r="L49" s="55"/>
      <c r="M49" s="55"/>
      <c r="N49" s="55"/>
      <c r="O49" s="55"/>
      <c r="P49" s="32"/>
      <c r="Q49" s="32"/>
      <c r="R49" s="32"/>
      <c r="S49" s="32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3:144" x14ac:dyDescent="0.3">
      <c r="C50" s="5" t="s">
        <v>43</v>
      </c>
      <c r="D50" s="5"/>
      <c r="E50" s="5"/>
      <c r="F50" s="204">
        <f>SUM(F48:F49)</f>
        <v>60</v>
      </c>
      <c r="G50" s="204">
        <f t="shared" ref="G50:J50" si="9">SUM(G48:G49)</f>
        <v>66</v>
      </c>
      <c r="H50" s="204">
        <f t="shared" si="9"/>
        <v>51</v>
      </c>
      <c r="I50" s="204">
        <f t="shared" si="9"/>
        <v>52</v>
      </c>
      <c r="J50" s="204">
        <f t="shared" si="9"/>
        <v>57</v>
      </c>
      <c r="K50" s="50"/>
      <c r="L50" s="55"/>
      <c r="M50" s="55"/>
      <c r="N50" s="55"/>
      <c r="O50" s="55"/>
      <c r="P50" s="32">
        <f t="shared" ref="P50:R53" si="10">SUM(H57,-G57)/G57</f>
        <v>-0.11859582542694497</v>
      </c>
      <c r="Q50" s="32">
        <f t="shared" si="10"/>
        <v>0.10871905274488698</v>
      </c>
      <c r="R50" s="32">
        <f t="shared" si="10"/>
        <v>-0.26601941747572816</v>
      </c>
      <c r="S50" s="32"/>
      <c r="T50" s="3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3:144" x14ac:dyDescent="0.3">
      <c r="C51" s="5" t="s">
        <v>44</v>
      </c>
      <c r="D51" s="5"/>
      <c r="E51" s="5"/>
      <c r="F51" s="204">
        <v>99</v>
      </c>
      <c r="G51" s="205">
        <v>77</v>
      </c>
      <c r="H51" s="205">
        <v>91</v>
      </c>
      <c r="I51" s="205">
        <v>129</v>
      </c>
      <c r="J51" s="205">
        <v>112</v>
      </c>
      <c r="K51" s="50"/>
      <c r="L51" s="55"/>
      <c r="M51" s="55"/>
      <c r="N51" s="55"/>
      <c r="O51" s="55"/>
      <c r="P51" s="32">
        <f t="shared" si="10"/>
        <v>-0.19910714285714284</v>
      </c>
      <c r="Q51" s="32">
        <f t="shared" si="10"/>
        <v>1.89520624303233E-2</v>
      </c>
      <c r="R51" s="32">
        <f t="shared" si="10"/>
        <v>0.3172866520787746</v>
      </c>
      <c r="S51" s="32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3:144" x14ac:dyDescent="0.3">
      <c r="C52" s="5" t="s">
        <v>45</v>
      </c>
      <c r="D52" s="5"/>
      <c r="E52" s="5"/>
      <c r="F52" s="204">
        <v>22</v>
      </c>
      <c r="G52" s="205">
        <v>9</v>
      </c>
      <c r="H52" s="205">
        <v>1</v>
      </c>
      <c r="I52" s="205">
        <v>2</v>
      </c>
      <c r="J52" s="205">
        <v>4</v>
      </c>
      <c r="K52" s="50"/>
      <c r="L52" s="55"/>
      <c r="M52" s="55"/>
      <c r="N52" s="55"/>
      <c r="O52" s="55"/>
      <c r="P52" s="32">
        <f t="shared" si="10"/>
        <v>-0.56090651558073656</v>
      </c>
      <c r="Q52" s="32">
        <f t="shared" si="10"/>
        <v>5.1612903225806452E-2</v>
      </c>
      <c r="R52" s="32">
        <f t="shared" si="10"/>
        <v>-0.33742331288343558</v>
      </c>
      <c r="S52" s="32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3:144" x14ac:dyDescent="0.3">
      <c r="C53" s="8" t="s">
        <v>46</v>
      </c>
      <c r="D53" s="5"/>
      <c r="E53" s="5"/>
      <c r="F53" s="204">
        <v>181</v>
      </c>
      <c r="G53" s="205">
        <f t="shared" ref="G53" si="11">SUM(G51,G50,G52)</f>
        <v>152</v>
      </c>
      <c r="H53" s="205">
        <f>SUM(H51,H50,H52)</f>
        <v>143</v>
      </c>
      <c r="I53" s="205">
        <f>SUM(I51,I50,I52)</f>
        <v>183</v>
      </c>
      <c r="J53" s="205">
        <f>SUM(J51,J50,J52)</f>
        <v>173</v>
      </c>
      <c r="K53" s="50"/>
      <c r="L53" s="55"/>
      <c r="M53" s="55"/>
      <c r="N53" s="55"/>
      <c r="O53" s="55"/>
      <c r="P53" s="34">
        <f t="shared" si="10"/>
        <v>-8.2372322899505759E-2</v>
      </c>
      <c r="Q53" s="34">
        <f t="shared" si="10"/>
        <v>6.5828845002992215E-2</v>
      </c>
      <c r="R53" s="34">
        <f t="shared" si="10"/>
        <v>3.9865244244806287E-2</v>
      </c>
      <c r="S53" s="34">
        <f>SUM(T53,-J60)/J60</f>
        <v>0.1101511879049676</v>
      </c>
      <c r="T53" s="35">
        <v>2056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3:144" x14ac:dyDescent="0.3">
      <c r="C54" s="5" t="s">
        <v>47</v>
      </c>
      <c r="D54" s="5"/>
      <c r="E54" s="5"/>
      <c r="F54" s="204">
        <v>3</v>
      </c>
      <c r="G54" s="205">
        <v>7</v>
      </c>
      <c r="H54" s="205">
        <v>4</v>
      </c>
      <c r="I54" s="205">
        <v>4</v>
      </c>
      <c r="J54" s="205">
        <v>11</v>
      </c>
      <c r="K54" s="50"/>
      <c r="L54" s="55"/>
      <c r="M54" s="55"/>
      <c r="N54" s="55"/>
      <c r="O54" s="55"/>
      <c r="P54" s="32"/>
      <c r="Q54" s="32"/>
      <c r="R54" s="32"/>
      <c r="S54" s="32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3:144" x14ac:dyDescent="0.3">
      <c r="C55" s="10" t="s">
        <v>16</v>
      </c>
      <c r="D55" s="12"/>
      <c r="E55" s="12"/>
      <c r="F55" s="206">
        <f t="shared" ref="F55:G55" si="12">SUM(F53,F54)</f>
        <v>184</v>
      </c>
      <c r="G55" s="207">
        <f t="shared" si="12"/>
        <v>159</v>
      </c>
      <c r="H55" s="207">
        <f>SUM(H53,H54)</f>
        <v>147</v>
      </c>
      <c r="I55" s="207">
        <f>SUM(I53,I54)</f>
        <v>187</v>
      </c>
      <c r="J55" s="207">
        <f>SUM(J53,J54)</f>
        <v>184</v>
      </c>
      <c r="K55" s="50"/>
      <c r="L55" s="55"/>
      <c r="M55" s="55"/>
      <c r="N55" s="55"/>
      <c r="O55" s="55"/>
      <c r="P55" s="32">
        <f t="shared" ref="P55:P63" si="13">SUM(H62,-G62)/G62</f>
        <v>-0.63773584905660374</v>
      </c>
      <c r="Q55" s="32">
        <f t="shared" ref="Q55:Q63" si="14">SUM(I62,-H62)/H62</f>
        <v>0.69791666666666663</v>
      </c>
      <c r="R55" s="32">
        <f t="shared" ref="R55:R63" si="15">SUM(J62,-I62)/I62</f>
        <v>1.2760736196319018</v>
      </c>
      <c r="S55" s="32"/>
      <c r="T55" s="3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3:144" x14ac:dyDescent="0.3">
      <c r="C56" s="8" t="s">
        <v>48</v>
      </c>
      <c r="D56" s="5"/>
      <c r="E56" s="5"/>
      <c r="F56" s="204"/>
      <c r="G56" s="205"/>
      <c r="H56" s="205"/>
      <c r="I56" s="205"/>
      <c r="J56" s="205"/>
      <c r="K56" s="50"/>
      <c r="L56" s="55"/>
      <c r="M56" s="55"/>
      <c r="N56" s="55"/>
      <c r="O56" s="55"/>
      <c r="P56" s="32">
        <f t="shared" si="13"/>
        <v>-3.2258064516129031E-2</v>
      </c>
      <c r="Q56" s="32">
        <f t="shared" si="14"/>
        <v>0.25</v>
      </c>
      <c r="R56" s="32">
        <f t="shared" si="15"/>
        <v>0.30666666666666664</v>
      </c>
      <c r="S56" s="32"/>
      <c r="T56" s="3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3:144" x14ac:dyDescent="0.3">
      <c r="C57" s="5" t="s">
        <v>49</v>
      </c>
      <c r="D57" s="5"/>
      <c r="E57" s="5"/>
      <c r="F57" s="204">
        <v>1066</v>
      </c>
      <c r="G57" s="205">
        <v>1054</v>
      </c>
      <c r="H57" s="205">
        <v>929</v>
      </c>
      <c r="I57" s="205">
        <v>1030</v>
      </c>
      <c r="J57" s="205">
        <v>756</v>
      </c>
      <c r="K57" s="50"/>
      <c r="L57" s="55"/>
      <c r="M57" s="55"/>
      <c r="N57" s="55"/>
      <c r="O57" s="55"/>
      <c r="P57" s="32">
        <f t="shared" si="13"/>
        <v>0.22500000000000001</v>
      </c>
      <c r="Q57" s="32">
        <f t="shared" si="14"/>
        <v>-6.1224489795918366E-2</v>
      </c>
      <c r="R57" s="32">
        <f t="shared" si="15"/>
        <v>0.5</v>
      </c>
      <c r="S57" s="32"/>
      <c r="T57" s="3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3:144" x14ac:dyDescent="0.3">
      <c r="C58" s="5" t="s">
        <v>50</v>
      </c>
      <c r="D58" s="5"/>
      <c r="E58" s="5"/>
      <c r="F58" s="204">
        <v>734</v>
      </c>
      <c r="G58" s="205">
        <v>1120</v>
      </c>
      <c r="H58" s="205">
        <v>897</v>
      </c>
      <c r="I58" s="205">
        <v>914</v>
      </c>
      <c r="J58" s="205">
        <v>1204</v>
      </c>
      <c r="K58" s="50"/>
      <c r="L58" s="55"/>
      <c r="M58" s="55"/>
      <c r="N58" s="55"/>
      <c r="O58" s="55"/>
      <c r="P58" s="32">
        <f t="shared" si="13"/>
        <v>1.2727272727272727</v>
      </c>
      <c r="Q58" s="32">
        <f t="shared" si="14"/>
        <v>0.4</v>
      </c>
      <c r="R58" s="32">
        <f t="shared" si="15"/>
        <v>0.11428571428571428</v>
      </c>
      <c r="S58" s="32"/>
      <c r="T58" s="3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3:144" x14ac:dyDescent="0.3">
      <c r="C59" s="5" t="s">
        <v>51</v>
      </c>
      <c r="D59" s="5"/>
      <c r="E59" s="5"/>
      <c r="F59" s="204">
        <v>-315</v>
      </c>
      <c r="G59" s="205">
        <v>-353</v>
      </c>
      <c r="H59" s="205">
        <v>-155</v>
      </c>
      <c r="I59" s="205">
        <v>-163</v>
      </c>
      <c r="J59" s="205">
        <v>-108</v>
      </c>
      <c r="K59" s="50"/>
      <c r="L59" s="55"/>
      <c r="M59" s="55"/>
      <c r="N59" s="55"/>
      <c r="O59" s="55"/>
      <c r="P59" s="32">
        <f t="shared" si="13"/>
        <v>0</v>
      </c>
      <c r="Q59" s="32">
        <f t="shared" si="14"/>
        <v>0</v>
      </c>
      <c r="R59" s="32">
        <f t="shared" si="15"/>
        <v>0</v>
      </c>
      <c r="S59" s="32"/>
      <c r="T59" s="3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3:144" x14ac:dyDescent="0.3">
      <c r="C60" s="10" t="s">
        <v>16</v>
      </c>
      <c r="D60" s="12"/>
      <c r="E60" s="12"/>
      <c r="F60" s="206">
        <f t="shared" ref="F60:G60" si="16">SUM(F57:F59)</f>
        <v>1485</v>
      </c>
      <c r="G60" s="207">
        <f t="shared" si="16"/>
        <v>1821</v>
      </c>
      <c r="H60" s="207">
        <f>SUM(H57:H59)</f>
        <v>1671</v>
      </c>
      <c r="I60" s="207">
        <f>SUM(I57:I59)</f>
        <v>1781</v>
      </c>
      <c r="J60" s="207">
        <f>SUM(J57:J59)</f>
        <v>1852</v>
      </c>
      <c r="K60" s="50"/>
      <c r="L60" s="55"/>
      <c r="M60" s="55"/>
      <c r="N60" s="55"/>
      <c r="O60" s="55"/>
      <c r="P60" s="32">
        <f t="shared" si="13"/>
        <v>-0.5</v>
      </c>
      <c r="Q60" s="32">
        <f t="shared" si="14"/>
        <v>0.66666666666666663</v>
      </c>
      <c r="R60" s="32">
        <f t="shared" si="15"/>
        <v>0.4</v>
      </c>
      <c r="S60" s="32"/>
      <c r="T60" s="3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3:144" x14ac:dyDescent="0.3">
      <c r="C61" s="8" t="s">
        <v>52</v>
      </c>
      <c r="D61" s="5"/>
      <c r="E61" s="5"/>
      <c r="F61" s="204"/>
      <c r="G61" s="205"/>
      <c r="H61" s="205"/>
      <c r="I61" s="205"/>
      <c r="J61" s="205"/>
      <c r="K61" s="50"/>
      <c r="L61" s="55"/>
      <c r="M61" s="55"/>
      <c r="N61" s="55"/>
      <c r="O61" s="55"/>
      <c r="P61" s="32">
        <f t="shared" si="13"/>
        <v>0</v>
      </c>
      <c r="Q61" s="32">
        <f t="shared" si="14"/>
        <v>0.5714285714285714</v>
      </c>
      <c r="R61" s="32">
        <f t="shared" si="15"/>
        <v>4.5454545454545456E-2</v>
      </c>
      <c r="S61" s="32"/>
      <c r="T61" s="3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3:144" x14ac:dyDescent="0.3">
      <c r="C62" s="8" t="s">
        <v>53</v>
      </c>
      <c r="D62" s="5" t="s">
        <v>54</v>
      </c>
      <c r="E62" s="5"/>
      <c r="F62" s="190">
        <v>55</v>
      </c>
      <c r="G62" s="191">
        <v>265</v>
      </c>
      <c r="H62" s="191">
        <v>96</v>
      </c>
      <c r="I62" s="191">
        <v>163</v>
      </c>
      <c r="J62" s="191">
        <v>371</v>
      </c>
      <c r="K62" s="50"/>
      <c r="L62" s="55"/>
      <c r="M62" s="55"/>
      <c r="N62" s="55"/>
      <c r="O62" s="55"/>
      <c r="P62" s="32">
        <f t="shared" si="13"/>
        <v>-0.77777777777777779</v>
      </c>
      <c r="Q62" s="32">
        <f t="shared" si="14"/>
        <v>0</v>
      </c>
      <c r="R62" s="32">
        <f t="shared" si="15"/>
        <v>0</v>
      </c>
      <c r="S62" s="32"/>
      <c r="T62" s="3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3:144" x14ac:dyDescent="0.3">
      <c r="C63" s="8" t="s">
        <v>55</v>
      </c>
      <c r="D63" s="5"/>
      <c r="E63" s="5"/>
      <c r="F63" s="190">
        <v>128</v>
      </c>
      <c r="G63" s="191">
        <v>124</v>
      </c>
      <c r="H63" s="191">
        <v>120</v>
      </c>
      <c r="I63" s="191">
        <v>150</v>
      </c>
      <c r="J63" s="191">
        <v>196</v>
      </c>
      <c r="K63" s="50"/>
      <c r="L63" s="55"/>
      <c r="M63" s="55"/>
      <c r="N63" s="55"/>
      <c r="O63" s="55"/>
      <c r="P63" s="32">
        <f t="shared" si="13"/>
        <v>0</v>
      </c>
      <c r="Q63" s="32">
        <f t="shared" si="14"/>
        <v>0</v>
      </c>
      <c r="R63" s="32">
        <f t="shared" si="15"/>
        <v>0</v>
      </c>
      <c r="S63" s="32"/>
      <c r="T63" s="3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3:144" x14ac:dyDescent="0.3">
      <c r="C64" s="5" t="s">
        <v>56</v>
      </c>
      <c r="D64" s="5"/>
      <c r="E64" s="5"/>
      <c r="F64" s="190">
        <v>52</v>
      </c>
      <c r="G64" s="191">
        <v>40</v>
      </c>
      <c r="H64" s="191">
        <v>49</v>
      </c>
      <c r="I64" s="191">
        <v>46</v>
      </c>
      <c r="J64" s="191">
        <v>69</v>
      </c>
      <c r="K64" s="50"/>
      <c r="L64" s="55"/>
      <c r="M64" s="55"/>
      <c r="N64" s="55"/>
      <c r="O64" s="55"/>
      <c r="P64" s="32"/>
      <c r="Q64" s="32">
        <f t="shared" ref="Q64:R67" si="17">SUM(I71,-H71)/H71</f>
        <v>0</v>
      </c>
      <c r="R64" s="32">
        <f t="shared" si="17"/>
        <v>0</v>
      </c>
      <c r="S64" s="32"/>
      <c r="T64" s="3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3:144" x14ac:dyDescent="0.3">
      <c r="C65" s="5" t="s">
        <v>57</v>
      </c>
      <c r="D65" s="5"/>
      <c r="E65" s="5"/>
      <c r="F65" s="190">
        <v>7</v>
      </c>
      <c r="G65" s="191">
        <v>11</v>
      </c>
      <c r="H65" s="191">
        <v>25</v>
      </c>
      <c r="I65" s="191">
        <v>35</v>
      </c>
      <c r="J65" s="191">
        <v>39</v>
      </c>
      <c r="K65" s="50"/>
      <c r="L65" s="55"/>
      <c r="M65" s="55"/>
      <c r="N65" s="55"/>
      <c r="O65" s="55"/>
      <c r="P65" s="32">
        <f t="shared" ref="P65:P73" si="18">SUM(H72,-G72)/G72</f>
        <v>0</v>
      </c>
      <c r="Q65" s="32">
        <f t="shared" si="17"/>
        <v>0</v>
      </c>
      <c r="R65" s="32">
        <f t="shared" si="17"/>
        <v>1</v>
      </c>
      <c r="S65" s="32"/>
      <c r="T65" s="3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3:144" x14ac:dyDescent="0.3">
      <c r="C66" s="5" t="s">
        <v>58</v>
      </c>
      <c r="D66" s="5"/>
      <c r="E66" s="5"/>
      <c r="F66" s="190">
        <v>1</v>
      </c>
      <c r="G66" s="191">
        <v>1</v>
      </c>
      <c r="H66" s="191">
        <v>1</v>
      </c>
      <c r="I66" s="191">
        <v>1</v>
      </c>
      <c r="J66" s="191">
        <v>1</v>
      </c>
      <c r="K66" s="50"/>
      <c r="L66" s="55"/>
      <c r="M66" s="55"/>
      <c r="N66" s="55"/>
      <c r="O66" s="55"/>
      <c r="P66" s="32" t="e">
        <f t="shared" si="18"/>
        <v>#DIV/0!</v>
      </c>
      <c r="Q66" s="32" t="e">
        <f t="shared" si="17"/>
        <v>#DIV/0!</v>
      </c>
      <c r="R66" s="32" t="e">
        <f t="shared" si="17"/>
        <v>#DIV/0!</v>
      </c>
      <c r="S66" s="32"/>
      <c r="T66" s="3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3:144" x14ac:dyDescent="0.3">
      <c r="C67" s="5" t="s">
        <v>59</v>
      </c>
      <c r="D67" s="5"/>
      <c r="E67" s="5"/>
      <c r="F67" s="190">
        <v>4</v>
      </c>
      <c r="G67" s="191">
        <v>12</v>
      </c>
      <c r="H67" s="191">
        <v>6</v>
      </c>
      <c r="I67" s="191">
        <v>10</v>
      </c>
      <c r="J67" s="191">
        <v>14</v>
      </c>
      <c r="K67" s="50"/>
      <c r="L67" s="55"/>
      <c r="M67" s="55"/>
      <c r="N67" s="55"/>
      <c r="O67" s="55"/>
      <c r="P67" s="32">
        <f t="shared" si="18"/>
        <v>-1</v>
      </c>
      <c r="Q67" s="32" t="e">
        <f t="shared" si="17"/>
        <v>#DIV/0!</v>
      </c>
      <c r="R67" s="32" t="e">
        <f t="shared" si="17"/>
        <v>#DIV/0!</v>
      </c>
      <c r="S67" s="32"/>
      <c r="T67" s="3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3:144" x14ac:dyDescent="0.3">
      <c r="C68" s="5" t="s">
        <v>60</v>
      </c>
      <c r="D68" s="5"/>
      <c r="E68" s="5"/>
      <c r="F68" s="190">
        <v>12</v>
      </c>
      <c r="G68" s="191">
        <v>14</v>
      </c>
      <c r="H68" s="191">
        <v>14</v>
      </c>
      <c r="I68" s="191">
        <v>22</v>
      </c>
      <c r="J68" s="191">
        <v>23</v>
      </c>
      <c r="K68" s="50"/>
      <c r="L68" s="55"/>
      <c r="M68" s="55"/>
      <c r="N68" s="55"/>
      <c r="O68" s="55"/>
      <c r="P68" s="32">
        <f t="shared" si="18"/>
        <v>-0.4</v>
      </c>
      <c r="Q68" s="32">
        <f t="shared" ref="Q68:Q73" si="19">SUM(I75,-H75)/H75</f>
        <v>-1</v>
      </c>
      <c r="R68" s="32"/>
      <c r="S68" s="32"/>
      <c r="T68" s="3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3:144" x14ac:dyDescent="0.3">
      <c r="C69" s="5" t="s">
        <v>61</v>
      </c>
      <c r="D69" s="5"/>
      <c r="E69" s="5"/>
      <c r="F69" s="190">
        <v>19</v>
      </c>
      <c r="G69" s="191">
        <v>9</v>
      </c>
      <c r="H69" s="191">
        <v>2</v>
      </c>
      <c r="I69" s="191">
        <v>2</v>
      </c>
      <c r="J69" s="191">
        <v>2</v>
      </c>
      <c r="K69" s="50"/>
      <c r="L69" s="55"/>
      <c r="M69" s="55"/>
      <c r="N69" s="55"/>
      <c r="O69" s="55"/>
      <c r="P69" s="32">
        <f t="shared" si="18"/>
        <v>0</v>
      </c>
      <c r="Q69" s="32">
        <f t="shared" si="19"/>
        <v>1</v>
      </c>
      <c r="R69" s="32">
        <f>SUM(J76,-I76)/I76</f>
        <v>0</v>
      </c>
      <c r="S69" s="32"/>
      <c r="T69" s="3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3:144" x14ac:dyDescent="0.3">
      <c r="C70" s="5" t="s">
        <v>62</v>
      </c>
      <c r="D70" s="5"/>
      <c r="E70" s="5"/>
      <c r="F70" s="190">
        <v>3</v>
      </c>
      <c r="G70" s="191">
        <v>3</v>
      </c>
      <c r="H70" s="191">
        <v>3</v>
      </c>
      <c r="I70" s="191">
        <v>3</v>
      </c>
      <c r="J70" s="191">
        <v>3</v>
      </c>
      <c r="K70" s="50"/>
      <c r="L70" s="55"/>
      <c r="M70" s="55"/>
      <c r="N70" s="55"/>
      <c r="O70" s="55"/>
      <c r="P70" s="32">
        <f t="shared" si="18"/>
        <v>0</v>
      </c>
      <c r="Q70" s="32">
        <f t="shared" si="19"/>
        <v>-0.33333333333333331</v>
      </c>
      <c r="R70" s="32">
        <f>SUM(J77,-I77)/I77</f>
        <v>0.5</v>
      </c>
      <c r="S70" s="32"/>
      <c r="T70" s="3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3:144" x14ac:dyDescent="0.3">
      <c r="C71" s="5" t="s">
        <v>63</v>
      </c>
      <c r="D71" s="5"/>
      <c r="E71" s="5"/>
      <c r="F71" s="190">
        <v>1</v>
      </c>
      <c r="G71" s="191">
        <v>0</v>
      </c>
      <c r="H71" s="191">
        <v>1</v>
      </c>
      <c r="I71" s="191">
        <v>1</v>
      </c>
      <c r="J71" s="191">
        <v>1</v>
      </c>
      <c r="K71" s="50"/>
      <c r="L71" s="55"/>
      <c r="M71" s="55"/>
      <c r="N71" s="55"/>
      <c r="O71" s="55"/>
      <c r="P71" s="32">
        <f t="shared" si="18"/>
        <v>-1</v>
      </c>
      <c r="Q71" s="32" t="e">
        <f t="shared" si="19"/>
        <v>#DIV/0!</v>
      </c>
      <c r="R71" s="32"/>
      <c r="S71" s="32"/>
      <c r="T71" s="3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3:144" x14ac:dyDescent="0.3">
      <c r="C72" s="5" t="s">
        <v>64</v>
      </c>
      <c r="D72" s="5"/>
      <c r="E72" s="5"/>
      <c r="F72" s="190">
        <v>1</v>
      </c>
      <c r="G72" s="191">
        <v>1</v>
      </c>
      <c r="H72" s="191">
        <v>1</v>
      </c>
      <c r="I72" s="191">
        <v>1</v>
      </c>
      <c r="J72" s="191">
        <v>2</v>
      </c>
      <c r="K72" s="50"/>
      <c r="L72" s="55"/>
      <c r="M72" s="55"/>
      <c r="N72" s="55"/>
      <c r="O72" s="55"/>
      <c r="P72" s="32">
        <f t="shared" si="18"/>
        <v>0.375</v>
      </c>
      <c r="Q72" s="32">
        <f t="shared" si="19"/>
        <v>1.2727272727272727</v>
      </c>
      <c r="R72" s="32">
        <f>SUM(J79,-I79)/I79</f>
        <v>0.4</v>
      </c>
      <c r="S72" s="32"/>
      <c r="T72" s="3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3:144" ht="16.2" x14ac:dyDescent="0.35">
      <c r="C73" s="58" t="s">
        <v>162</v>
      </c>
      <c r="D73" s="5"/>
      <c r="E73" s="5"/>
      <c r="F73" s="190">
        <v>1</v>
      </c>
      <c r="G73" s="191">
        <v>0</v>
      </c>
      <c r="H73" s="191">
        <v>0</v>
      </c>
      <c r="I73" s="191">
        <v>0</v>
      </c>
      <c r="J73" s="191">
        <v>0</v>
      </c>
      <c r="K73" s="50"/>
      <c r="L73" s="55"/>
      <c r="M73" s="55"/>
      <c r="N73" s="55"/>
      <c r="O73" s="55"/>
      <c r="P73" s="34">
        <f t="shared" si="18"/>
        <v>-0.44473007712082263</v>
      </c>
      <c r="Q73" s="34">
        <f t="shared" si="19"/>
        <v>0.44907407407407407</v>
      </c>
      <c r="R73" s="34">
        <f>SUM(J80,-I80)/I80</f>
        <v>0.81150159744408945</v>
      </c>
      <c r="S73" s="34">
        <f>SUM(T73,-J80)/J80</f>
        <v>0.66843033509700178</v>
      </c>
      <c r="T73" s="38">
        <v>946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3:144" x14ac:dyDescent="0.3">
      <c r="C74" s="5" t="s">
        <v>65</v>
      </c>
      <c r="D74" s="5"/>
      <c r="E74" s="5"/>
      <c r="F74" s="190">
        <v>12</v>
      </c>
      <c r="G74" s="191">
        <v>13</v>
      </c>
      <c r="H74" s="191">
        <v>0</v>
      </c>
      <c r="I74" s="191">
        <v>0</v>
      </c>
      <c r="J74" s="191">
        <v>0</v>
      </c>
      <c r="K74" s="50"/>
      <c r="L74" s="55"/>
      <c r="M74" s="55"/>
      <c r="N74" s="55"/>
      <c r="O74" s="55"/>
      <c r="P74" s="32"/>
      <c r="Q74" s="32"/>
      <c r="R74" s="32"/>
      <c r="S74" s="32"/>
      <c r="T74" s="3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3:144" x14ac:dyDescent="0.3">
      <c r="C75" s="5" t="s">
        <v>66</v>
      </c>
      <c r="D75" s="5"/>
      <c r="E75" s="5"/>
      <c r="F75" s="190">
        <v>5</v>
      </c>
      <c r="G75" s="191">
        <v>5</v>
      </c>
      <c r="H75" s="191">
        <v>3</v>
      </c>
      <c r="I75" s="191">
        <v>0</v>
      </c>
      <c r="J75" s="191">
        <v>2</v>
      </c>
      <c r="K75" s="50"/>
      <c r="L75" s="55"/>
      <c r="M75" s="55"/>
      <c r="N75" s="55"/>
      <c r="O75" s="55"/>
      <c r="P75" s="32">
        <f t="shared" ref="P75:R76" si="20">SUM(H82,-G82)/G82</f>
        <v>-0.96601941747572817</v>
      </c>
      <c r="Q75" s="32">
        <f t="shared" si="20"/>
        <v>1.1428571428571428</v>
      </c>
      <c r="R75" s="32">
        <f t="shared" si="20"/>
        <v>-0.4</v>
      </c>
      <c r="S75" s="32"/>
      <c r="T75" s="30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3:144" x14ac:dyDescent="0.3">
      <c r="C76" s="5" t="s">
        <v>67</v>
      </c>
      <c r="D76" s="5"/>
      <c r="E76" s="5"/>
      <c r="F76" s="190">
        <v>1</v>
      </c>
      <c r="G76" s="191">
        <v>1</v>
      </c>
      <c r="H76" s="191">
        <v>1</v>
      </c>
      <c r="I76" s="191">
        <v>2</v>
      </c>
      <c r="J76" s="191">
        <v>2</v>
      </c>
      <c r="K76" s="50"/>
      <c r="L76" s="55"/>
      <c r="M76" s="55"/>
      <c r="N76" s="55"/>
      <c r="O76" s="55"/>
      <c r="P76" s="32">
        <f t="shared" si="20"/>
        <v>-0.9</v>
      </c>
      <c r="Q76" s="32">
        <f t="shared" si="20"/>
        <v>0</v>
      </c>
      <c r="R76" s="32">
        <f t="shared" si="20"/>
        <v>0</v>
      </c>
      <c r="S76" s="32"/>
      <c r="T76" s="3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3:144" x14ac:dyDescent="0.3">
      <c r="C77" s="5" t="s">
        <v>68</v>
      </c>
      <c r="D77" s="5"/>
      <c r="E77" s="5"/>
      <c r="F77" s="190">
        <v>0</v>
      </c>
      <c r="G77" s="191">
        <v>3</v>
      </c>
      <c r="H77" s="191">
        <v>3</v>
      </c>
      <c r="I77" s="191">
        <v>2</v>
      </c>
      <c r="J77" s="191">
        <v>3</v>
      </c>
      <c r="K77" s="50"/>
      <c r="L77" s="55"/>
      <c r="M77" s="55"/>
      <c r="N77" s="55"/>
      <c r="O77" s="55"/>
      <c r="P77" s="32">
        <f>SUM(H84,-G84)/G84</f>
        <v>-1</v>
      </c>
      <c r="Q77" s="32"/>
      <c r="R77" s="32"/>
      <c r="S77" s="32"/>
      <c r="T77" s="3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3:144" x14ac:dyDescent="0.3">
      <c r="C78" s="5" t="s">
        <v>69</v>
      </c>
      <c r="D78" s="5"/>
      <c r="E78" s="5"/>
      <c r="F78" s="190">
        <v>0</v>
      </c>
      <c r="G78" s="191">
        <v>3</v>
      </c>
      <c r="H78" s="191">
        <v>0</v>
      </c>
      <c r="I78" s="191">
        <v>0</v>
      </c>
      <c r="J78" s="191">
        <v>0</v>
      </c>
      <c r="K78" s="50"/>
      <c r="L78" s="55"/>
      <c r="M78" s="55"/>
      <c r="N78" s="55"/>
      <c r="O78" s="55"/>
      <c r="P78" s="34">
        <f>SUM(H85,-G85)/G85</f>
        <v>-0.96330275229357798</v>
      </c>
      <c r="Q78" s="34">
        <f>SUM(I85,-H85)/H85</f>
        <v>1</v>
      </c>
      <c r="R78" s="34">
        <f>SUM(J85,-I85)/I85</f>
        <v>-0.375</v>
      </c>
      <c r="S78" s="34">
        <f>SUM(T78,-J85)/J85</f>
        <v>0.3</v>
      </c>
      <c r="T78" s="38">
        <v>13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3:144" x14ac:dyDescent="0.3">
      <c r="C79" s="5" t="s">
        <v>70</v>
      </c>
      <c r="D79" s="5"/>
      <c r="E79" s="5"/>
      <c r="F79" s="190">
        <v>9</v>
      </c>
      <c r="G79" s="191">
        <v>8</v>
      </c>
      <c r="H79" s="191">
        <v>11</v>
      </c>
      <c r="I79" s="191">
        <v>25</v>
      </c>
      <c r="J79" s="191">
        <v>35</v>
      </c>
      <c r="K79" s="50"/>
      <c r="L79" s="55"/>
      <c r="M79" s="55"/>
      <c r="N79" s="55"/>
      <c r="O79" s="55"/>
      <c r="P79" s="56">
        <f t="shared" ref="P79:R81" si="21">SUM(H87,-G87)/G87</f>
        <v>0.52857142857142858</v>
      </c>
      <c r="Q79" s="56">
        <f t="shared" si="21"/>
        <v>-0.54205607476635509</v>
      </c>
      <c r="R79" s="56">
        <f t="shared" si="21"/>
        <v>0.2857142857142857</v>
      </c>
      <c r="S79" s="56">
        <f>SUM(T79,-J87)/J87</f>
        <v>-0.19047619047619047</v>
      </c>
      <c r="T79" s="59">
        <v>51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3:144" x14ac:dyDescent="0.3">
      <c r="C80" s="10" t="s">
        <v>16</v>
      </c>
      <c r="D80" s="11"/>
      <c r="E80" s="12"/>
      <c r="F80" s="206">
        <f>SUM(F62,F63)</f>
        <v>183</v>
      </c>
      <c r="G80" s="207">
        <f>SUM(G62,G63)</f>
        <v>389</v>
      </c>
      <c r="H80" s="207">
        <f>SUM(H62,H63)</f>
        <v>216</v>
      </c>
      <c r="I80" s="207">
        <f>SUM(I62,I63)</f>
        <v>313</v>
      </c>
      <c r="J80" s="207">
        <f>SUM(J62,J63)</f>
        <v>567</v>
      </c>
      <c r="K80" s="53"/>
      <c r="L80" s="55"/>
      <c r="M80" s="55"/>
      <c r="N80" s="55"/>
      <c r="O80" s="55"/>
      <c r="P80" s="56">
        <f t="shared" si="21"/>
        <v>0.71890547263681592</v>
      </c>
      <c r="Q80" s="56">
        <f t="shared" si="21"/>
        <v>-9.6960926193921854E-2</v>
      </c>
      <c r="R80" s="56">
        <f t="shared" si="21"/>
        <v>-0.30448717948717946</v>
      </c>
      <c r="S80" s="56">
        <f>SUM(T80,-J88)/J88</f>
        <v>-0.29262672811059909</v>
      </c>
      <c r="T80" s="59">
        <v>307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3:144" x14ac:dyDescent="0.3">
      <c r="C81" s="8" t="s">
        <v>71</v>
      </c>
      <c r="D81" s="5"/>
      <c r="E81" s="5"/>
      <c r="F81" s="204"/>
      <c r="G81" s="205"/>
      <c r="H81" s="205"/>
      <c r="I81" s="205"/>
      <c r="J81" s="205"/>
      <c r="K81" s="50"/>
      <c r="L81" s="55"/>
      <c r="M81" s="55"/>
      <c r="N81" s="55"/>
      <c r="O81" s="55"/>
      <c r="P81" s="39">
        <f t="shared" si="21"/>
        <v>-7.159202353710363E-2</v>
      </c>
      <c r="Q81" s="39">
        <f t="shared" si="21"/>
        <v>4.5774647887323945E-2</v>
      </c>
      <c r="R81" s="39">
        <f t="shared" si="21"/>
        <v>4.7138047138047139E-2</v>
      </c>
      <c r="S81" s="39">
        <f>SUM(T81,-J89)/J89</f>
        <v>0.1180064308681672</v>
      </c>
      <c r="T81" s="40">
        <f>SUM(T80,T79,T78,T73,T53,T48,)</f>
        <v>3477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3:144" x14ac:dyDescent="0.3">
      <c r="C82" s="5" t="s">
        <v>72</v>
      </c>
      <c r="D82" s="5"/>
      <c r="E82" s="5"/>
      <c r="F82" s="190">
        <v>165</v>
      </c>
      <c r="G82" s="191">
        <v>206</v>
      </c>
      <c r="H82" s="191">
        <v>7</v>
      </c>
      <c r="I82" s="191">
        <v>15</v>
      </c>
      <c r="J82" s="191">
        <v>9</v>
      </c>
      <c r="K82" s="50"/>
      <c r="L82" s="55"/>
      <c r="M82" s="55"/>
      <c r="N82" s="55"/>
      <c r="O82" s="55"/>
      <c r="P82" s="29"/>
      <c r="Q82" s="29"/>
      <c r="R82" s="29"/>
      <c r="S82" s="29"/>
      <c r="T82" s="30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3:144" x14ac:dyDescent="0.3">
      <c r="C83" s="5" t="s">
        <v>73</v>
      </c>
      <c r="D83" s="5"/>
      <c r="E83" s="5"/>
      <c r="F83" s="190">
        <v>6</v>
      </c>
      <c r="G83" s="191">
        <v>10</v>
      </c>
      <c r="H83" s="191">
        <v>1</v>
      </c>
      <c r="I83" s="191">
        <v>1</v>
      </c>
      <c r="J83" s="191">
        <v>1</v>
      </c>
      <c r="K83" s="50"/>
      <c r="L83" s="55"/>
      <c r="M83" s="55"/>
      <c r="N83" s="55"/>
      <c r="O83" s="55"/>
      <c r="P83" s="56">
        <f>SUM(H91,-G91)/G91</f>
        <v>36.333333333333336</v>
      </c>
      <c r="Q83" s="56">
        <f>SUM(I91,-H91)/H91</f>
        <v>-0.5</v>
      </c>
      <c r="R83" s="56">
        <f>SUM(J91,-I91)/I91</f>
        <v>-1</v>
      </c>
      <c r="S83" s="56"/>
      <c r="T83" s="5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3:144" x14ac:dyDescent="0.3">
      <c r="C84" s="5" t="s">
        <v>74</v>
      </c>
      <c r="D84" s="5"/>
      <c r="E84" s="5"/>
      <c r="F84" s="190">
        <v>0</v>
      </c>
      <c r="G84" s="191">
        <v>2</v>
      </c>
      <c r="H84" s="191">
        <v>0</v>
      </c>
      <c r="I84" s="191">
        <v>0</v>
      </c>
      <c r="J84" s="191">
        <v>0</v>
      </c>
      <c r="K84" s="50"/>
      <c r="L84" s="55"/>
      <c r="M84" s="55"/>
      <c r="N84" s="55"/>
      <c r="O84" s="55"/>
      <c r="P84" s="29"/>
      <c r="Q84" s="29"/>
      <c r="R84" s="29"/>
      <c r="S84" s="29"/>
      <c r="T84" s="3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3:144" x14ac:dyDescent="0.3">
      <c r="C85" s="10" t="s">
        <v>16</v>
      </c>
      <c r="D85" s="11"/>
      <c r="E85" s="11"/>
      <c r="F85" s="206">
        <f>SUM(F82:F84)</f>
        <v>171</v>
      </c>
      <c r="G85" s="207">
        <f>SUM(G82:G84)</f>
        <v>218</v>
      </c>
      <c r="H85" s="207">
        <f>SUM(H82:H84)</f>
        <v>8</v>
      </c>
      <c r="I85" s="207">
        <f>SUM(I82:I84)</f>
        <v>16</v>
      </c>
      <c r="J85" s="207">
        <f>SUM(J82:J84)</f>
        <v>10</v>
      </c>
      <c r="K85" s="50"/>
      <c r="L85" s="55"/>
      <c r="M85" s="55"/>
      <c r="N85" s="55"/>
      <c r="O85" s="55"/>
      <c r="P85" s="41">
        <f ca="1">SUM(H93,-G93)/G93</f>
        <v>-4.216809473380187E-2</v>
      </c>
      <c r="Q85" s="41">
        <f ca="1">SUM(I93,-H93)/H93</f>
        <v>3.8596843903909939E-2</v>
      </c>
      <c r="R85" s="41">
        <f ca="1">SUM(J93,-I93)/I93</f>
        <v>3.7936707635730184E-2</v>
      </c>
      <c r="S85" s="41">
        <f ca="1">SUM(T85,-J93)/J93</f>
        <v>4.7272727272727272E-2</v>
      </c>
      <c r="T85" s="42">
        <f>SUM(T83,T81,T37)</f>
        <v>11232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3:144" x14ac:dyDescent="0.3">
      <c r="C86" s="14" t="s">
        <v>343</v>
      </c>
      <c r="D86" s="14"/>
      <c r="E86" s="14"/>
      <c r="F86" s="208">
        <v>171</v>
      </c>
      <c r="G86" s="209">
        <v>218</v>
      </c>
      <c r="H86" s="209">
        <v>8</v>
      </c>
      <c r="I86" s="209">
        <v>16</v>
      </c>
      <c r="J86" s="209">
        <v>10</v>
      </c>
      <c r="K86" s="53"/>
      <c r="L86" s="55"/>
      <c r="M86" s="55"/>
      <c r="N86" s="55"/>
      <c r="O86" s="55"/>
      <c r="P86" s="32"/>
      <c r="Q86" s="32"/>
      <c r="R86" s="32"/>
      <c r="S86" s="32"/>
      <c r="T86" s="30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3:144" x14ac:dyDescent="0.3">
      <c r="C87" s="8" t="s">
        <v>75</v>
      </c>
      <c r="D87" s="5" t="s">
        <v>76</v>
      </c>
      <c r="E87" s="5"/>
      <c r="F87" s="216">
        <v>71</v>
      </c>
      <c r="G87" s="217">
        <v>70</v>
      </c>
      <c r="H87" s="217">
        <v>107</v>
      </c>
      <c r="I87" s="217">
        <v>49</v>
      </c>
      <c r="J87" s="217">
        <v>63</v>
      </c>
      <c r="K87" s="50"/>
      <c r="L87" s="55"/>
      <c r="M87" s="55"/>
      <c r="N87" s="55"/>
      <c r="O87" s="55"/>
      <c r="P87" s="32">
        <f t="shared" ref="P87:R89" si="22">SUM(H97,-G97)/G97</f>
        <v>0</v>
      </c>
      <c r="Q87" s="32">
        <f t="shared" si="22"/>
        <v>0</v>
      </c>
      <c r="R87" s="32">
        <f t="shared" si="22"/>
        <v>0</v>
      </c>
      <c r="S87" s="32">
        <f>SUM(T87,-J97)/J97</f>
        <v>0</v>
      </c>
      <c r="T87" s="30">
        <v>1629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3:144" x14ac:dyDescent="0.3">
      <c r="C88" s="8" t="s">
        <v>77</v>
      </c>
      <c r="D88" s="5" t="s">
        <v>78</v>
      </c>
      <c r="E88" s="5"/>
      <c r="F88" s="216">
        <v>636</v>
      </c>
      <c r="G88" s="217">
        <v>402</v>
      </c>
      <c r="H88" s="217">
        <v>691</v>
      </c>
      <c r="I88" s="217">
        <v>624</v>
      </c>
      <c r="J88" s="217">
        <v>434</v>
      </c>
      <c r="K88" s="50"/>
      <c r="L88" s="55"/>
      <c r="M88" s="55"/>
      <c r="N88" s="55"/>
      <c r="O88" s="55"/>
      <c r="P88" s="32">
        <f t="shared" si="22"/>
        <v>0</v>
      </c>
      <c r="Q88" s="32">
        <f t="shared" si="22"/>
        <v>0</v>
      </c>
      <c r="R88" s="32">
        <f t="shared" si="22"/>
        <v>0</v>
      </c>
      <c r="S88" s="32">
        <f>SUM(T88,-J98)/J98</f>
        <v>0</v>
      </c>
      <c r="T88" s="30">
        <v>-54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3:144" x14ac:dyDescent="0.3">
      <c r="C89" s="15" t="s">
        <v>79</v>
      </c>
      <c r="D89" s="16"/>
      <c r="E89" s="16"/>
      <c r="F89" s="218">
        <f>SUM(F88,F87,F85,F80,F60,F55,)</f>
        <v>2730</v>
      </c>
      <c r="G89" s="219">
        <f>SUM(G88,G87,G85,G80,G60,G55,)</f>
        <v>3059</v>
      </c>
      <c r="H89" s="219">
        <f>SUM(H88,H87,H85,H80,H60,H55,)</f>
        <v>2840</v>
      </c>
      <c r="I89" s="219">
        <f>SUM(I88,I87,I85,I80,I60,I55,)</f>
        <v>2970</v>
      </c>
      <c r="J89" s="219">
        <f>SUM(J88,J87,J85,J80,J60,J55,)</f>
        <v>3110</v>
      </c>
      <c r="K89" s="50"/>
      <c r="L89" s="55"/>
      <c r="M89" s="55"/>
      <c r="N89" s="55"/>
      <c r="O89" s="55"/>
      <c r="P89" s="32">
        <f t="shared" si="22"/>
        <v>9.9020674646354737E-2</v>
      </c>
      <c r="Q89" s="32">
        <f t="shared" si="22"/>
        <v>0.20396039603960395</v>
      </c>
      <c r="R89" s="32">
        <f t="shared" si="22"/>
        <v>8.9638157894736836E-2</v>
      </c>
      <c r="S89" s="32">
        <f>SUM(T89,-J99)/J99</f>
        <v>0.26867924528301884</v>
      </c>
      <c r="T89" s="30">
        <v>1681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3:144" x14ac:dyDescent="0.3">
      <c r="C90" s="17"/>
      <c r="D90" s="17"/>
      <c r="E90" s="5"/>
      <c r="F90" s="220"/>
      <c r="G90" s="205"/>
      <c r="H90" s="205"/>
      <c r="I90" s="205"/>
      <c r="J90" s="205"/>
      <c r="K90" s="50"/>
      <c r="L90" s="55"/>
      <c r="M90" s="55"/>
      <c r="N90" s="55"/>
      <c r="O90" s="55"/>
      <c r="P90" s="36"/>
      <c r="Q90" s="36"/>
      <c r="R90" s="36"/>
      <c r="S90" s="36"/>
      <c r="T90" s="3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3:144" x14ac:dyDescent="0.3">
      <c r="C91" s="8" t="s">
        <v>80</v>
      </c>
      <c r="D91" s="5" t="s">
        <v>81</v>
      </c>
      <c r="E91" s="5"/>
      <c r="F91" s="216">
        <v>205</v>
      </c>
      <c r="G91" s="217">
        <v>6</v>
      </c>
      <c r="H91" s="217">
        <v>224</v>
      </c>
      <c r="I91" s="217">
        <v>112</v>
      </c>
      <c r="J91" s="217">
        <v>0</v>
      </c>
      <c r="K91" s="50"/>
      <c r="L91" s="55"/>
      <c r="M91" s="55"/>
      <c r="N91" s="55"/>
      <c r="O91" s="55"/>
      <c r="P91" s="36">
        <f>SUM(H101,G101)/G101</f>
        <v>14.5</v>
      </c>
      <c r="Q91" s="36">
        <f t="shared" ref="Q91:Q100" si="23">SUM(I101,-H101)/H101</f>
        <v>-0.66666666666666663</v>
      </c>
      <c r="R91" s="36">
        <f t="shared" ref="R91:R100" si="24">SUM(J101,-I101)/I101</f>
        <v>3.5555555555555554</v>
      </c>
      <c r="S91" s="36"/>
      <c r="T91" s="37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3:144" x14ac:dyDescent="0.3">
      <c r="C92" s="17"/>
      <c r="D92" s="17"/>
      <c r="E92" s="5"/>
      <c r="F92" s="204"/>
      <c r="G92" s="205"/>
      <c r="H92" s="205"/>
      <c r="I92" s="205"/>
      <c r="J92" s="205"/>
      <c r="K92" s="50"/>
      <c r="L92" s="55"/>
      <c r="M92" s="55"/>
      <c r="N92" s="55"/>
      <c r="O92" s="55"/>
      <c r="P92" s="36"/>
      <c r="Q92" s="36">
        <f t="shared" si="23"/>
        <v>-0.7142857142857143</v>
      </c>
      <c r="R92" s="36">
        <f t="shared" si="24"/>
        <v>4.5</v>
      </c>
      <c r="S92" s="36"/>
      <c r="T92" s="37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3:144" x14ac:dyDescent="0.3">
      <c r="C93" s="18" t="s">
        <v>82</v>
      </c>
      <c r="D93" s="19" t="s">
        <v>83</v>
      </c>
      <c r="E93" s="20"/>
      <c r="F93" s="221">
        <f ca="1">SUM(F91,F89,F44)</f>
        <v>9801</v>
      </c>
      <c r="G93" s="222">
        <f ca="1">SUM(G91,G89,G44)</f>
        <v>10387</v>
      </c>
      <c r="H93" s="222">
        <f ca="1">SUM(H91,H89,H44)</f>
        <v>9949</v>
      </c>
      <c r="I93" s="222">
        <f ca="1">SUM(I91,I89,I44)</f>
        <v>10333</v>
      </c>
      <c r="J93" s="222">
        <f ca="1">SUM(J91,J89,J44)</f>
        <v>10725</v>
      </c>
      <c r="K93" s="50"/>
      <c r="L93" s="55"/>
      <c r="M93" s="55"/>
      <c r="N93" s="55"/>
      <c r="O93" s="55"/>
      <c r="P93" s="32">
        <f t="shared" ref="P93:P100" si="25">SUM(H103,-G103)/G103</f>
        <v>9</v>
      </c>
      <c r="Q93" s="32">
        <f t="shared" si="23"/>
        <v>-0.65</v>
      </c>
      <c r="R93" s="32">
        <f t="shared" si="24"/>
        <v>3.2857142857142856</v>
      </c>
      <c r="S93" s="32"/>
      <c r="T93" s="3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3:144" x14ac:dyDescent="0.3">
      <c r="C94" s="8"/>
      <c r="D94" s="21"/>
      <c r="E94" s="5"/>
      <c r="F94" s="204"/>
      <c r="G94" s="205"/>
      <c r="H94" s="205"/>
      <c r="I94" s="205"/>
      <c r="J94" s="205"/>
      <c r="K94" s="50"/>
      <c r="L94" s="55"/>
      <c r="M94" s="55"/>
      <c r="N94" s="55"/>
      <c r="O94" s="55"/>
      <c r="P94" s="32">
        <f t="shared" si="25"/>
        <v>-0.2087912087912088</v>
      </c>
      <c r="Q94" s="32">
        <f t="shared" si="23"/>
        <v>-2.7777777777777776E-2</v>
      </c>
      <c r="R94" s="32">
        <f t="shared" si="24"/>
        <v>0.1</v>
      </c>
      <c r="S94" s="32"/>
      <c r="T94" s="3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3:144" ht="21" x14ac:dyDescent="0.4">
      <c r="C95" s="128" t="s">
        <v>84</v>
      </c>
      <c r="D95" s="22"/>
      <c r="E95" s="22"/>
      <c r="F95" s="223"/>
      <c r="G95" s="205"/>
      <c r="H95" s="205"/>
      <c r="I95" s="205"/>
      <c r="J95" s="205"/>
      <c r="K95" s="50"/>
      <c r="L95" s="55"/>
      <c r="M95" s="55"/>
      <c r="N95" s="55"/>
      <c r="O95" s="55"/>
      <c r="P95" s="32">
        <f t="shared" si="25"/>
        <v>-0.26923076923076922</v>
      </c>
      <c r="Q95" s="32">
        <f t="shared" si="23"/>
        <v>-5.2631578947368418E-2</v>
      </c>
      <c r="R95" s="32">
        <f t="shared" si="24"/>
        <v>0.1111111111111111</v>
      </c>
      <c r="S95" s="32"/>
      <c r="T95" s="3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3:144" ht="19.2" x14ac:dyDescent="0.4">
      <c r="C96" s="6" t="s">
        <v>85</v>
      </c>
      <c r="D96" s="5" t="s">
        <v>86</v>
      </c>
      <c r="E96" s="5"/>
      <c r="F96" s="204"/>
      <c r="G96" s="205"/>
      <c r="H96" s="205"/>
      <c r="I96" s="205"/>
      <c r="J96" s="205"/>
      <c r="K96" s="50"/>
      <c r="L96" s="55"/>
      <c r="M96" s="55"/>
      <c r="N96" s="55"/>
      <c r="O96" s="55"/>
      <c r="P96" s="32">
        <f t="shared" si="25"/>
        <v>-0.18461538461538463</v>
      </c>
      <c r="Q96" s="32">
        <f t="shared" si="23"/>
        <v>-1.8867924528301886E-2</v>
      </c>
      <c r="R96" s="32">
        <f t="shared" si="24"/>
        <v>9.6153846153846159E-2</v>
      </c>
      <c r="S96" s="32"/>
      <c r="T96" s="3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3:144" x14ac:dyDescent="0.3">
      <c r="C97" s="5" t="s">
        <v>87</v>
      </c>
      <c r="D97" s="5" t="s">
        <v>88</v>
      </c>
      <c r="E97" s="5"/>
      <c r="F97" s="204">
        <v>1629</v>
      </c>
      <c r="G97" s="205">
        <v>1629</v>
      </c>
      <c r="H97" s="205">
        <v>1629</v>
      </c>
      <c r="I97" s="205">
        <v>1629</v>
      </c>
      <c r="J97" s="205">
        <v>1629</v>
      </c>
      <c r="K97" s="50"/>
      <c r="L97" s="55"/>
      <c r="M97" s="55"/>
      <c r="N97" s="55"/>
      <c r="O97" s="55"/>
      <c r="P97" s="32">
        <f t="shared" si="25"/>
        <v>0.26293103448275862</v>
      </c>
      <c r="Q97" s="32">
        <f t="shared" si="23"/>
        <v>0.17406143344709898</v>
      </c>
      <c r="R97" s="32">
        <f t="shared" si="24"/>
        <v>0.1308139534883721</v>
      </c>
      <c r="S97" s="32">
        <f>SUM(T97,-J107)/J107</f>
        <v>-0.71208226221079696</v>
      </c>
      <c r="T97" s="30">
        <v>112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3:144" x14ac:dyDescent="0.3">
      <c r="C98" s="5" t="s">
        <v>161</v>
      </c>
      <c r="D98" s="5" t="s">
        <v>89</v>
      </c>
      <c r="E98" s="5"/>
      <c r="F98" s="204">
        <v>-61</v>
      </c>
      <c r="G98" s="205">
        <v>-54</v>
      </c>
      <c r="H98" s="205">
        <v>-54</v>
      </c>
      <c r="I98" s="205">
        <v>-54</v>
      </c>
      <c r="J98" s="205">
        <v>-54</v>
      </c>
      <c r="K98" s="50"/>
      <c r="L98" s="55"/>
      <c r="M98" s="55"/>
      <c r="N98" s="55"/>
      <c r="O98" s="55"/>
      <c r="P98" s="39">
        <f t="shared" si="25"/>
        <v>5.5759354365370509E-2</v>
      </c>
      <c r="Q98" s="39">
        <f t="shared" si="23"/>
        <v>8.9298123697011816E-2</v>
      </c>
      <c r="R98" s="39">
        <f t="shared" si="24"/>
        <v>4.912280701754386E-2</v>
      </c>
      <c r="S98" s="39">
        <f>SUM(T98,-J108)/J108</f>
        <v>2.4019458802067496E-2</v>
      </c>
      <c r="T98" s="40">
        <f t="shared" ref="T98" si="26">SUM(T87,T88,T89,T97,)</f>
        <v>3368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3:144" x14ac:dyDescent="0.3">
      <c r="C99" s="5" t="s">
        <v>160</v>
      </c>
      <c r="D99" s="5" t="s">
        <v>90</v>
      </c>
      <c r="E99" s="5"/>
      <c r="F99" s="204">
        <v>1005</v>
      </c>
      <c r="G99" s="205">
        <v>919</v>
      </c>
      <c r="H99" s="205">
        <v>1010</v>
      </c>
      <c r="I99" s="205">
        <v>1216</v>
      </c>
      <c r="J99" s="205">
        <v>1325</v>
      </c>
      <c r="K99" s="50"/>
      <c r="L99" s="55"/>
      <c r="M99" s="55"/>
      <c r="N99" s="55"/>
      <c r="O99" s="55"/>
      <c r="P99" s="32">
        <f t="shared" si="25"/>
        <v>-0.75587703435804698</v>
      </c>
      <c r="Q99" s="32">
        <f t="shared" si="23"/>
        <v>1.874074074074074</v>
      </c>
      <c r="R99" s="32">
        <f t="shared" si="24"/>
        <v>-6.7010309278350513E-2</v>
      </c>
      <c r="S99" s="32">
        <f>SUM(T99,-J109)/J109</f>
        <v>4.4198895027624308E-2</v>
      </c>
      <c r="T99" s="30">
        <v>378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3:144" x14ac:dyDescent="0.3">
      <c r="C100" s="14" t="s">
        <v>17</v>
      </c>
      <c r="D100" s="14"/>
      <c r="E100" s="14"/>
      <c r="F100" s="208"/>
      <c r="G100" s="209"/>
      <c r="H100" s="209"/>
      <c r="I100" s="209"/>
      <c r="J100" s="209"/>
      <c r="K100" s="50"/>
      <c r="L100" s="55"/>
      <c r="M100" s="55"/>
      <c r="N100" s="55"/>
      <c r="O100" s="55"/>
      <c r="P100" s="43">
        <f t="shared" si="25"/>
        <v>-8.1122293382128702E-2</v>
      </c>
      <c r="Q100" s="43">
        <f t="shared" si="23"/>
        <v>0.16926651178227681</v>
      </c>
      <c r="R100" s="43">
        <f t="shared" si="24"/>
        <v>3.6332671019017881E-2</v>
      </c>
      <c r="S100" s="43">
        <f>SUM(T100,-J110)/J110</f>
        <v>2.6020268419611064E-2</v>
      </c>
      <c r="T100" s="44">
        <f t="shared" ref="T100" si="27">SUM(T99,T98)</f>
        <v>3746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3:144" ht="28.8" x14ac:dyDescent="0.3">
      <c r="C101" s="23" t="s">
        <v>91</v>
      </c>
      <c r="D101" s="14"/>
      <c r="E101" s="14"/>
      <c r="F101" s="208">
        <v>-33</v>
      </c>
      <c r="G101" s="209">
        <v>-2</v>
      </c>
      <c r="H101" s="209">
        <v>-27</v>
      </c>
      <c r="I101" s="209">
        <v>-9</v>
      </c>
      <c r="J101" s="209">
        <v>-41</v>
      </c>
      <c r="K101" s="50"/>
      <c r="L101" s="55"/>
      <c r="M101" s="55"/>
      <c r="N101" s="55"/>
      <c r="O101" s="55"/>
      <c r="P101" s="32"/>
      <c r="Q101" s="32"/>
      <c r="R101" s="32"/>
      <c r="S101" s="32"/>
      <c r="T101" s="3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3:144" x14ac:dyDescent="0.3">
      <c r="C102" s="14" t="s">
        <v>92</v>
      </c>
      <c r="D102" s="14"/>
      <c r="E102" s="14"/>
      <c r="F102" s="208">
        <v>8</v>
      </c>
      <c r="G102" s="209">
        <v>0</v>
      </c>
      <c r="H102" s="209">
        <v>7</v>
      </c>
      <c r="I102" s="209">
        <v>2</v>
      </c>
      <c r="J102" s="209">
        <v>11</v>
      </c>
      <c r="K102" s="50"/>
      <c r="L102" s="55"/>
      <c r="M102" s="55"/>
      <c r="N102" s="55"/>
      <c r="O102" s="55"/>
      <c r="P102" s="32"/>
      <c r="Q102" s="32"/>
      <c r="R102" s="32"/>
      <c r="S102" s="32"/>
      <c r="T102" s="3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3:144" x14ac:dyDescent="0.3">
      <c r="C103" s="14" t="s">
        <v>93</v>
      </c>
      <c r="D103" s="5"/>
      <c r="E103" s="5"/>
      <c r="F103" s="204">
        <v>-25</v>
      </c>
      <c r="G103" s="205">
        <f>SUM(G101:G102)</f>
        <v>-2</v>
      </c>
      <c r="H103" s="205">
        <f>SUM(H101:H102)</f>
        <v>-20</v>
      </c>
      <c r="I103" s="205">
        <f>SUM(I101:I102)</f>
        <v>-7</v>
      </c>
      <c r="J103" s="205">
        <f>SUM(J101:J102)</f>
        <v>-30</v>
      </c>
      <c r="K103" s="50"/>
      <c r="L103" s="55"/>
      <c r="M103" s="55"/>
      <c r="N103" s="55"/>
      <c r="O103" s="55"/>
      <c r="P103" s="32"/>
      <c r="Q103" s="32"/>
      <c r="R103" s="32"/>
      <c r="S103" s="32"/>
      <c r="T103" s="3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3:144" x14ac:dyDescent="0.3">
      <c r="C104" s="14" t="s">
        <v>94</v>
      </c>
      <c r="D104" s="5"/>
      <c r="E104" s="5"/>
      <c r="F104" s="204">
        <v>-64</v>
      </c>
      <c r="G104" s="205">
        <v>-91</v>
      </c>
      <c r="H104" s="205">
        <v>-72</v>
      </c>
      <c r="I104" s="205">
        <v>-70</v>
      </c>
      <c r="J104" s="205">
        <v>-77</v>
      </c>
      <c r="K104" s="50"/>
      <c r="L104" s="55"/>
      <c r="M104" s="55"/>
      <c r="N104" s="55"/>
      <c r="O104" s="55"/>
      <c r="P104" s="32"/>
      <c r="Q104" s="32"/>
      <c r="R104" s="32"/>
      <c r="S104" s="32"/>
      <c r="T104" s="3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3:144" x14ac:dyDescent="0.3">
      <c r="C105" s="14" t="s">
        <v>92</v>
      </c>
      <c r="D105" s="5"/>
      <c r="E105" s="5"/>
      <c r="F105" s="204">
        <v>16</v>
      </c>
      <c r="G105" s="205">
        <v>26</v>
      </c>
      <c r="H105" s="205">
        <v>19</v>
      </c>
      <c r="I105" s="205">
        <v>18</v>
      </c>
      <c r="J105" s="205">
        <v>20</v>
      </c>
      <c r="K105" s="50"/>
      <c r="L105" s="55"/>
      <c r="M105" s="55"/>
      <c r="N105" s="55"/>
      <c r="O105" s="55"/>
      <c r="P105" s="32">
        <f t="shared" ref="P105:R109" si="28">SUM(H115,-G115)/G115</f>
        <v>6.8548387096774188E-2</v>
      </c>
      <c r="Q105" s="32">
        <f t="shared" si="28"/>
        <v>-0.17735849056603772</v>
      </c>
      <c r="R105" s="32">
        <f t="shared" si="28"/>
        <v>0.16972477064220184</v>
      </c>
      <c r="S105" s="32"/>
      <c r="T105" s="30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3:144" x14ac:dyDescent="0.3">
      <c r="C106" s="14" t="s">
        <v>95</v>
      </c>
      <c r="D106" s="5"/>
      <c r="E106" s="5"/>
      <c r="F106" s="204">
        <v>-48</v>
      </c>
      <c r="G106" s="205">
        <f>SUM(G104:G105)</f>
        <v>-65</v>
      </c>
      <c r="H106" s="205">
        <f>SUM(H104:H105)</f>
        <v>-53</v>
      </c>
      <c r="I106" s="205">
        <f>SUM(I104:I105)</f>
        <v>-52</v>
      </c>
      <c r="J106" s="205">
        <f>SUM(J104:J105)</f>
        <v>-57</v>
      </c>
      <c r="K106" s="50"/>
      <c r="L106" s="55"/>
      <c r="M106" s="55"/>
      <c r="N106" s="55"/>
      <c r="O106" s="55"/>
      <c r="P106" s="32">
        <f t="shared" si="28"/>
        <v>-0.14693446088794926</v>
      </c>
      <c r="Q106" s="32">
        <f t="shared" si="28"/>
        <v>-6.4436183395291197E-2</v>
      </c>
      <c r="R106" s="32">
        <f t="shared" si="28"/>
        <v>-0.15496688741721854</v>
      </c>
      <c r="S106" s="32"/>
      <c r="T106" s="30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3:144" x14ac:dyDescent="0.3">
      <c r="C107" s="5" t="s">
        <v>96</v>
      </c>
      <c r="D107" s="5" t="s">
        <v>97</v>
      </c>
      <c r="E107" s="5"/>
      <c r="F107" s="204">
        <v>73</v>
      </c>
      <c r="G107" s="205">
        <v>232</v>
      </c>
      <c r="H107" s="205">
        <v>293</v>
      </c>
      <c r="I107" s="205">
        <v>344</v>
      </c>
      <c r="J107" s="205">
        <v>389</v>
      </c>
      <c r="K107" s="50"/>
      <c r="L107" s="55"/>
      <c r="M107" s="55"/>
      <c r="N107" s="55"/>
      <c r="O107" s="55"/>
      <c r="P107" s="32">
        <f t="shared" si="28"/>
        <v>7</v>
      </c>
      <c r="Q107" s="32">
        <f t="shared" si="28"/>
        <v>0.15</v>
      </c>
      <c r="R107" s="32">
        <f t="shared" si="28"/>
        <v>1.5434782608695652</v>
      </c>
      <c r="S107" s="32"/>
      <c r="T107" s="30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3:144" x14ac:dyDescent="0.3">
      <c r="C108" s="15" t="s">
        <v>98</v>
      </c>
      <c r="D108" s="16" t="s">
        <v>99</v>
      </c>
      <c r="E108" s="16"/>
      <c r="F108" s="218">
        <f t="shared" ref="F108:G108" si="29">SUM(F97,F98,F99,F107,)</f>
        <v>2646</v>
      </c>
      <c r="G108" s="219">
        <f t="shared" si="29"/>
        <v>2726</v>
      </c>
      <c r="H108" s="219">
        <f>SUM(H97,H98,H99,H107,)</f>
        <v>2878</v>
      </c>
      <c r="I108" s="219">
        <f>SUM(I97,I98,I99,I107,)</f>
        <v>3135</v>
      </c>
      <c r="J108" s="219">
        <f>SUM(J97,J98,J99,J107,)</f>
        <v>3289</v>
      </c>
      <c r="K108" s="50"/>
      <c r="L108" s="55"/>
      <c r="M108" s="55"/>
      <c r="N108" s="55"/>
      <c r="O108" s="55"/>
      <c r="P108" s="32">
        <f t="shared" si="28"/>
        <v>-0.2</v>
      </c>
      <c r="Q108" s="32">
        <f t="shared" si="28"/>
        <v>-0.25</v>
      </c>
      <c r="R108" s="32">
        <f t="shared" si="28"/>
        <v>-0.33333333333333331</v>
      </c>
      <c r="S108" s="32"/>
      <c r="T108" s="30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3:144" x14ac:dyDescent="0.3">
      <c r="C109" s="8" t="s">
        <v>100</v>
      </c>
      <c r="D109" s="5" t="s">
        <v>101</v>
      </c>
      <c r="E109" s="5"/>
      <c r="F109" s="204">
        <v>613</v>
      </c>
      <c r="G109" s="205">
        <v>553</v>
      </c>
      <c r="H109" s="205">
        <v>135</v>
      </c>
      <c r="I109" s="205">
        <v>388</v>
      </c>
      <c r="J109" s="205">
        <v>362</v>
      </c>
      <c r="K109" s="50"/>
      <c r="L109" s="55"/>
      <c r="M109" s="55"/>
      <c r="N109" s="55"/>
      <c r="O109" s="55"/>
      <c r="P109" s="34">
        <f t="shared" si="28"/>
        <v>1.8917345750873109E-2</v>
      </c>
      <c r="Q109" s="34">
        <f t="shared" si="28"/>
        <v>-0.14767209368751785</v>
      </c>
      <c r="R109" s="34">
        <f t="shared" si="28"/>
        <v>0.10824396782841823</v>
      </c>
      <c r="S109" s="34">
        <f>SUM(T109,-J119)/J119</f>
        <v>-7.7109162382824309E-2</v>
      </c>
      <c r="T109" s="38">
        <v>3052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3:144" x14ac:dyDescent="0.3">
      <c r="C110" s="24" t="s">
        <v>102</v>
      </c>
      <c r="D110" s="25"/>
      <c r="E110" s="24"/>
      <c r="F110" s="224">
        <f t="shared" ref="F110:G110" si="30">SUM(F109,F108)</f>
        <v>3259</v>
      </c>
      <c r="G110" s="225">
        <f t="shared" si="30"/>
        <v>3279</v>
      </c>
      <c r="H110" s="225">
        <f>SUM(H109,H108)</f>
        <v>3013</v>
      </c>
      <c r="I110" s="225">
        <f>SUM(I109,I108)</f>
        <v>3523</v>
      </c>
      <c r="J110" s="225">
        <f>SUM(J109,J108)</f>
        <v>3651</v>
      </c>
      <c r="K110" s="50"/>
      <c r="L110" s="55"/>
      <c r="M110" s="55"/>
      <c r="N110" s="55"/>
      <c r="O110" s="55"/>
      <c r="P110" s="32"/>
      <c r="Q110" s="32"/>
      <c r="R110" s="32"/>
      <c r="S110" s="32"/>
      <c r="T110" s="30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3:144" x14ac:dyDescent="0.3">
      <c r="C111" s="5"/>
      <c r="D111" s="5"/>
      <c r="E111" s="5"/>
      <c r="F111" s="204"/>
      <c r="G111" s="205"/>
      <c r="H111" s="205"/>
      <c r="I111" s="205"/>
      <c r="J111" s="205"/>
      <c r="K111" s="50"/>
      <c r="L111" s="55"/>
      <c r="M111" s="55"/>
      <c r="N111" s="55"/>
      <c r="O111" s="55"/>
      <c r="P111" s="32">
        <f t="shared" ref="P111:R113" si="31">SUM(H121,-G121)/G121</f>
        <v>-4.5454545454545456E-2</v>
      </c>
      <c r="Q111" s="32">
        <f t="shared" si="31"/>
        <v>-1.7857142857142856E-2</v>
      </c>
      <c r="R111" s="32">
        <f t="shared" si="31"/>
        <v>-3.6363636363636362E-2</v>
      </c>
      <c r="S111" s="32"/>
      <c r="T111" s="30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3:144" ht="19.2" x14ac:dyDescent="0.4">
      <c r="C112" s="6" t="s">
        <v>103</v>
      </c>
      <c r="D112" s="5"/>
      <c r="E112" s="5"/>
      <c r="F112" s="204"/>
      <c r="G112" s="205"/>
      <c r="H112" s="205"/>
      <c r="I112" s="205"/>
      <c r="J112" s="205"/>
      <c r="K112" s="50"/>
      <c r="L112" s="55"/>
      <c r="M112" s="55"/>
      <c r="N112" s="55"/>
      <c r="O112" s="55"/>
      <c r="P112" s="32">
        <f t="shared" si="31"/>
        <v>-0.20105820105820105</v>
      </c>
      <c r="Q112" s="32">
        <f t="shared" si="31"/>
        <v>-1.3245033112582781E-2</v>
      </c>
      <c r="R112" s="32">
        <f t="shared" si="31"/>
        <v>-6.7114093959731542E-3</v>
      </c>
      <c r="S112" s="32"/>
      <c r="T112" s="30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3:144" ht="16.2" x14ac:dyDescent="0.35">
      <c r="C113" s="118" t="s">
        <v>104</v>
      </c>
      <c r="D113" s="5"/>
      <c r="E113" s="5"/>
      <c r="F113" s="204"/>
      <c r="G113" s="205"/>
      <c r="H113" s="205"/>
      <c r="I113" s="205"/>
      <c r="J113" s="205"/>
      <c r="K113" s="50"/>
      <c r="L113" s="55"/>
      <c r="M113" s="55"/>
      <c r="N113" s="55"/>
      <c r="O113" s="55"/>
      <c r="P113" s="34">
        <f t="shared" si="31"/>
        <v>-0.12602739726027398</v>
      </c>
      <c r="Q113" s="34">
        <f t="shared" si="31"/>
        <v>-1.5673981191222569E-2</v>
      </c>
      <c r="R113" s="34">
        <f t="shared" si="31"/>
        <v>-2.2292993630573247E-2</v>
      </c>
      <c r="S113" s="34">
        <f>SUM(T113,-J123)/J123</f>
        <v>-2.2801302931596091E-2</v>
      </c>
      <c r="T113" s="35">
        <v>300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3:144" x14ac:dyDescent="0.3">
      <c r="C114" s="8" t="s">
        <v>105</v>
      </c>
      <c r="D114" s="5"/>
      <c r="E114" s="5"/>
      <c r="F114" s="204"/>
      <c r="G114" s="205"/>
      <c r="H114" s="205"/>
      <c r="I114" s="205"/>
      <c r="J114" s="205"/>
      <c r="K114" s="50"/>
      <c r="L114" s="55"/>
      <c r="M114" s="55"/>
      <c r="N114" s="55"/>
      <c r="O114" s="55"/>
      <c r="P114" s="32"/>
      <c r="Q114" s="32"/>
      <c r="R114" s="32"/>
      <c r="S114" s="32"/>
      <c r="T114" s="30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3:144" x14ac:dyDescent="0.3">
      <c r="C115" s="5" t="s">
        <v>106</v>
      </c>
      <c r="D115" s="5"/>
      <c r="E115" s="5"/>
      <c r="F115" s="204">
        <v>2431</v>
      </c>
      <c r="G115" s="205">
        <v>2480</v>
      </c>
      <c r="H115" s="205">
        <v>2650</v>
      </c>
      <c r="I115" s="205">
        <v>2180</v>
      </c>
      <c r="J115" s="205">
        <v>2550</v>
      </c>
      <c r="K115" s="50"/>
      <c r="L115" s="55"/>
      <c r="M115" s="55"/>
      <c r="N115" s="55"/>
      <c r="O115" s="55"/>
      <c r="P115" s="32">
        <f t="shared" ref="P115:R120" si="32">SUM(H125,-G125)/G125</f>
        <v>7.6190476190476197E-2</v>
      </c>
      <c r="Q115" s="32">
        <f t="shared" si="32"/>
        <v>5.3097345132743362E-2</v>
      </c>
      <c r="R115" s="32">
        <f t="shared" si="32"/>
        <v>0.1092436974789916</v>
      </c>
      <c r="S115" s="32"/>
      <c r="T115" s="30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3:144" x14ac:dyDescent="0.3">
      <c r="C116" s="5" t="s">
        <v>107</v>
      </c>
      <c r="D116" s="5"/>
      <c r="E116" s="5"/>
      <c r="F116" s="204">
        <v>657</v>
      </c>
      <c r="G116" s="205">
        <v>946</v>
      </c>
      <c r="H116" s="205">
        <v>807</v>
      </c>
      <c r="I116" s="205">
        <v>755</v>
      </c>
      <c r="J116" s="205">
        <v>638</v>
      </c>
      <c r="K116" s="50"/>
      <c r="L116" s="55"/>
      <c r="M116" s="55"/>
      <c r="N116" s="55"/>
      <c r="O116" s="55"/>
      <c r="P116" s="32">
        <f t="shared" si="32"/>
        <v>0</v>
      </c>
      <c r="Q116" s="32">
        <f t="shared" si="32"/>
        <v>4.2553191489361701E-2</v>
      </c>
      <c r="R116" s="32">
        <f t="shared" si="32"/>
        <v>0</v>
      </c>
      <c r="S116" s="32"/>
      <c r="T116" s="30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3:144" x14ac:dyDescent="0.3">
      <c r="C117" s="5" t="s">
        <v>108</v>
      </c>
      <c r="D117" s="5"/>
      <c r="E117" s="5"/>
      <c r="F117" s="204">
        <v>1</v>
      </c>
      <c r="G117" s="205">
        <v>5</v>
      </c>
      <c r="H117" s="205">
        <v>40</v>
      </c>
      <c r="I117" s="205">
        <v>46</v>
      </c>
      <c r="J117" s="205">
        <v>117</v>
      </c>
      <c r="K117" s="50"/>
      <c r="L117" s="55"/>
      <c r="M117" s="55"/>
      <c r="N117" s="55"/>
      <c r="O117" s="55"/>
      <c r="P117" s="32">
        <f t="shared" si="32"/>
        <v>4.1666666666666664E-2</v>
      </c>
      <c r="Q117" s="32">
        <f t="shared" si="32"/>
        <v>-0.32</v>
      </c>
      <c r="R117" s="32">
        <f t="shared" si="32"/>
        <v>5.8823529411764705E-2</v>
      </c>
      <c r="S117" s="32"/>
      <c r="T117" s="30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3:144" x14ac:dyDescent="0.3">
      <c r="C118" s="5" t="s">
        <v>109</v>
      </c>
      <c r="D118" s="5"/>
      <c r="E118" s="5"/>
      <c r="F118" s="186">
        <v>0</v>
      </c>
      <c r="G118" s="205">
        <v>5</v>
      </c>
      <c r="H118" s="205">
        <v>4</v>
      </c>
      <c r="I118" s="205">
        <v>3</v>
      </c>
      <c r="J118" s="205">
        <v>2</v>
      </c>
      <c r="K118" s="50"/>
      <c r="L118" s="55"/>
      <c r="M118" s="55"/>
      <c r="N118" s="55"/>
      <c r="O118" s="55"/>
      <c r="P118" s="32">
        <f t="shared" si="32"/>
        <v>-0.45045045045045046</v>
      </c>
      <c r="Q118" s="32">
        <f t="shared" si="32"/>
        <v>-8.1967213114754092E-2</v>
      </c>
      <c r="R118" s="32">
        <f t="shared" si="32"/>
        <v>-0.25</v>
      </c>
      <c r="S118" s="32"/>
      <c r="T118" s="30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3:144" x14ac:dyDescent="0.3">
      <c r="C119" s="10" t="s">
        <v>110</v>
      </c>
      <c r="D119" s="12"/>
      <c r="E119" s="12"/>
      <c r="F119" s="206">
        <f t="shared" ref="F119:G119" si="33">SUM(F115:F118)</f>
        <v>3089</v>
      </c>
      <c r="G119" s="207">
        <f t="shared" si="33"/>
        <v>3436</v>
      </c>
      <c r="H119" s="207">
        <f>SUM(H115:H118)</f>
        <v>3501</v>
      </c>
      <c r="I119" s="207">
        <f>SUM(I115:I118)</f>
        <v>2984</v>
      </c>
      <c r="J119" s="207">
        <f>SUM(J115:J118)</f>
        <v>3307</v>
      </c>
      <c r="K119" s="50"/>
      <c r="L119" s="55"/>
      <c r="M119" s="55"/>
      <c r="N119" s="55"/>
      <c r="O119" s="55"/>
      <c r="P119" s="32">
        <f t="shared" si="32"/>
        <v>-0.12280701754385964</v>
      </c>
      <c r="Q119" s="32">
        <f t="shared" si="32"/>
        <v>0.18</v>
      </c>
      <c r="R119" s="32">
        <f t="shared" si="32"/>
        <v>0.16949152542372881</v>
      </c>
      <c r="S119" s="32"/>
      <c r="T119" s="30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3:144" x14ac:dyDescent="0.3">
      <c r="C120" s="8" t="s">
        <v>111</v>
      </c>
      <c r="D120" s="5"/>
      <c r="E120" s="5"/>
      <c r="F120" s="204"/>
      <c r="G120" s="205"/>
      <c r="H120" s="205"/>
      <c r="I120" s="205"/>
      <c r="J120" s="205"/>
      <c r="K120" s="50"/>
      <c r="L120" s="55"/>
      <c r="M120" s="55"/>
      <c r="N120" s="55"/>
      <c r="O120" s="55"/>
      <c r="P120" s="34">
        <f t="shared" si="32"/>
        <v>-6.8554396423248884E-2</v>
      </c>
      <c r="Q120" s="34">
        <f t="shared" si="32"/>
        <v>2.7199999999999998E-2</v>
      </c>
      <c r="R120" s="34">
        <f t="shared" si="32"/>
        <v>5.2959501557632398E-2</v>
      </c>
      <c r="S120" s="34">
        <f>SUM(T120,-J130)/J130</f>
        <v>-1.1834319526627219E-2</v>
      </c>
      <c r="T120" s="35">
        <v>668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3:144" x14ac:dyDescent="0.3">
      <c r="C121" s="5" t="s">
        <v>112</v>
      </c>
      <c r="D121" s="5"/>
      <c r="E121" s="5"/>
      <c r="F121" s="204">
        <v>164</v>
      </c>
      <c r="G121" s="205">
        <v>176</v>
      </c>
      <c r="H121" s="205">
        <v>168</v>
      </c>
      <c r="I121" s="205">
        <v>165</v>
      </c>
      <c r="J121" s="205">
        <v>159</v>
      </c>
      <c r="K121" s="50"/>
      <c r="L121" s="55"/>
      <c r="M121" s="55"/>
      <c r="N121" s="55"/>
      <c r="O121" s="55"/>
      <c r="P121" s="32"/>
      <c r="Q121" s="32"/>
      <c r="R121" s="32"/>
      <c r="S121" s="32"/>
      <c r="T121" s="30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3:144" x14ac:dyDescent="0.3">
      <c r="C122" s="5" t="s">
        <v>113</v>
      </c>
      <c r="D122" s="5"/>
      <c r="E122" s="5"/>
      <c r="F122" s="204">
        <v>168</v>
      </c>
      <c r="G122" s="205">
        <v>189</v>
      </c>
      <c r="H122" s="205">
        <v>151</v>
      </c>
      <c r="I122" s="205">
        <v>149</v>
      </c>
      <c r="J122" s="205">
        <v>148</v>
      </c>
      <c r="K122" s="50"/>
      <c r="L122" s="55"/>
      <c r="M122" s="55"/>
      <c r="N122" s="55"/>
      <c r="O122" s="55"/>
      <c r="P122" s="32">
        <f t="shared" ref="P122:R125" si="34">SUM(H132,-G132)/G132</f>
        <v>0.3888888888888889</v>
      </c>
      <c r="Q122" s="32">
        <f t="shared" si="34"/>
        <v>7.1999999999999995E-2</v>
      </c>
      <c r="R122" s="32">
        <f t="shared" si="34"/>
        <v>4.4776119402985072E-2</v>
      </c>
      <c r="S122" s="32"/>
      <c r="T122" s="30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3:144" x14ac:dyDescent="0.3">
      <c r="C123" s="10" t="s">
        <v>110</v>
      </c>
      <c r="D123" s="12"/>
      <c r="E123" s="12"/>
      <c r="F123" s="206">
        <f t="shared" ref="F123:G123" si="35">SUM(F121:F122)</f>
        <v>332</v>
      </c>
      <c r="G123" s="207">
        <f t="shared" si="35"/>
        <v>365</v>
      </c>
      <c r="H123" s="207">
        <f>SUM(H121:H122)</f>
        <v>319</v>
      </c>
      <c r="I123" s="207">
        <f>SUM(I121:I122)</f>
        <v>314</v>
      </c>
      <c r="J123" s="207">
        <f>SUM(J121:J122)</f>
        <v>307</v>
      </c>
      <c r="K123" s="50"/>
      <c r="L123" s="55"/>
      <c r="M123" s="55"/>
      <c r="N123" s="55"/>
      <c r="O123" s="55"/>
      <c r="P123" s="32">
        <f t="shared" si="34"/>
        <v>0.21052631578947367</v>
      </c>
      <c r="Q123" s="32">
        <f t="shared" si="34"/>
        <v>-0.39130434782608697</v>
      </c>
      <c r="R123" s="32">
        <f t="shared" si="34"/>
        <v>-0.35714285714285715</v>
      </c>
      <c r="S123" s="32"/>
      <c r="T123" s="30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3:144" x14ac:dyDescent="0.3">
      <c r="C124" s="8" t="s">
        <v>114</v>
      </c>
      <c r="D124" s="5"/>
      <c r="E124" s="5"/>
      <c r="F124" s="204"/>
      <c r="G124" s="205"/>
      <c r="H124" s="205"/>
      <c r="I124" s="205"/>
      <c r="J124" s="205"/>
      <c r="K124" s="50"/>
      <c r="L124" s="55"/>
      <c r="M124" s="55"/>
      <c r="N124" s="55"/>
      <c r="O124" s="55"/>
      <c r="P124" s="34">
        <f t="shared" si="34"/>
        <v>0.3577981651376147</v>
      </c>
      <c r="Q124" s="34">
        <f t="shared" si="34"/>
        <v>0</v>
      </c>
      <c r="R124" s="34">
        <f t="shared" si="34"/>
        <v>6.7567567567567571E-3</v>
      </c>
      <c r="S124" s="34">
        <f>SUM(T124,-J134)/J134</f>
        <v>3.3557046979865772E-2</v>
      </c>
      <c r="T124" s="38">
        <v>154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3:144" x14ac:dyDescent="0.3">
      <c r="C125" s="5" t="s">
        <v>115</v>
      </c>
      <c r="D125" s="5"/>
      <c r="E125" s="5"/>
      <c r="F125" s="204">
        <v>170</v>
      </c>
      <c r="G125" s="205">
        <v>210</v>
      </c>
      <c r="H125" s="205">
        <v>226</v>
      </c>
      <c r="I125" s="205">
        <v>238</v>
      </c>
      <c r="J125" s="205">
        <v>264</v>
      </c>
      <c r="K125" s="50"/>
      <c r="L125" s="55"/>
      <c r="M125" s="55"/>
      <c r="N125" s="55"/>
      <c r="O125" s="55"/>
      <c r="P125" s="39">
        <f t="shared" si="34"/>
        <v>2.6195153896529143E-3</v>
      </c>
      <c r="Q125" s="39">
        <f t="shared" si="34"/>
        <v>-0.10994992379708252</v>
      </c>
      <c r="R125" s="39">
        <f t="shared" si="34"/>
        <v>8.5861056751467713E-2</v>
      </c>
      <c r="S125" s="39">
        <f>SUM(T125,-J135)/J135</f>
        <v>-5.9698130209506643E-2</v>
      </c>
      <c r="T125" s="40">
        <f t="shared" ref="T125" si="36">SUM(T124,T120,T113,T109)</f>
        <v>4174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3:144" x14ac:dyDescent="0.3">
      <c r="C126" s="5" t="s">
        <v>116</v>
      </c>
      <c r="D126" s="5"/>
      <c r="E126" s="5"/>
      <c r="F126" s="204">
        <v>145</v>
      </c>
      <c r="G126" s="205">
        <v>188</v>
      </c>
      <c r="H126" s="205">
        <v>188</v>
      </c>
      <c r="I126" s="205">
        <v>196</v>
      </c>
      <c r="J126" s="205">
        <v>196</v>
      </c>
      <c r="K126" s="50"/>
      <c r="L126" s="55"/>
      <c r="M126" s="55"/>
      <c r="N126" s="55"/>
      <c r="O126" s="55"/>
      <c r="P126" s="32"/>
      <c r="Q126" s="32"/>
      <c r="R126" s="32"/>
      <c r="S126" s="32"/>
      <c r="T126" s="30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3:144" x14ac:dyDescent="0.3">
      <c r="C127" s="5" t="s">
        <v>117</v>
      </c>
      <c r="D127" s="5"/>
      <c r="E127" s="5"/>
      <c r="F127" s="204">
        <v>59</v>
      </c>
      <c r="G127" s="205">
        <v>48</v>
      </c>
      <c r="H127" s="205">
        <v>50</v>
      </c>
      <c r="I127" s="205">
        <v>34</v>
      </c>
      <c r="J127" s="205">
        <v>36</v>
      </c>
      <c r="K127" s="50"/>
      <c r="L127" s="55"/>
      <c r="M127" s="55"/>
      <c r="N127" s="55"/>
      <c r="O127" s="55"/>
      <c r="P127" s="32"/>
      <c r="Q127" s="32"/>
      <c r="R127" s="32"/>
      <c r="S127" s="32"/>
      <c r="T127" s="30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3:144" x14ac:dyDescent="0.3">
      <c r="C128" s="5" t="s">
        <v>118</v>
      </c>
      <c r="D128" s="5"/>
      <c r="E128" s="5"/>
      <c r="F128" s="204">
        <v>131</v>
      </c>
      <c r="G128" s="205">
        <v>111</v>
      </c>
      <c r="H128" s="205">
        <v>61</v>
      </c>
      <c r="I128" s="205">
        <v>56</v>
      </c>
      <c r="J128" s="205">
        <v>42</v>
      </c>
      <c r="K128" s="50"/>
      <c r="L128" s="55"/>
      <c r="M128" s="55"/>
      <c r="N128" s="55"/>
      <c r="O128" s="55"/>
      <c r="P128" s="32"/>
      <c r="Q128" s="32"/>
      <c r="R128" s="32"/>
      <c r="S128" s="32"/>
      <c r="T128" s="30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3:144" x14ac:dyDescent="0.3">
      <c r="C129" s="5" t="s">
        <v>119</v>
      </c>
      <c r="D129" s="5"/>
      <c r="E129" s="5"/>
      <c r="F129" s="204">
        <v>71</v>
      </c>
      <c r="G129" s="205">
        <v>114</v>
      </c>
      <c r="H129" s="205">
        <v>100</v>
      </c>
      <c r="I129" s="205">
        <v>118</v>
      </c>
      <c r="J129" s="205">
        <v>138</v>
      </c>
      <c r="K129" s="50"/>
      <c r="L129" s="55"/>
      <c r="M129" s="55"/>
      <c r="N129" s="55"/>
      <c r="O129" s="55"/>
      <c r="P129" s="32">
        <f t="shared" ref="P129:R131" si="37">SUM(H139,-G139)/G139</f>
        <v>-0.33333333333333331</v>
      </c>
      <c r="Q129" s="32">
        <f t="shared" si="37"/>
        <v>0.5</v>
      </c>
      <c r="R129" s="32">
        <f t="shared" si="37"/>
        <v>0</v>
      </c>
      <c r="S129" s="32"/>
      <c r="T129" s="30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3:144" x14ac:dyDescent="0.3">
      <c r="C130" s="10" t="s">
        <v>110</v>
      </c>
      <c r="D130" s="12"/>
      <c r="E130" s="12"/>
      <c r="F130" s="206">
        <f t="shared" ref="F130:G130" si="38">SUM(F125:F129)</f>
        <v>576</v>
      </c>
      <c r="G130" s="207">
        <f t="shared" si="38"/>
        <v>671</v>
      </c>
      <c r="H130" s="207">
        <f>SUM(H125:H129)</f>
        <v>625</v>
      </c>
      <c r="I130" s="207">
        <f>SUM(I125:I129)</f>
        <v>642</v>
      </c>
      <c r="J130" s="207">
        <f>SUM(J125:J129)</f>
        <v>676</v>
      </c>
      <c r="K130" s="50"/>
      <c r="L130" s="55"/>
      <c r="M130" s="55"/>
      <c r="N130" s="55"/>
      <c r="O130" s="55"/>
      <c r="P130" s="32">
        <f t="shared" si="37"/>
        <v>-1.448225923244026E-3</v>
      </c>
      <c r="Q130" s="32">
        <f t="shared" si="37"/>
        <v>2.2480058013052938E-2</v>
      </c>
      <c r="R130" s="32">
        <f t="shared" si="37"/>
        <v>4.8226950354609929E-2</v>
      </c>
      <c r="S130" s="32"/>
      <c r="T130" s="30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3:144" x14ac:dyDescent="0.3">
      <c r="C131" s="8" t="s">
        <v>120</v>
      </c>
      <c r="D131" s="5"/>
      <c r="E131" s="5"/>
      <c r="F131" s="204"/>
      <c r="G131" s="205"/>
      <c r="H131" s="205"/>
      <c r="I131" s="205"/>
      <c r="J131" s="205"/>
      <c r="K131" s="50"/>
      <c r="L131" s="55"/>
      <c r="M131" s="55"/>
      <c r="N131" s="55"/>
      <c r="O131" s="55"/>
      <c r="P131" s="34">
        <f t="shared" si="37"/>
        <v>-2.167630057803468E-3</v>
      </c>
      <c r="Q131" s="34">
        <f t="shared" si="37"/>
        <v>2.3171614771904415E-2</v>
      </c>
      <c r="R131" s="34">
        <f t="shared" si="37"/>
        <v>4.8124557678697805E-2</v>
      </c>
      <c r="S131" s="34">
        <f>SUM(T131,-J141)/J141</f>
        <v>-0.10668467251856853</v>
      </c>
      <c r="T131" s="35">
        <v>1323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3:144" x14ac:dyDescent="0.3">
      <c r="C132" s="5" t="s">
        <v>121</v>
      </c>
      <c r="D132" s="5"/>
      <c r="E132" s="5"/>
      <c r="F132" s="204">
        <v>72</v>
      </c>
      <c r="G132" s="205">
        <v>90</v>
      </c>
      <c r="H132" s="205">
        <v>125</v>
      </c>
      <c r="I132" s="205">
        <v>134</v>
      </c>
      <c r="J132" s="205">
        <v>140</v>
      </c>
      <c r="K132" s="50"/>
      <c r="L132" s="55"/>
      <c r="M132" s="55"/>
      <c r="N132" s="55"/>
      <c r="O132" s="55"/>
      <c r="P132" s="32"/>
      <c r="Q132" s="32"/>
      <c r="R132" s="32"/>
      <c r="S132" s="32"/>
      <c r="T132" s="30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3:144" x14ac:dyDescent="0.3">
      <c r="C133" s="5" t="s">
        <v>36</v>
      </c>
      <c r="D133" s="5"/>
      <c r="E133" s="5"/>
      <c r="F133" s="204">
        <v>27</v>
      </c>
      <c r="G133" s="205">
        <v>19</v>
      </c>
      <c r="H133" s="205">
        <v>23</v>
      </c>
      <c r="I133" s="205">
        <v>14</v>
      </c>
      <c r="J133" s="205">
        <v>9</v>
      </c>
      <c r="K133" s="50"/>
      <c r="L133" s="55"/>
      <c r="M133" s="55"/>
      <c r="N133" s="55"/>
      <c r="O133" s="55"/>
      <c r="P133" s="32">
        <f t="shared" ref="P133:P146" si="39">SUM(H143,-G143)/G143</f>
        <v>-2.564102564102564E-2</v>
      </c>
      <c r="Q133" s="32">
        <f t="shared" ref="Q133:Q146" si="40">SUM(I143,-H143)/H143</f>
        <v>0.13157894736842105</v>
      </c>
      <c r="R133" s="32">
        <f t="shared" ref="R133:R146" si="41">SUM(J143,-I143)/I143</f>
        <v>0</v>
      </c>
      <c r="S133" s="32"/>
      <c r="T133" s="30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3:144" x14ac:dyDescent="0.3">
      <c r="C134" s="10" t="s">
        <v>110</v>
      </c>
      <c r="D134" s="12"/>
      <c r="E134" s="12"/>
      <c r="F134" s="206">
        <f t="shared" ref="F134:G134" si="42">SUM(F132:F133)</f>
        <v>99</v>
      </c>
      <c r="G134" s="207">
        <f t="shared" si="42"/>
        <v>109</v>
      </c>
      <c r="H134" s="207">
        <f>SUM(H132:H133)</f>
        <v>148</v>
      </c>
      <c r="I134" s="207">
        <f>SUM(I132:I133)</f>
        <v>148</v>
      </c>
      <c r="J134" s="207">
        <f>SUM(J132:J133)</f>
        <v>149</v>
      </c>
      <c r="K134" s="50"/>
      <c r="L134" s="55"/>
      <c r="M134" s="55"/>
      <c r="N134" s="55"/>
      <c r="O134" s="55"/>
      <c r="P134" s="32">
        <f t="shared" si="39"/>
        <v>-0.66007905138339917</v>
      </c>
      <c r="Q134" s="32">
        <f t="shared" si="40"/>
        <v>0.81395348837209303</v>
      </c>
      <c r="R134" s="32">
        <f t="shared" si="41"/>
        <v>1.4358974358974359</v>
      </c>
      <c r="S134" s="32"/>
      <c r="T134" s="30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3:144" x14ac:dyDescent="0.3">
      <c r="C135" s="15" t="s">
        <v>122</v>
      </c>
      <c r="D135" s="16"/>
      <c r="E135" s="16"/>
      <c r="F135" s="218">
        <f t="shared" ref="F135:G135" si="43">SUM(F134,F130,F123,F119)</f>
        <v>4096</v>
      </c>
      <c r="G135" s="219">
        <f t="shared" si="43"/>
        <v>4581</v>
      </c>
      <c r="H135" s="219">
        <f>SUM(H134,H130,H123,H119)</f>
        <v>4593</v>
      </c>
      <c r="I135" s="219">
        <f>SUM(I134,I130,I123,I119)</f>
        <v>4088</v>
      </c>
      <c r="J135" s="219">
        <f>SUM(J134,J130,J123,J119)</f>
        <v>4439</v>
      </c>
      <c r="K135" s="50"/>
      <c r="L135" s="55"/>
      <c r="M135" s="55"/>
      <c r="N135" s="55"/>
      <c r="O135" s="55"/>
      <c r="P135" s="32">
        <f t="shared" si="39"/>
        <v>-0.12168141592920353</v>
      </c>
      <c r="Q135" s="32">
        <f t="shared" si="40"/>
        <v>-3.7783375314861464E-2</v>
      </c>
      <c r="R135" s="32">
        <f t="shared" si="41"/>
        <v>0.10209424083769633</v>
      </c>
      <c r="S135" s="32"/>
      <c r="T135" s="30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3:144" x14ac:dyDescent="0.3">
      <c r="C136" s="8"/>
      <c r="D136" s="5"/>
      <c r="E136" s="5"/>
      <c r="F136" s="204"/>
      <c r="G136" s="205"/>
      <c r="H136" s="205"/>
      <c r="I136" s="205"/>
      <c r="J136" s="205"/>
      <c r="K136" s="50"/>
      <c r="L136" s="55"/>
      <c r="M136" s="55"/>
      <c r="N136" s="55"/>
      <c r="O136" s="55"/>
      <c r="P136" s="32">
        <f t="shared" si="39"/>
        <v>-0.14814814814814814</v>
      </c>
      <c r="Q136" s="32">
        <f t="shared" si="40"/>
        <v>0.11594202898550725</v>
      </c>
      <c r="R136" s="32">
        <f t="shared" si="41"/>
        <v>0.1038961038961039</v>
      </c>
      <c r="S136" s="32"/>
      <c r="T136" s="30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  <row r="137" spans="3:144" ht="16.2" x14ac:dyDescent="0.35">
      <c r="C137" s="118" t="s">
        <v>123</v>
      </c>
      <c r="D137" s="5"/>
      <c r="E137" s="5"/>
      <c r="F137" s="204"/>
      <c r="G137" s="205"/>
      <c r="H137" s="205"/>
      <c r="I137" s="205"/>
      <c r="J137" s="205"/>
      <c r="K137" s="50"/>
      <c r="L137" s="55"/>
      <c r="M137" s="55"/>
      <c r="N137" s="55"/>
      <c r="O137" s="55"/>
      <c r="P137" s="32">
        <f t="shared" si="39"/>
        <v>0.18055555555555555</v>
      </c>
      <c r="Q137" s="32">
        <f t="shared" si="40"/>
        <v>-5.8823529411764705E-2</v>
      </c>
      <c r="R137" s="32">
        <f t="shared" si="41"/>
        <v>0.3125</v>
      </c>
      <c r="S137" s="32"/>
      <c r="T137" s="30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</row>
    <row r="138" spans="3:144" x14ac:dyDescent="0.3">
      <c r="C138" s="8" t="s">
        <v>124</v>
      </c>
      <c r="D138" s="5"/>
      <c r="E138" s="5"/>
      <c r="F138" s="204"/>
      <c r="G138" s="205"/>
      <c r="H138" s="205"/>
      <c r="I138" s="205"/>
      <c r="J138" s="205"/>
      <c r="K138" s="50"/>
      <c r="L138" s="55"/>
      <c r="M138" s="55"/>
      <c r="N138" s="55"/>
      <c r="O138" s="55"/>
      <c r="P138" s="32">
        <f t="shared" si="39"/>
        <v>0.37931034482758619</v>
      </c>
      <c r="Q138" s="32">
        <f t="shared" si="40"/>
        <v>-0.47499999999999998</v>
      </c>
      <c r="R138" s="32">
        <f t="shared" si="41"/>
        <v>0.5714285714285714</v>
      </c>
      <c r="S138" s="32"/>
      <c r="T138" s="30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</row>
    <row r="139" spans="3:144" x14ac:dyDescent="0.3">
      <c r="C139" s="5" t="s">
        <v>125</v>
      </c>
      <c r="D139" s="5"/>
      <c r="E139" s="5"/>
      <c r="F139" s="204">
        <v>5</v>
      </c>
      <c r="G139" s="205">
        <v>3</v>
      </c>
      <c r="H139" s="205">
        <v>2</v>
      </c>
      <c r="I139" s="205">
        <v>3</v>
      </c>
      <c r="J139" s="205">
        <v>3</v>
      </c>
      <c r="K139" s="50"/>
      <c r="L139" s="55"/>
      <c r="M139" s="55"/>
      <c r="N139" s="55"/>
      <c r="O139" s="55"/>
      <c r="P139" s="32">
        <f t="shared" si="39"/>
        <v>0</v>
      </c>
      <c r="Q139" s="32">
        <f t="shared" si="40"/>
        <v>0</v>
      </c>
      <c r="R139" s="32">
        <f t="shared" si="41"/>
        <v>0</v>
      </c>
      <c r="S139" s="32"/>
      <c r="T139" s="30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</row>
    <row r="140" spans="3:144" x14ac:dyDescent="0.3">
      <c r="C140" s="5" t="s">
        <v>126</v>
      </c>
      <c r="D140" s="5"/>
      <c r="E140" s="5"/>
      <c r="F140" s="204">
        <v>1165</v>
      </c>
      <c r="G140" s="205">
        <v>1381</v>
      </c>
      <c r="H140" s="205">
        <v>1379</v>
      </c>
      <c r="I140" s="205">
        <v>1410</v>
      </c>
      <c r="J140" s="205">
        <v>1478</v>
      </c>
      <c r="K140" s="50"/>
      <c r="L140" s="55"/>
      <c r="M140" s="55"/>
      <c r="N140" s="55"/>
      <c r="O140" s="55"/>
      <c r="P140" s="32">
        <f t="shared" si="39"/>
        <v>-0.2608695652173913</v>
      </c>
      <c r="Q140" s="32">
        <f t="shared" si="40"/>
        <v>-0.11764705882352941</v>
      </c>
      <c r="R140" s="32">
        <f t="shared" si="41"/>
        <v>-2.6666666666666668E-2</v>
      </c>
      <c r="S140" s="32"/>
      <c r="T140" s="30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</row>
    <row r="141" spans="3:144" x14ac:dyDescent="0.3">
      <c r="C141" s="10" t="s">
        <v>110</v>
      </c>
      <c r="D141" s="12"/>
      <c r="E141" s="12"/>
      <c r="F141" s="206">
        <f t="shared" ref="F141:G141" si="44">SUM(F139:F140)</f>
        <v>1170</v>
      </c>
      <c r="G141" s="207">
        <f t="shared" si="44"/>
        <v>1384</v>
      </c>
      <c r="H141" s="207">
        <f>SUM(H139:H140)</f>
        <v>1381</v>
      </c>
      <c r="I141" s="207">
        <f>SUM(I139:I140)</f>
        <v>1413</v>
      </c>
      <c r="J141" s="207">
        <f>SUM(J139:J140)</f>
        <v>1481</v>
      </c>
      <c r="K141" s="53"/>
      <c r="L141" s="55"/>
      <c r="M141" s="55"/>
      <c r="N141" s="55"/>
      <c r="O141" s="55"/>
      <c r="P141" s="32">
        <f t="shared" si="39"/>
        <v>-1</v>
      </c>
      <c r="Q141" s="32" t="e">
        <f t="shared" si="40"/>
        <v>#DIV/0!</v>
      </c>
      <c r="R141" s="32" t="e">
        <f t="shared" si="41"/>
        <v>#DIV/0!</v>
      </c>
      <c r="S141" s="32"/>
      <c r="T141" s="30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</row>
    <row r="142" spans="3:144" x14ac:dyDescent="0.3">
      <c r="C142" s="8" t="s">
        <v>127</v>
      </c>
      <c r="D142" s="5"/>
      <c r="E142" s="5"/>
      <c r="F142" s="204"/>
      <c r="G142" s="205"/>
      <c r="H142" s="205"/>
      <c r="I142" s="205"/>
      <c r="J142" s="205"/>
      <c r="K142" s="50"/>
      <c r="L142" s="55"/>
      <c r="M142" s="55"/>
      <c r="N142" s="55"/>
      <c r="O142" s="55"/>
      <c r="P142" s="32">
        <f t="shared" si="39"/>
        <v>-1</v>
      </c>
      <c r="Q142" s="32" t="e">
        <f t="shared" si="40"/>
        <v>#DIV/0!</v>
      </c>
      <c r="R142" s="32" t="e">
        <f t="shared" si="41"/>
        <v>#DIV/0!</v>
      </c>
      <c r="S142" s="32"/>
      <c r="T142" s="30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</row>
    <row r="143" spans="3:144" x14ac:dyDescent="0.3">
      <c r="C143" s="5" t="s">
        <v>128</v>
      </c>
      <c r="D143" s="5"/>
      <c r="E143" s="5"/>
      <c r="F143" s="190">
        <v>37</v>
      </c>
      <c r="G143" s="191">
        <v>39</v>
      </c>
      <c r="H143" s="191">
        <v>38</v>
      </c>
      <c r="I143" s="191">
        <v>43</v>
      </c>
      <c r="J143" s="191">
        <v>43</v>
      </c>
      <c r="K143" s="50"/>
      <c r="L143" s="55"/>
      <c r="M143" s="55"/>
      <c r="N143" s="55"/>
      <c r="O143" s="55"/>
      <c r="P143" s="32">
        <f t="shared" si="39"/>
        <v>0.16666666666666666</v>
      </c>
      <c r="Q143" s="32">
        <f t="shared" si="40"/>
        <v>0</v>
      </c>
      <c r="R143" s="32">
        <f t="shared" si="41"/>
        <v>-0.5714285714285714</v>
      </c>
      <c r="S143" s="32"/>
      <c r="T143" s="30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</row>
    <row r="144" spans="3:144" x14ac:dyDescent="0.3">
      <c r="C144" s="5" t="s">
        <v>53</v>
      </c>
      <c r="D144" s="21"/>
      <c r="E144" s="5"/>
      <c r="F144" s="190">
        <v>51</v>
      </c>
      <c r="G144" s="191">
        <v>253</v>
      </c>
      <c r="H144" s="191">
        <v>86</v>
      </c>
      <c r="I144" s="191">
        <v>156</v>
      </c>
      <c r="J144" s="191">
        <v>380</v>
      </c>
      <c r="K144" s="50"/>
      <c r="L144" s="55"/>
      <c r="M144" s="55"/>
      <c r="N144" s="55"/>
      <c r="O144" s="55"/>
      <c r="P144" s="32">
        <f t="shared" si="39"/>
        <v>-8.3333333333333329E-2</v>
      </c>
      <c r="Q144" s="32">
        <f t="shared" si="40"/>
        <v>0.27272727272727271</v>
      </c>
      <c r="R144" s="32">
        <f t="shared" si="41"/>
        <v>0.21428571428571427</v>
      </c>
      <c r="S144" s="32"/>
      <c r="T144" s="30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</row>
    <row r="145" spans="3:144" x14ac:dyDescent="0.3">
      <c r="C145" s="5" t="s">
        <v>129</v>
      </c>
      <c r="D145" s="5"/>
      <c r="E145" s="5"/>
      <c r="F145" s="190">
        <v>433</v>
      </c>
      <c r="G145" s="191">
        <v>452</v>
      </c>
      <c r="H145" s="191">
        <v>397</v>
      </c>
      <c r="I145" s="191">
        <v>382</v>
      </c>
      <c r="J145" s="191">
        <v>421</v>
      </c>
      <c r="K145" s="50"/>
      <c r="L145" s="55"/>
      <c r="M145" s="55"/>
      <c r="N145" s="55"/>
      <c r="O145" s="55"/>
      <c r="P145" s="32">
        <f t="shared" si="39"/>
        <v>0</v>
      </c>
      <c r="Q145" s="32">
        <f t="shared" si="40"/>
        <v>0</v>
      </c>
      <c r="R145" s="32">
        <f t="shared" si="41"/>
        <v>-0.33333333333333331</v>
      </c>
      <c r="S145" s="32"/>
      <c r="T145" s="30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</row>
    <row r="146" spans="3:144" x14ac:dyDescent="0.3">
      <c r="C146" s="5" t="s">
        <v>130</v>
      </c>
      <c r="D146" s="5"/>
      <c r="E146" s="5"/>
      <c r="F146" s="190">
        <v>72</v>
      </c>
      <c r="G146" s="191">
        <v>81</v>
      </c>
      <c r="H146" s="191">
        <v>69</v>
      </c>
      <c r="I146" s="191">
        <v>77</v>
      </c>
      <c r="J146" s="191">
        <v>85</v>
      </c>
      <c r="K146" s="50"/>
      <c r="L146" s="55"/>
      <c r="M146" s="55"/>
      <c r="N146" s="55"/>
      <c r="O146" s="55"/>
      <c r="P146" s="32">
        <f t="shared" si="39"/>
        <v>-1</v>
      </c>
      <c r="Q146" s="32" t="e">
        <f t="shared" si="40"/>
        <v>#DIV/0!</v>
      </c>
      <c r="R146" s="32" t="e">
        <f t="shared" si="41"/>
        <v>#DIV/0!</v>
      </c>
      <c r="S146" s="32"/>
      <c r="T146" s="30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</row>
    <row r="147" spans="3:144" x14ac:dyDescent="0.3">
      <c r="C147" s="5" t="s">
        <v>131</v>
      </c>
      <c r="D147" s="5"/>
      <c r="E147" s="5"/>
      <c r="F147" s="190">
        <v>100</v>
      </c>
      <c r="G147" s="191">
        <v>72</v>
      </c>
      <c r="H147" s="191">
        <v>85</v>
      </c>
      <c r="I147" s="191">
        <v>80</v>
      </c>
      <c r="J147" s="191">
        <v>105</v>
      </c>
      <c r="K147" s="50"/>
      <c r="L147" s="55"/>
      <c r="M147" s="55"/>
      <c r="N147" s="55"/>
      <c r="O147" s="55"/>
      <c r="P147" s="32" t="e">
        <f>SUM(H157,-G157)/G157</f>
        <v>#DIV/0!</v>
      </c>
      <c r="Q147" s="32"/>
      <c r="R147" s="32">
        <f t="shared" ref="R147:R156" si="45">SUM(J157,-I157)/I157</f>
        <v>0</v>
      </c>
      <c r="S147" s="32"/>
      <c r="T147" s="30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</row>
    <row r="148" spans="3:144" x14ac:dyDescent="0.3">
      <c r="C148" s="5" t="s">
        <v>132</v>
      </c>
      <c r="D148" s="5"/>
      <c r="E148" s="5"/>
      <c r="F148" s="190">
        <v>44</v>
      </c>
      <c r="G148" s="191">
        <v>58</v>
      </c>
      <c r="H148" s="191">
        <v>80</v>
      </c>
      <c r="I148" s="191">
        <v>42</v>
      </c>
      <c r="J148" s="191">
        <v>66</v>
      </c>
      <c r="K148" s="50"/>
      <c r="L148" s="55"/>
      <c r="M148" s="55"/>
      <c r="N148" s="55"/>
      <c r="O148" s="55"/>
      <c r="P148" s="32"/>
      <c r="Q148" s="32"/>
      <c r="R148" s="32">
        <f t="shared" si="45"/>
        <v>-0.875</v>
      </c>
      <c r="S148" s="32"/>
      <c r="T148" s="30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</row>
    <row r="149" spans="3:144" x14ac:dyDescent="0.3">
      <c r="C149" s="5" t="s">
        <v>133</v>
      </c>
      <c r="D149" s="5"/>
      <c r="E149" s="5"/>
      <c r="F149" s="190">
        <v>8</v>
      </c>
      <c r="G149" s="191">
        <v>7</v>
      </c>
      <c r="H149" s="191">
        <v>7</v>
      </c>
      <c r="I149" s="191">
        <v>7</v>
      </c>
      <c r="J149" s="191">
        <v>7</v>
      </c>
      <c r="K149" s="50"/>
      <c r="L149" s="55"/>
      <c r="M149" s="55"/>
      <c r="N149" s="55"/>
      <c r="O149" s="55"/>
      <c r="P149" s="32">
        <f t="shared" ref="P149:Q156" si="46">SUM(H159,-G159)/G159</f>
        <v>0</v>
      </c>
      <c r="Q149" s="32">
        <f t="shared" si="46"/>
        <v>11</v>
      </c>
      <c r="R149" s="32">
        <f t="shared" si="45"/>
        <v>-0.16666666666666666</v>
      </c>
      <c r="S149" s="32"/>
      <c r="T149" s="30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</row>
    <row r="150" spans="3:144" x14ac:dyDescent="0.3">
      <c r="C150" s="5" t="s">
        <v>134</v>
      </c>
      <c r="D150" s="5"/>
      <c r="E150" s="5"/>
      <c r="F150" s="190">
        <v>105</v>
      </c>
      <c r="G150" s="191">
        <v>115</v>
      </c>
      <c r="H150" s="191">
        <v>85</v>
      </c>
      <c r="I150" s="191">
        <v>75</v>
      </c>
      <c r="J150" s="191">
        <v>73</v>
      </c>
      <c r="K150" s="50"/>
      <c r="L150" s="55"/>
      <c r="M150" s="55"/>
      <c r="N150" s="55"/>
      <c r="O150" s="55"/>
      <c r="P150" s="32">
        <f t="shared" si="46"/>
        <v>-0.1111111111111111</v>
      </c>
      <c r="Q150" s="32">
        <f t="shared" si="46"/>
        <v>-0.125</v>
      </c>
      <c r="R150" s="32">
        <f t="shared" si="45"/>
        <v>0.42857142857142855</v>
      </c>
      <c r="S150" s="32"/>
      <c r="T150" s="30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</row>
    <row r="151" spans="3:144" x14ac:dyDescent="0.3">
      <c r="C151" s="5" t="s">
        <v>135</v>
      </c>
      <c r="D151" s="5"/>
      <c r="E151" s="5"/>
      <c r="F151" s="190">
        <v>0</v>
      </c>
      <c r="G151" s="191">
        <v>5</v>
      </c>
      <c r="H151" s="191">
        <v>0</v>
      </c>
      <c r="I151" s="191">
        <v>0</v>
      </c>
      <c r="J151" s="191">
        <v>0</v>
      </c>
      <c r="K151" s="50"/>
      <c r="L151" s="55"/>
      <c r="M151" s="55"/>
      <c r="N151" s="55"/>
      <c r="O151" s="55"/>
      <c r="P151" s="32">
        <f t="shared" si="46"/>
        <v>0.33333333333333331</v>
      </c>
      <c r="Q151" s="32">
        <f t="shared" si="46"/>
        <v>0.25</v>
      </c>
      <c r="R151" s="32">
        <f t="shared" si="45"/>
        <v>-0.2</v>
      </c>
      <c r="S151" s="32"/>
      <c r="T151" s="30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</row>
    <row r="152" spans="3:144" x14ac:dyDescent="0.3">
      <c r="C152" s="9" t="s">
        <v>136</v>
      </c>
      <c r="D152" s="9"/>
      <c r="E152" s="5"/>
      <c r="F152" s="190">
        <v>20</v>
      </c>
      <c r="G152" s="191">
        <v>20</v>
      </c>
      <c r="H152" s="191">
        <v>0</v>
      </c>
      <c r="I152" s="191">
        <v>0</v>
      </c>
      <c r="J152" s="191">
        <v>0</v>
      </c>
      <c r="K152" s="50"/>
      <c r="L152" s="55"/>
      <c r="M152" s="55"/>
      <c r="N152" s="55"/>
      <c r="O152" s="55"/>
      <c r="P152" s="32">
        <f t="shared" si="46"/>
        <v>0</v>
      </c>
      <c r="Q152" s="32">
        <f t="shared" si="46"/>
        <v>0</v>
      </c>
      <c r="R152" s="32">
        <f t="shared" si="45"/>
        <v>-1</v>
      </c>
      <c r="S152" s="32"/>
      <c r="T152" s="30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</row>
    <row r="153" spans="3:144" x14ac:dyDescent="0.3">
      <c r="C153" s="5" t="s">
        <v>137</v>
      </c>
      <c r="D153" s="5"/>
      <c r="E153" s="5"/>
      <c r="F153" s="190">
        <v>7</v>
      </c>
      <c r="G153" s="191">
        <v>6</v>
      </c>
      <c r="H153" s="191">
        <v>7</v>
      </c>
      <c r="I153" s="191">
        <v>7</v>
      </c>
      <c r="J153" s="191">
        <v>3</v>
      </c>
      <c r="K153" s="53"/>
      <c r="L153" s="55"/>
      <c r="M153" s="55"/>
      <c r="N153" s="55"/>
      <c r="O153" s="55"/>
      <c r="P153" s="32">
        <f t="shared" si="46"/>
        <v>0</v>
      </c>
      <c r="Q153" s="32">
        <f t="shared" si="46"/>
        <v>0.5</v>
      </c>
      <c r="R153" s="32">
        <f t="shared" si="45"/>
        <v>0</v>
      </c>
      <c r="S153" s="32"/>
      <c r="T153" s="30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</row>
    <row r="154" spans="3:144" x14ac:dyDescent="0.3">
      <c r="C154" s="5" t="s">
        <v>138</v>
      </c>
      <c r="D154" s="5"/>
      <c r="E154" s="5"/>
      <c r="F154" s="190">
        <v>14</v>
      </c>
      <c r="G154" s="191">
        <v>12</v>
      </c>
      <c r="H154" s="191">
        <v>11</v>
      </c>
      <c r="I154" s="191">
        <v>14</v>
      </c>
      <c r="J154" s="191">
        <v>17</v>
      </c>
      <c r="K154" s="50"/>
      <c r="L154" s="55"/>
      <c r="M154" s="55"/>
      <c r="N154" s="55"/>
      <c r="O154" s="55"/>
      <c r="P154" s="32">
        <f t="shared" si="46"/>
        <v>0</v>
      </c>
      <c r="Q154" s="32">
        <f t="shared" si="46"/>
        <v>-0.16666666666666666</v>
      </c>
      <c r="R154" s="32">
        <f t="shared" si="45"/>
        <v>0.4</v>
      </c>
      <c r="S154" s="32"/>
      <c r="T154" s="30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</row>
    <row r="155" spans="3:144" x14ac:dyDescent="0.3">
      <c r="C155" s="5" t="s">
        <v>139</v>
      </c>
      <c r="D155" s="5"/>
      <c r="E155" s="5"/>
      <c r="F155" s="190">
        <v>3</v>
      </c>
      <c r="G155" s="191">
        <v>3</v>
      </c>
      <c r="H155" s="191">
        <v>3</v>
      </c>
      <c r="I155" s="191">
        <v>3</v>
      </c>
      <c r="J155" s="191">
        <v>2</v>
      </c>
      <c r="K155" s="50"/>
      <c r="L155" s="55"/>
      <c r="M155" s="55"/>
      <c r="N155" s="55"/>
      <c r="O155" s="55"/>
      <c r="P155" s="32">
        <f t="shared" si="46"/>
        <v>9.5238095238095233E-2</v>
      </c>
      <c r="Q155" s="32">
        <f t="shared" si="46"/>
        <v>0.17391304347826086</v>
      </c>
      <c r="R155" s="32">
        <f t="shared" si="45"/>
        <v>-0.1111111111111111</v>
      </c>
      <c r="S155" s="32"/>
      <c r="T155" s="30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</row>
    <row r="156" spans="3:144" x14ac:dyDescent="0.3">
      <c r="C156" s="5" t="s">
        <v>140</v>
      </c>
      <c r="D156" s="5"/>
      <c r="E156" s="5"/>
      <c r="F156" s="190">
        <v>21</v>
      </c>
      <c r="G156" s="191">
        <v>25</v>
      </c>
      <c r="H156" s="191">
        <v>0</v>
      </c>
      <c r="I156" s="191">
        <v>0</v>
      </c>
      <c r="J156" s="191">
        <v>0</v>
      </c>
      <c r="K156" s="53"/>
      <c r="L156" s="55"/>
      <c r="M156" s="55"/>
      <c r="N156" s="55"/>
      <c r="O156" s="55"/>
      <c r="P156" s="34">
        <f t="shared" si="46"/>
        <v>-0.29973118279569894</v>
      </c>
      <c r="Q156" s="34">
        <f t="shared" si="46"/>
        <v>0.11516314779270634</v>
      </c>
      <c r="R156" s="34">
        <f t="shared" si="45"/>
        <v>0.45266781411359724</v>
      </c>
      <c r="S156" s="34">
        <f>SUM(T156,-J166)/J166</f>
        <v>0.6018957345971564</v>
      </c>
      <c r="T156" s="38">
        <v>1352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</row>
    <row r="157" spans="3:144" x14ac:dyDescent="0.3">
      <c r="C157" s="5" t="s">
        <v>141</v>
      </c>
      <c r="D157" s="5"/>
      <c r="E157" s="5"/>
      <c r="F157" s="190">
        <v>1</v>
      </c>
      <c r="G157" s="191">
        <v>0</v>
      </c>
      <c r="H157" s="191">
        <v>0</v>
      </c>
      <c r="I157" s="191">
        <v>4</v>
      </c>
      <c r="J157" s="191">
        <v>4</v>
      </c>
      <c r="K157" s="50"/>
      <c r="L157" s="55"/>
      <c r="M157" s="55"/>
      <c r="N157" s="55"/>
      <c r="O157" s="55"/>
      <c r="P157" s="32"/>
      <c r="Q157" s="32"/>
      <c r="R157" s="32"/>
      <c r="S157" s="32"/>
      <c r="T157" s="30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</row>
    <row r="158" spans="3:144" x14ac:dyDescent="0.3">
      <c r="C158" s="5" t="s">
        <v>142</v>
      </c>
      <c r="D158" s="5"/>
      <c r="E158" s="5"/>
      <c r="F158" s="190">
        <v>0</v>
      </c>
      <c r="G158" s="191">
        <v>0</v>
      </c>
      <c r="H158" s="191">
        <v>0</v>
      </c>
      <c r="I158" s="191">
        <v>8</v>
      </c>
      <c r="J158" s="191">
        <v>1</v>
      </c>
      <c r="K158" s="50"/>
      <c r="L158" s="55"/>
      <c r="M158" s="55"/>
      <c r="N158" s="55"/>
      <c r="O158" s="55"/>
      <c r="P158" s="32">
        <f t="shared" ref="P158:R165" si="47">SUM(H168,-G168)/G168</f>
        <v>6.3404255319148932</v>
      </c>
      <c r="Q158" s="32">
        <f t="shared" si="47"/>
        <v>0.61739130434782608</v>
      </c>
      <c r="R158" s="32">
        <f t="shared" si="47"/>
        <v>-0.91756272401433692</v>
      </c>
      <c r="S158" s="32"/>
      <c r="T158" s="30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</row>
    <row r="159" spans="3:144" x14ac:dyDescent="0.3">
      <c r="C159" s="5" t="s">
        <v>143</v>
      </c>
      <c r="D159" s="5"/>
      <c r="E159" s="5"/>
      <c r="F159" s="190">
        <v>1</v>
      </c>
      <c r="G159" s="191">
        <v>1</v>
      </c>
      <c r="H159" s="191">
        <v>1</v>
      </c>
      <c r="I159" s="191">
        <v>12</v>
      </c>
      <c r="J159" s="191">
        <v>10</v>
      </c>
      <c r="K159" s="50"/>
      <c r="L159" s="55"/>
      <c r="M159" s="55"/>
      <c r="N159" s="55"/>
      <c r="O159" s="55"/>
      <c r="P159" s="32">
        <f t="shared" si="47"/>
        <v>-0.72937293729372932</v>
      </c>
      <c r="Q159" s="32">
        <f t="shared" si="47"/>
        <v>0.56097560975609762</v>
      </c>
      <c r="R159" s="32">
        <f t="shared" si="47"/>
        <v>0.8203125</v>
      </c>
      <c r="S159" s="32"/>
      <c r="T159" s="30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3:144" x14ac:dyDescent="0.3">
      <c r="C160" s="5" t="s">
        <v>144</v>
      </c>
      <c r="D160" s="5"/>
      <c r="E160" s="5"/>
      <c r="F160" s="190">
        <v>8</v>
      </c>
      <c r="G160" s="191">
        <v>9</v>
      </c>
      <c r="H160" s="191">
        <v>8</v>
      </c>
      <c r="I160" s="191">
        <v>7</v>
      </c>
      <c r="J160" s="191">
        <v>10</v>
      </c>
      <c r="K160" s="50"/>
      <c r="L160" s="55"/>
      <c r="M160" s="55"/>
      <c r="N160" s="55"/>
      <c r="O160" s="55"/>
      <c r="P160" s="32">
        <f t="shared" si="47"/>
        <v>1.5</v>
      </c>
      <c r="Q160" s="32">
        <f t="shared" si="47"/>
        <v>0</v>
      </c>
      <c r="R160" s="32">
        <f t="shared" si="47"/>
        <v>4</v>
      </c>
      <c r="S160" s="32"/>
      <c r="T160" s="30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3:42" x14ac:dyDescent="0.3">
      <c r="C161" s="5" t="s">
        <v>145</v>
      </c>
      <c r="D161" s="5"/>
      <c r="E161" s="5"/>
      <c r="F161" s="190">
        <v>3</v>
      </c>
      <c r="G161" s="191">
        <v>3</v>
      </c>
      <c r="H161" s="191">
        <v>4</v>
      </c>
      <c r="I161" s="191">
        <v>5</v>
      </c>
      <c r="J161" s="191">
        <v>4</v>
      </c>
      <c r="K161" s="50"/>
      <c r="L161" s="55"/>
      <c r="M161" s="55"/>
      <c r="N161" s="55"/>
      <c r="O161" s="55"/>
      <c r="P161" s="32">
        <f t="shared" si="47"/>
        <v>-0.5</v>
      </c>
      <c r="Q161" s="32">
        <f t="shared" si="47"/>
        <v>1</v>
      </c>
      <c r="R161" s="32">
        <f t="shared" si="47"/>
        <v>-1</v>
      </c>
      <c r="S161" s="32"/>
      <c r="T161" s="30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3:42" x14ac:dyDescent="0.3">
      <c r="C162" s="5" t="s">
        <v>146</v>
      </c>
      <c r="D162" s="5"/>
      <c r="E162" s="5"/>
      <c r="F162" s="190">
        <v>6</v>
      </c>
      <c r="G162" s="191">
        <v>6</v>
      </c>
      <c r="H162" s="191">
        <v>6</v>
      </c>
      <c r="I162" s="191">
        <v>6</v>
      </c>
      <c r="J162" s="191">
        <v>0</v>
      </c>
      <c r="K162" s="50"/>
      <c r="L162" s="55"/>
      <c r="M162" s="55"/>
      <c r="N162" s="55"/>
      <c r="O162" s="55"/>
      <c r="P162" s="32">
        <f t="shared" si="47"/>
        <v>-0.2</v>
      </c>
      <c r="Q162" s="32">
        <f t="shared" si="47"/>
        <v>-0.75</v>
      </c>
      <c r="R162" s="32">
        <f t="shared" si="47"/>
        <v>-1</v>
      </c>
      <c r="S162" s="32"/>
      <c r="T162" s="30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3:42" x14ac:dyDescent="0.3">
      <c r="C163" s="5" t="s">
        <v>147</v>
      </c>
      <c r="D163" s="5"/>
      <c r="E163" s="5"/>
      <c r="F163" s="190">
        <v>3</v>
      </c>
      <c r="G163" s="191">
        <v>2</v>
      </c>
      <c r="H163" s="191">
        <v>2</v>
      </c>
      <c r="I163" s="191">
        <v>3</v>
      </c>
      <c r="J163" s="191">
        <v>3</v>
      </c>
      <c r="K163" s="50"/>
      <c r="L163" s="55"/>
      <c r="M163" s="55"/>
      <c r="N163" s="55"/>
      <c r="O163" s="55"/>
      <c r="P163" s="34">
        <f t="shared" si="47"/>
        <v>0.21727019498607242</v>
      </c>
      <c r="Q163" s="34">
        <f t="shared" si="47"/>
        <v>0.58810068649885583</v>
      </c>
      <c r="R163" s="34">
        <f t="shared" si="47"/>
        <v>-0.56195965417867433</v>
      </c>
      <c r="S163" s="34">
        <f>SUM(T163,-J173)/J173</f>
        <v>0.92105263157894735</v>
      </c>
      <c r="T163" s="38">
        <v>584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3:42" x14ac:dyDescent="0.3">
      <c r="C164" s="5" t="s">
        <v>148</v>
      </c>
      <c r="D164" s="5"/>
      <c r="E164" s="5"/>
      <c r="F164" s="190">
        <v>0</v>
      </c>
      <c r="G164" s="191">
        <v>6</v>
      </c>
      <c r="H164" s="191">
        <v>6</v>
      </c>
      <c r="I164" s="191">
        <v>5</v>
      </c>
      <c r="J164" s="191">
        <v>7</v>
      </c>
      <c r="K164" s="50"/>
      <c r="L164" s="55"/>
      <c r="M164" s="55"/>
      <c r="N164" s="55"/>
      <c r="O164" s="55"/>
      <c r="P164" s="56">
        <f t="shared" si="47"/>
        <v>-0.87878787878787878</v>
      </c>
      <c r="Q164" s="56">
        <f t="shared" si="47"/>
        <v>7.5</v>
      </c>
      <c r="R164" s="56">
        <f t="shared" si="47"/>
        <v>-0.82352941176470584</v>
      </c>
      <c r="S164" s="56">
        <f>SUM(T164,-J174)/J174</f>
        <v>7.833333333333333</v>
      </c>
      <c r="T164" s="59">
        <v>53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3:42" x14ac:dyDescent="0.3">
      <c r="C165" s="5" t="s">
        <v>149</v>
      </c>
      <c r="D165" s="5"/>
      <c r="E165" s="5"/>
      <c r="F165" s="190">
        <v>16</v>
      </c>
      <c r="G165" s="191">
        <v>21</v>
      </c>
      <c r="H165" s="191">
        <v>23</v>
      </c>
      <c r="I165" s="191">
        <v>27</v>
      </c>
      <c r="J165" s="191">
        <v>24</v>
      </c>
      <c r="K165" s="50"/>
      <c r="L165" s="55"/>
      <c r="M165" s="55"/>
      <c r="N165" s="55"/>
      <c r="O165" s="55"/>
      <c r="P165" s="39">
        <f t="shared" si="47"/>
        <v>-7.0238095238095238E-2</v>
      </c>
      <c r="Q165" s="39">
        <f t="shared" si="47"/>
        <v>0.16175842936406318</v>
      </c>
      <c r="R165" s="39">
        <f t="shared" si="47"/>
        <v>-3.1961792799412199E-2</v>
      </c>
      <c r="S165" s="39">
        <f>SUM(T165,-J175)/J175</f>
        <v>0.25692599620493356</v>
      </c>
      <c r="T165" s="40">
        <f t="shared" ref="T165" si="48">SUM(T131,T156,T163,T164)</f>
        <v>3312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 x14ac:dyDescent="0.3">
      <c r="C166" s="10" t="s">
        <v>110</v>
      </c>
      <c r="D166" s="12"/>
      <c r="E166" s="12"/>
      <c r="F166" s="206">
        <f t="shared" ref="F166:G166" si="49">SUM(F143,F144,F145)</f>
        <v>521</v>
      </c>
      <c r="G166" s="207">
        <f t="shared" si="49"/>
        <v>744</v>
      </c>
      <c r="H166" s="207">
        <f>SUM(H143,H144,H145)</f>
        <v>521</v>
      </c>
      <c r="I166" s="207">
        <f>SUM(I143,I144,I145)</f>
        <v>581</v>
      </c>
      <c r="J166" s="207">
        <f>SUM(J143,J144,J145)</f>
        <v>844</v>
      </c>
      <c r="K166" s="50"/>
      <c r="L166" s="55"/>
      <c r="M166" s="55"/>
      <c r="N166" s="55"/>
      <c r="O166" s="55"/>
      <c r="P166" s="32"/>
      <c r="Q166" s="32"/>
      <c r="R166" s="32"/>
      <c r="S166" s="32"/>
      <c r="T166" s="30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 x14ac:dyDescent="0.3">
      <c r="C167" s="8" t="s">
        <v>150</v>
      </c>
      <c r="D167" s="5"/>
      <c r="E167" s="5"/>
      <c r="F167" s="204"/>
      <c r="G167" s="205"/>
      <c r="H167" s="205"/>
      <c r="I167" s="205"/>
      <c r="J167" s="205"/>
      <c r="K167" s="50"/>
      <c r="L167" s="55"/>
      <c r="M167" s="55"/>
      <c r="N167" s="55"/>
      <c r="O167" s="55"/>
      <c r="P167" s="43">
        <f>SUM(H177,-G177)/G177</f>
        <v>-2.3236163920574569E-2</v>
      </c>
      <c r="Q167" s="43">
        <f>SUM(I177,-H177)/H177</f>
        <v>-1.8166089965397925E-2</v>
      </c>
      <c r="R167" s="43">
        <f>SUM(J177,-I177)/I177</f>
        <v>3.8766519823788544E-2</v>
      </c>
      <c r="S167" s="43">
        <f>SUM(T167,-J177)/J177</f>
        <v>5.8241447554424654E-2</v>
      </c>
      <c r="T167" s="44">
        <f>SUM(T165,T125)</f>
        <v>7486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 x14ac:dyDescent="0.3">
      <c r="C168" s="5" t="s">
        <v>106</v>
      </c>
      <c r="D168" s="5"/>
      <c r="E168" s="5"/>
      <c r="F168" s="190">
        <v>571</v>
      </c>
      <c r="G168" s="191">
        <v>47</v>
      </c>
      <c r="H168" s="191">
        <v>345</v>
      </c>
      <c r="I168" s="191">
        <v>558</v>
      </c>
      <c r="J168" s="191">
        <v>46</v>
      </c>
      <c r="K168" s="50"/>
      <c r="L168" s="55"/>
      <c r="M168" s="55"/>
      <c r="N168" s="55"/>
      <c r="O168" s="55"/>
      <c r="P168" s="32"/>
      <c r="Q168" s="32"/>
      <c r="R168" s="32"/>
      <c r="S168" s="32"/>
      <c r="T168" s="30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 x14ac:dyDescent="0.3">
      <c r="C169" s="5" t="s">
        <v>107</v>
      </c>
      <c r="D169" s="5"/>
      <c r="E169" s="5"/>
      <c r="F169" s="190">
        <v>119</v>
      </c>
      <c r="G169" s="191">
        <v>303</v>
      </c>
      <c r="H169" s="191">
        <v>82</v>
      </c>
      <c r="I169" s="191">
        <v>128</v>
      </c>
      <c r="J169" s="191">
        <v>233</v>
      </c>
      <c r="K169" s="50"/>
      <c r="L169" s="55"/>
      <c r="M169" s="55"/>
      <c r="N169" s="55"/>
      <c r="O169" s="55"/>
      <c r="P169" s="32">
        <f>SUM(H179,-G179)/G179</f>
        <v>-1</v>
      </c>
      <c r="Q169" s="32"/>
      <c r="R169" s="32"/>
      <c r="S169" s="32"/>
      <c r="T169" s="30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 x14ac:dyDescent="0.3">
      <c r="C170" s="5" t="s">
        <v>151</v>
      </c>
      <c r="D170" s="5"/>
      <c r="E170" s="5"/>
      <c r="F170" s="190">
        <v>1</v>
      </c>
      <c r="G170" s="191">
        <v>2</v>
      </c>
      <c r="H170" s="191">
        <v>5</v>
      </c>
      <c r="I170" s="191">
        <v>5</v>
      </c>
      <c r="J170" s="191">
        <v>25</v>
      </c>
      <c r="K170" s="50"/>
      <c r="L170" s="55"/>
      <c r="M170" s="55"/>
      <c r="N170" s="55"/>
      <c r="O170" s="55"/>
      <c r="P170" s="29"/>
      <c r="Q170" s="29"/>
      <c r="R170" s="29"/>
      <c r="S170" s="29"/>
      <c r="T170" s="30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 x14ac:dyDescent="0.3">
      <c r="C171" s="5" t="s">
        <v>152</v>
      </c>
      <c r="D171" s="5"/>
      <c r="E171" s="5"/>
      <c r="F171" s="190">
        <v>1</v>
      </c>
      <c r="G171" s="191">
        <v>2</v>
      </c>
      <c r="H171" s="191">
        <v>1</v>
      </c>
      <c r="I171" s="191">
        <v>2</v>
      </c>
      <c r="J171" s="191">
        <v>0</v>
      </c>
      <c r="K171" s="50"/>
      <c r="L171" s="55"/>
      <c r="M171" s="55"/>
      <c r="N171" s="55"/>
      <c r="O171" s="55"/>
      <c r="P171" s="41">
        <f>SUM(H181,-G181)/G181</f>
        <v>-4.216809473380187E-2</v>
      </c>
      <c r="Q171" s="41">
        <f>SUM(I181,-H181)/H181</f>
        <v>3.8596843903909939E-2</v>
      </c>
      <c r="R171" s="41">
        <f>SUM(J181,-I181)/I181</f>
        <v>3.7936707635730184E-2</v>
      </c>
      <c r="S171" s="41">
        <f>SUM(T171,-J181)/J181</f>
        <v>4.7272727272727272E-2</v>
      </c>
      <c r="T171" s="42">
        <f>SUM(T167,T100)</f>
        <v>11232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 x14ac:dyDescent="0.3">
      <c r="C172" s="5" t="s">
        <v>109</v>
      </c>
      <c r="D172" s="5"/>
      <c r="E172" s="5"/>
      <c r="F172" s="190">
        <v>0</v>
      </c>
      <c r="G172" s="191">
        <v>5</v>
      </c>
      <c r="H172" s="191">
        <v>4</v>
      </c>
      <c r="I172" s="191">
        <v>1</v>
      </c>
      <c r="J172" s="191">
        <v>0</v>
      </c>
      <c r="K172" s="50"/>
      <c r="L172" s="55"/>
      <c r="M172" s="55"/>
      <c r="N172" s="55"/>
      <c r="O172" s="55"/>
      <c r="P172" s="46">
        <f ca="1">SUM(P85,-P171)</f>
        <v>0</v>
      </c>
      <c r="Q172" s="46">
        <f ca="1">SUM(Q85,-Q171)</f>
        <v>0</v>
      </c>
      <c r="R172" s="46">
        <f ca="1">SUM(R85,-R171)</f>
        <v>0</v>
      </c>
      <c r="S172" s="46">
        <f ca="1">SUM(S85,-S171)</f>
        <v>0</v>
      </c>
      <c r="T172" s="47">
        <f>SUM(T85,-T171)</f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 x14ac:dyDescent="0.3">
      <c r="C173" s="10" t="s">
        <v>110</v>
      </c>
      <c r="D173" s="12"/>
      <c r="E173" s="12"/>
      <c r="F173" s="206">
        <f t="shared" ref="F173:G173" si="50">SUM(F168:F172)</f>
        <v>692</v>
      </c>
      <c r="G173" s="207">
        <f t="shared" si="50"/>
        <v>359</v>
      </c>
      <c r="H173" s="207">
        <f>SUM(H168:H172)</f>
        <v>437</v>
      </c>
      <c r="I173" s="207">
        <f>SUM(I168:I172)</f>
        <v>694</v>
      </c>
      <c r="J173" s="207">
        <f>SUM(J168:J172)</f>
        <v>304</v>
      </c>
      <c r="K173" s="50"/>
      <c r="L173" s="55"/>
      <c r="M173" s="55"/>
      <c r="N173" s="55"/>
      <c r="O173" s="5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 x14ac:dyDescent="0.3">
      <c r="C174" s="8" t="s">
        <v>153</v>
      </c>
      <c r="D174" s="5"/>
      <c r="E174" s="5"/>
      <c r="F174" s="216">
        <v>43</v>
      </c>
      <c r="G174" s="217">
        <v>33</v>
      </c>
      <c r="H174" s="217">
        <v>4</v>
      </c>
      <c r="I174" s="217">
        <v>34</v>
      </c>
      <c r="J174" s="217">
        <v>6</v>
      </c>
      <c r="K174" s="50"/>
      <c r="L174" s="55"/>
      <c r="M174" s="55"/>
      <c r="N174" s="55"/>
      <c r="O174" s="5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 x14ac:dyDescent="0.3">
      <c r="C175" s="15" t="s">
        <v>154</v>
      </c>
      <c r="D175" s="16"/>
      <c r="E175" s="16"/>
      <c r="F175" s="218">
        <f t="shared" ref="F175:G175" si="51">SUM(F141,F166,F173,F174)</f>
        <v>2426</v>
      </c>
      <c r="G175" s="219">
        <f t="shared" si="51"/>
        <v>2520</v>
      </c>
      <c r="H175" s="219">
        <f>SUM(H141,H166,H173,H174)</f>
        <v>2343</v>
      </c>
      <c r="I175" s="219">
        <f>SUM(I141,I166,I173,I174)</f>
        <v>2722</v>
      </c>
      <c r="J175" s="219">
        <f>SUM(J141,J166,J173,J174)</f>
        <v>2635</v>
      </c>
      <c r="K175" s="50"/>
      <c r="L175" s="55"/>
      <c r="M175" s="55"/>
      <c r="N175" s="55"/>
      <c r="O175" s="5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 x14ac:dyDescent="0.3">
      <c r="C176" s="8"/>
      <c r="D176" s="5"/>
      <c r="E176" s="5"/>
      <c r="F176" s="204"/>
      <c r="G176" s="205"/>
      <c r="H176" s="205"/>
      <c r="I176" s="205"/>
      <c r="J176" s="205"/>
      <c r="K176" s="50"/>
      <c r="L176" s="55"/>
      <c r="M176" s="55"/>
      <c r="N176" s="55"/>
      <c r="O176" s="5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 x14ac:dyDescent="0.3">
      <c r="C177" s="24" t="s">
        <v>155</v>
      </c>
      <c r="D177" s="25"/>
      <c r="E177" s="25"/>
      <c r="F177" s="224">
        <f>SUM(F175,F135)</f>
        <v>6522</v>
      </c>
      <c r="G177" s="225">
        <f>SUM(G175,G135)</f>
        <v>7101</v>
      </c>
      <c r="H177" s="225">
        <f>SUM(H175,H135)</f>
        <v>6936</v>
      </c>
      <c r="I177" s="225">
        <f>SUM(I175,I135)</f>
        <v>6810</v>
      </c>
      <c r="J177" s="225">
        <f>SUM(J175,J135)</f>
        <v>7074</v>
      </c>
      <c r="K177" s="50"/>
      <c r="L177" s="55"/>
      <c r="M177" s="55"/>
      <c r="N177" s="55"/>
      <c r="O177" s="5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 x14ac:dyDescent="0.3">
      <c r="C178" s="8"/>
      <c r="D178" s="5"/>
      <c r="E178" s="5"/>
      <c r="F178" s="204"/>
      <c r="G178" s="205"/>
      <c r="H178" s="205"/>
      <c r="I178" s="205"/>
      <c r="J178" s="205"/>
      <c r="K178" s="50"/>
      <c r="L178" s="55"/>
      <c r="M178" s="55"/>
      <c r="N178" s="55"/>
      <c r="O178" s="5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ht="28.8" x14ac:dyDescent="0.3">
      <c r="C179" s="26" t="s">
        <v>156</v>
      </c>
      <c r="D179" s="5"/>
      <c r="E179" s="5"/>
      <c r="F179" s="204">
        <v>20</v>
      </c>
      <c r="G179" s="205">
        <v>7</v>
      </c>
      <c r="H179" s="187">
        <v>0</v>
      </c>
      <c r="I179" s="187">
        <v>0</v>
      </c>
      <c r="J179" s="187">
        <v>0</v>
      </c>
      <c r="K179" s="50"/>
      <c r="L179" s="55"/>
      <c r="M179" s="55"/>
      <c r="N179" s="55"/>
      <c r="O179" s="5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 x14ac:dyDescent="0.3">
      <c r="C180" s="17"/>
      <c r="D180" s="17"/>
      <c r="E180" s="5"/>
      <c r="F180" s="204"/>
      <c r="G180" s="205"/>
      <c r="H180" s="205"/>
      <c r="I180" s="205"/>
      <c r="J180" s="205"/>
      <c r="K180" s="55"/>
      <c r="L180" s="55"/>
      <c r="M180" s="55"/>
      <c r="N180" s="55"/>
      <c r="O180" s="5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 x14ac:dyDescent="0.3">
      <c r="C181" s="18" t="s">
        <v>157</v>
      </c>
      <c r="D181" s="20"/>
      <c r="E181" s="20"/>
      <c r="F181" s="221">
        <f>SUM(F177,F110,F179)</f>
        <v>9801</v>
      </c>
      <c r="G181" s="222">
        <f>SUM(G177,G110,G179)</f>
        <v>10387</v>
      </c>
      <c r="H181" s="222">
        <f>SUM(H177,H110)</f>
        <v>9949</v>
      </c>
      <c r="I181" s="222">
        <f>SUM(I177,I110)</f>
        <v>10333</v>
      </c>
      <c r="J181" s="222">
        <f>SUM(J177,J110)</f>
        <v>10725</v>
      </c>
      <c r="K181" s="55"/>
      <c r="L181" s="55"/>
      <c r="M181" s="55"/>
      <c r="N181" s="55"/>
      <c r="O181" s="5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 x14ac:dyDescent="0.3">
      <c r="C182" s="27" t="s">
        <v>159</v>
      </c>
      <c r="D182" s="27"/>
      <c r="E182" s="54"/>
      <c r="F182" s="45">
        <f t="shared" ref="F182:G182" ca="1" si="52">SUM(F93,-F181)</f>
        <v>0</v>
      </c>
      <c r="G182" s="46">
        <f t="shared" ca="1" si="52"/>
        <v>0</v>
      </c>
      <c r="H182" s="46">
        <f ca="1">SUM(H93,-H181)</f>
        <v>0</v>
      </c>
      <c r="I182" s="46">
        <f ca="1">SUM(I93,-I181)</f>
        <v>0</v>
      </c>
      <c r="J182" s="46">
        <f ca="1">SUM(J93,-J181)</f>
        <v>0</v>
      </c>
      <c r="K182" s="55"/>
      <c r="L182" s="55"/>
      <c r="M182" s="55"/>
      <c r="N182" s="55"/>
      <c r="O182" s="5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 x14ac:dyDescent="0.3"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 x14ac:dyDescent="0.3">
      <c r="C184" s="1"/>
      <c r="D184" s="1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 x14ac:dyDescent="0.3">
      <c r="D185" s="1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 x14ac:dyDescent="0.3">
      <c r="C186" s="1"/>
      <c r="D186" s="1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 x14ac:dyDescent="0.3">
      <c r="C187" s="1"/>
      <c r="D187" s="1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 x14ac:dyDescent="0.3">
      <c r="C188" s="1"/>
      <c r="D188" s="1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 x14ac:dyDescent="0.3">
      <c r="C189" s="1"/>
      <c r="D189" s="1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 x14ac:dyDescent="0.3">
      <c r="C190" s="1"/>
      <c r="D190" s="1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 x14ac:dyDescent="0.3">
      <c r="C191" s="1"/>
      <c r="D191" s="1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 x14ac:dyDescent="0.3">
      <c r="C192" s="1"/>
      <c r="D192" s="1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 x14ac:dyDescent="0.3">
      <c r="C193" s="1"/>
      <c r="D193" s="1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 x14ac:dyDescent="0.3">
      <c r="C194" s="1"/>
      <c r="D194" s="1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 x14ac:dyDescent="0.3">
      <c r="C195" s="1"/>
      <c r="D195" s="1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 x14ac:dyDescent="0.3">
      <c r="C196" s="1"/>
      <c r="D196" s="1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 x14ac:dyDescent="0.3">
      <c r="C197" s="1"/>
      <c r="D197" s="1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 x14ac:dyDescent="0.3">
      <c r="C198" s="1"/>
      <c r="D198" s="1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 x14ac:dyDescent="0.3">
      <c r="C199" s="1"/>
      <c r="D199" s="1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 x14ac:dyDescent="0.3">
      <c r="C200" s="1"/>
      <c r="D200" s="1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 x14ac:dyDescent="0.3">
      <c r="C201" s="1"/>
      <c r="D201" s="1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 x14ac:dyDescent="0.3">
      <c r="C202" s="1"/>
      <c r="D202" s="1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 x14ac:dyDescent="0.3">
      <c r="C203" s="1"/>
      <c r="D203" s="1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 x14ac:dyDescent="0.3">
      <c r="C204" s="1"/>
      <c r="D204" s="1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 x14ac:dyDescent="0.3">
      <c r="C205" s="1"/>
      <c r="D205" s="1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 x14ac:dyDescent="0.3">
      <c r="C206" s="2"/>
      <c r="D206" s="1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 x14ac:dyDescent="0.3">
      <c r="C207" s="2"/>
      <c r="D207" s="1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 x14ac:dyDescent="0.3">
      <c r="C208" s="1"/>
      <c r="D208" s="1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 x14ac:dyDescent="0.3">
      <c r="C209" s="1"/>
      <c r="D209" s="1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 x14ac:dyDescent="0.3">
      <c r="C210" s="1"/>
      <c r="D210" s="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 x14ac:dyDescent="0.3">
      <c r="C211" s="1"/>
      <c r="D211" s="1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 x14ac:dyDescent="0.3">
      <c r="C212" s="2"/>
      <c r="D212" s="1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 x14ac:dyDescent="0.3">
      <c r="C213" s="2"/>
      <c r="D213" s="1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 x14ac:dyDescent="0.3">
      <c r="C214" s="3"/>
      <c r="D214" s="1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 x14ac:dyDescent="0.3">
      <c r="C215" s="2"/>
      <c r="D215" s="1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 x14ac:dyDescent="0.3">
      <c r="C216" s="1"/>
      <c r="D216" s="1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 x14ac:dyDescent="0.3">
      <c r="C217" s="1"/>
      <c r="D217" s="1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 x14ac:dyDescent="0.3">
      <c r="C218" s="1"/>
      <c r="D218" s="1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 x14ac:dyDescent="0.3">
      <c r="C219" s="1"/>
      <c r="D219" s="1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 x14ac:dyDescent="0.3">
      <c r="C220" s="1"/>
      <c r="D220" s="1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 x14ac:dyDescent="0.3">
      <c r="C221" s="1"/>
      <c r="D221" s="1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 x14ac:dyDescent="0.3">
      <c r="C222" s="1"/>
      <c r="D222" s="1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 x14ac:dyDescent="0.3">
      <c r="C223" s="1"/>
      <c r="D223" s="1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 x14ac:dyDescent="0.3">
      <c r="C224" s="1"/>
      <c r="D224" s="1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 x14ac:dyDescent="0.3">
      <c r="C225" s="1"/>
      <c r="D225" s="1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 x14ac:dyDescent="0.3">
      <c r="C226" s="1"/>
      <c r="D226" s="1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 x14ac:dyDescent="0.3">
      <c r="C227" s="1"/>
      <c r="D227" s="1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 x14ac:dyDescent="0.3">
      <c r="C228" s="1"/>
      <c r="D228" s="1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 x14ac:dyDescent="0.3">
      <c r="C229" s="1"/>
      <c r="D229" s="1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 x14ac:dyDescent="0.3">
      <c r="C230" s="1"/>
      <c r="D230" s="1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 x14ac:dyDescent="0.3">
      <c r="C231" s="1"/>
      <c r="D231" s="1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 x14ac:dyDescent="0.3">
      <c r="C232" s="1"/>
      <c r="D232" s="1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 x14ac:dyDescent="0.3">
      <c r="C233" s="1"/>
      <c r="D233" s="1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 x14ac:dyDescent="0.3">
      <c r="C234" s="1"/>
      <c r="D234" s="1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 x14ac:dyDescent="0.3">
      <c r="C235" s="1"/>
      <c r="D235" s="1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 x14ac:dyDescent="0.3">
      <c r="C236" s="1"/>
      <c r="D236" s="1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 x14ac:dyDescent="0.3">
      <c r="C237" s="1"/>
      <c r="D237" s="1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 x14ac:dyDescent="0.3">
      <c r="C238" s="1"/>
      <c r="D238" s="1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 x14ac:dyDescent="0.3">
      <c r="C239" s="1"/>
      <c r="D239" s="1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 x14ac:dyDescent="0.3">
      <c r="C240" s="1"/>
      <c r="D240" s="1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3:42" x14ac:dyDescent="0.3">
      <c r="C241" s="1"/>
      <c r="D241" s="1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3:42" x14ac:dyDescent="0.3">
      <c r="C242" s="1"/>
      <c r="D242" s="1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3:42" x14ac:dyDescent="0.3">
      <c r="C243" s="1"/>
      <c r="D243" s="1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3:42" x14ac:dyDescent="0.3">
      <c r="C244" s="1"/>
      <c r="D244" s="1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3:42" x14ac:dyDescent="0.3">
      <c r="C245" s="1"/>
      <c r="D245" s="1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3:42" x14ac:dyDescent="0.3">
      <c r="C246" s="1"/>
      <c r="D246" s="1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3:42" x14ac:dyDescent="0.3">
      <c r="C247" s="1"/>
      <c r="D247" s="1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3:42" x14ac:dyDescent="0.3">
      <c r="C248" s="1"/>
      <c r="D248" s="1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3:42" x14ac:dyDescent="0.3">
      <c r="C249" s="1"/>
      <c r="D249" s="1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3:42" x14ac:dyDescent="0.3">
      <c r="C250" s="1"/>
      <c r="D250" s="1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3:42" x14ac:dyDescent="0.3">
      <c r="C251" s="1"/>
      <c r="D251" s="1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3:42" x14ac:dyDescent="0.3">
      <c r="C252" s="1"/>
      <c r="D252" s="1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3:42" x14ac:dyDescent="0.3">
      <c r="C253" s="1"/>
      <c r="D253" s="1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3:42" x14ac:dyDescent="0.3">
      <c r="C254" s="1"/>
      <c r="D254" s="1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3:42" x14ac:dyDescent="0.3">
      <c r="C255" s="1"/>
      <c r="D255" s="1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3:42" x14ac:dyDescent="0.3">
      <c r="C256" s="1"/>
      <c r="D256" s="1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3:42" x14ac:dyDescent="0.3">
      <c r="C257" s="1"/>
      <c r="D257" s="1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3:42" x14ac:dyDescent="0.3">
      <c r="C258" s="1"/>
      <c r="D258" s="1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3:42" x14ac:dyDescent="0.3">
      <c r="C259" s="1"/>
      <c r="D259" s="1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3:42" x14ac:dyDescent="0.3">
      <c r="C260" s="1"/>
      <c r="D260" s="1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3:42" x14ac:dyDescent="0.3">
      <c r="C261" s="1"/>
      <c r="D261" s="1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3:42" x14ac:dyDescent="0.3">
      <c r="C262" s="1"/>
      <c r="D262" s="1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3:42" x14ac:dyDescent="0.3">
      <c r="C263" s="1"/>
      <c r="D263" s="1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3:42" x14ac:dyDescent="0.3">
      <c r="C264" s="1"/>
      <c r="D264" s="1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3:42" x14ac:dyDescent="0.3">
      <c r="C265" s="1"/>
      <c r="D265" s="1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3:42" x14ac:dyDescent="0.3">
      <c r="C266" s="1"/>
      <c r="D266" s="1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3:42" x14ac:dyDescent="0.3">
      <c r="C267" s="1"/>
      <c r="D267" s="1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3:42" x14ac:dyDescent="0.3">
      <c r="C268" s="1"/>
      <c r="D268" s="1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3:42" x14ac:dyDescent="0.3">
      <c r="C269" s="1"/>
      <c r="D269" s="1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3:42" x14ac:dyDescent="0.3">
      <c r="C270" s="1"/>
      <c r="D270" s="1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3:42" x14ac:dyDescent="0.3">
      <c r="C271" s="1"/>
      <c r="D271" s="1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3:42" x14ac:dyDescent="0.3">
      <c r="C272" s="1"/>
      <c r="D272" s="1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3:42" x14ac:dyDescent="0.3">
      <c r="C273" s="1"/>
      <c r="D273" s="1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3:42" x14ac:dyDescent="0.3">
      <c r="C274" s="1"/>
      <c r="D274" s="1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3:42" x14ac:dyDescent="0.3">
      <c r="C275" s="1"/>
      <c r="D275" s="1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3:42" x14ac:dyDescent="0.3">
      <c r="C276" s="1"/>
      <c r="D276" s="1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3:42" x14ac:dyDescent="0.3">
      <c r="C277" s="1"/>
      <c r="D277" s="1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3:42" x14ac:dyDescent="0.3">
      <c r="C278" s="1"/>
      <c r="D278" s="1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3:42" x14ac:dyDescent="0.3">
      <c r="C279" s="1"/>
      <c r="D279" s="1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3:42" x14ac:dyDescent="0.3">
      <c r="C280" s="1"/>
      <c r="D280" s="1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3:42" x14ac:dyDescent="0.3">
      <c r="C281" s="1"/>
      <c r="D281" s="1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3:42" x14ac:dyDescent="0.3">
      <c r="C282" s="1"/>
      <c r="D282" s="1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3:42" x14ac:dyDescent="0.3">
      <c r="C283" s="1"/>
      <c r="D283" s="1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3:42" x14ac:dyDescent="0.3">
      <c r="C284" s="1"/>
      <c r="D284" s="1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3:42" x14ac:dyDescent="0.3">
      <c r="C285" s="1"/>
      <c r="D285" s="1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3:42" x14ac:dyDescent="0.3">
      <c r="C286" s="1"/>
      <c r="D286" s="1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3:42" x14ac:dyDescent="0.3">
      <c r="C287" s="1"/>
      <c r="D287" s="1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3:42" x14ac:dyDescent="0.3">
      <c r="C288" s="1"/>
      <c r="D288" s="1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3:42" x14ac:dyDescent="0.3">
      <c r="C289" s="1"/>
      <c r="D289" s="1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3:42" x14ac:dyDescent="0.3">
      <c r="C290" s="1"/>
      <c r="D290" s="1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3:42" x14ac:dyDescent="0.3">
      <c r="C291" s="1"/>
      <c r="D291" s="1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3:42" x14ac:dyDescent="0.3">
      <c r="C292" s="1"/>
      <c r="D292" s="1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3:42" x14ac:dyDescent="0.3">
      <c r="C293" s="1"/>
      <c r="D293" s="1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3:42" x14ac:dyDescent="0.3">
      <c r="C294" s="1"/>
      <c r="D294" s="1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3:42" x14ac:dyDescent="0.3">
      <c r="C295" s="1"/>
      <c r="D295" s="1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3:42" x14ac:dyDescent="0.3">
      <c r="C296" s="1"/>
      <c r="D296" s="1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3:42" x14ac:dyDescent="0.3">
      <c r="C297" s="1"/>
      <c r="D297" s="1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3:42" x14ac:dyDescent="0.3">
      <c r="C298" s="1"/>
      <c r="D298" s="1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3:42" x14ac:dyDescent="0.3">
      <c r="C299" s="1"/>
      <c r="D299" s="1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3:42" x14ac:dyDescent="0.3">
      <c r="C300" s="1"/>
      <c r="D300" s="1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3:42" x14ac:dyDescent="0.3">
      <c r="C301" s="1"/>
      <c r="D301" s="1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3:42" x14ac:dyDescent="0.3">
      <c r="C302" s="1"/>
      <c r="D302" s="1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3:42" x14ac:dyDescent="0.3">
      <c r="C303" s="1"/>
      <c r="D303" s="1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3:42" x14ac:dyDescent="0.3">
      <c r="C304" s="1"/>
      <c r="D304" s="1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3:42" x14ac:dyDescent="0.3">
      <c r="C305" s="1"/>
      <c r="D305" s="1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3:42" x14ac:dyDescent="0.3">
      <c r="C306" s="1"/>
      <c r="D306" s="1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3:42" x14ac:dyDescent="0.3">
      <c r="C307" s="1"/>
      <c r="D307" s="1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3:42" x14ac:dyDescent="0.3">
      <c r="C308" s="1"/>
      <c r="D308" s="1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3:42" x14ac:dyDescent="0.3">
      <c r="C309" s="1"/>
      <c r="D309" s="1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3:42" x14ac:dyDescent="0.3">
      <c r="C310" s="1"/>
      <c r="D310" s="1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3:42" x14ac:dyDescent="0.3">
      <c r="C311" s="1"/>
      <c r="D311" s="1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3:42" x14ac:dyDescent="0.3">
      <c r="C312" s="1"/>
      <c r="D312" s="1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3:42" x14ac:dyDescent="0.3">
      <c r="C313" s="1"/>
      <c r="D313" s="1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3:42" x14ac:dyDescent="0.3">
      <c r="C314" s="1"/>
      <c r="D314" s="1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3:42" x14ac:dyDescent="0.3">
      <c r="C315" s="1"/>
      <c r="D315" s="1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3:42" x14ac:dyDescent="0.3">
      <c r="C316" s="1"/>
      <c r="D316" s="1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3:42" x14ac:dyDescent="0.3">
      <c r="C317" s="1"/>
      <c r="D317" s="1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3:42" x14ac:dyDescent="0.3">
      <c r="C318" s="1"/>
      <c r="D318" s="1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3:42" x14ac:dyDescent="0.3">
      <c r="C319" s="1"/>
      <c r="D319" s="1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3:42" x14ac:dyDescent="0.3">
      <c r="C320" s="1"/>
      <c r="D320" s="1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3:42" x14ac:dyDescent="0.3">
      <c r="C321" s="1"/>
      <c r="D321" s="1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3:42" x14ac:dyDescent="0.3">
      <c r="C322" s="1"/>
      <c r="D322" s="1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3:42" x14ac:dyDescent="0.3">
      <c r="C323" s="1"/>
      <c r="D323" s="1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3:42" x14ac:dyDescent="0.3">
      <c r="C324" s="1"/>
      <c r="D324" s="1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3:42" x14ac:dyDescent="0.3">
      <c r="C325" s="1"/>
      <c r="D325" s="1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3:42" x14ac:dyDescent="0.3">
      <c r="C326" s="1"/>
      <c r="D326" s="1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3:42" x14ac:dyDescent="0.3">
      <c r="C327" s="1"/>
      <c r="D327" s="1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3:42" x14ac:dyDescent="0.3">
      <c r="C328" s="1"/>
      <c r="D328" s="1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3:42" x14ac:dyDescent="0.3">
      <c r="C329" s="1"/>
      <c r="D329" s="1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3:42" x14ac:dyDescent="0.3">
      <c r="C330" s="1"/>
      <c r="D330" s="1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3:42" x14ac:dyDescent="0.3">
      <c r="C331" s="1"/>
      <c r="D331" s="1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3:42" x14ac:dyDescent="0.3">
      <c r="C332" s="1"/>
      <c r="D332" s="1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3:42" x14ac:dyDescent="0.3">
      <c r="C333" s="1"/>
      <c r="D333" s="1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3:42" x14ac:dyDescent="0.3">
      <c r="C334" s="1"/>
      <c r="D334" s="1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3:42" x14ac:dyDescent="0.3">
      <c r="C335" s="1"/>
      <c r="D335" s="1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3:42" x14ac:dyDescent="0.3">
      <c r="C336" s="1"/>
      <c r="D336" s="1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3:42" x14ac:dyDescent="0.3">
      <c r="C337" s="1"/>
      <c r="D337" s="1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3:42" x14ac:dyDescent="0.3">
      <c r="C338" s="1"/>
      <c r="D338" s="1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3:42" x14ac:dyDescent="0.3">
      <c r="C339" s="1"/>
      <c r="D339" s="1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3:42" x14ac:dyDescent="0.3">
      <c r="C340" s="1"/>
      <c r="D340" s="1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3:42" x14ac:dyDescent="0.3">
      <c r="C341" s="1"/>
      <c r="D341" s="1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3:42" x14ac:dyDescent="0.3">
      <c r="C342" s="1"/>
      <c r="D342" s="1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3:42" x14ac:dyDescent="0.3">
      <c r="C343" s="1"/>
      <c r="D343" s="1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3:42" x14ac:dyDescent="0.3">
      <c r="C344" s="1"/>
      <c r="D344" s="1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3:42" x14ac:dyDescent="0.3">
      <c r="C345" s="1"/>
      <c r="D345" s="1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3:42" x14ac:dyDescent="0.3">
      <c r="C346" s="1"/>
      <c r="D346" s="1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3:42" x14ac:dyDescent="0.3">
      <c r="C347" s="1"/>
      <c r="D347" s="1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3:42" x14ac:dyDescent="0.3">
      <c r="C348" s="1"/>
      <c r="D348" s="1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3:42" x14ac:dyDescent="0.3">
      <c r="C349" s="1"/>
      <c r="D349" s="1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3:42" x14ac:dyDescent="0.3">
      <c r="C350" s="1"/>
      <c r="D350" s="1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3:42" x14ac:dyDescent="0.3">
      <c r="C351" s="1"/>
      <c r="D351" s="1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3:42" x14ac:dyDescent="0.3">
      <c r="C352" s="1"/>
      <c r="D352" s="1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3:42" x14ac:dyDescent="0.3">
      <c r="C353" s="1"/>
      <c r="D353" s="1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3:42" x14ac:dyDescent="0.3">
      <c r="C354" s="1"/>
      <c r="D354" s="1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3:42" x14ac:dyDescent="0.3">
      <c r="C355" s="1"/>
      <c r="D355" s="1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3:42" x14ac:dyDescent="0.3">
      <c r="C356" s="1"/>
      <c r="D356" s="1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3:42" x14ac:dyDescent="0.3">
      <c r="C357" s="1"/>
      <c r="D357" s="1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3:42" x14ac:dyDescent="0.3">
      <c r="C358" s="1"/>
      <c r="D358" s="1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3:42" x14ac:dyDescent="0.3">
      <c r="C359" s="1"/>
      <c r="D359" s="1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3:42" x14ac:dyDescent="0.3">
      <c r="C360" s="1"/>
      <c r="D360" s="1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3:42" x14ac:dyDescent="0.3">
      <c r="C361" s="1"/>
      <c r="D361" s="1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3:42" x14ac:dyDescent="0.3">
      <c r="C362" s="1"/>
      <c r="D362" s="1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3:42" x14ac:dyDescent="0.3">
      <c r="C363" s="1"/>
      <c r="D363" s="1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3:42" x14ac:dyDescent="0.3">
      <c r="C364" s="1"/>
      <c r="D364" s="1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3:42" x14ac:dyDescent="0.3">
      <c r="C365" s="1"/>
      <c r="D365" s="1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3:42" x14ac:dyDescent="0.3">
      <c r="C366" s="1"/>
      <c r="D366" s="1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3:42" x14ac:dyDescent="0.3">
      <c r="C367" s="1"/>
      <c r="D367" s="1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3:42" x14ac:dyDescent="0.3">
      <c r="C368" s="1"/>
      <c r="D368" s="1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3:42" x14ac:dyDescent="0.3">
      <c r="C369" s="1"/>
      <c r="D369" s="1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3:42" x14ac:dyDescent="0.3">
      <c r="C370" s="1"/>
      <c r="D370" s="1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3:42" x14ac:dyDescent="0.3">
      <c r="C371" s="1"/>
      <c r="D371" s="1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3:42" x14ac:dyDescent="0.3">
      <c r="C372" s="1"/>
      <c r="D372" s="1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3:42" x14ac:dyDescent="0.3">
      <c r="C373" s="1"/>
      <c r="D373" s="1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3:42" x14ac:dyDescent="0.3">
      <c r="C374" s="1"/>
      <c r="D374" s="1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3:42" x14ac:dyDescent="0.3">
      <c r="C375" s="1"/>
      <c r="D375" s="1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3:42" x14ac:dyDescent="0.3">
      <c r="C376" s="1"/>
      <c r="D376" s="1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3:42" x14ac:dyDescent="0.3">
      <c r="C377" s="1"/>
      <c r="D377" s="1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3:42" x14ac:dyDescent="0.3">
      <c r="C378" s="1"/>
      <c r="D378" s="1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3:42" x14ac:dyDescent="0.3">
      <c r="C379" s="1"/>
      <c r="D379" s="1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3:42" x14ac:dyDescent="0.3">
      <c r="C380" s="1"/>
      <c r="D380" s="1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3:42" x14ac:dyDescent="0.3">
      <c r="C381" s="1"/>
      <c r="D381" s="1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3:42" x14ac:dyDescent="0.3">
      <c r="C382" s="1"/>
      <c r="D382" s="1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3:42" x14ac:dyDescent="0.3">
      <c r="C383" s="1"/>
      <c r="D383" s="1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3:42" x14ac:dyDescent="0.3">
      <c r="C384" s="1"/>
      <c r="D384" s="1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:42" x14ac:dyDescent="0.3">
      <c r="C385" s="1"/>
      <c r="D385" s="1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:42" x14ac:dyDescent="0.3">
      <c r="C386" s="1"/>
      <c r="D386" s="1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:42" x14ac:dyDescent="0.3">
      <c r="C387" s="1"/>
      <c r="D387" s="1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:42" x14ac:dyDescent="0.3">
      <c r="C388" s="1"/>
      <c r="D388" s="1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:42" x14ac:dyDescent="0.3">
      <c r="C389" s="1"/>
      <c r="D389" s="1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:42" x14ac:dyDescent="0.3">
      <c r="C390" s="1"/>
      <c r="D390" s="1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:42" x14ac:dyDescent="0.3">
      <c r="C391" s="1"/>
      <c r="D391" s="1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:42" x14ac:dyDescent="0.3">
      <c r="C392" s="1"/>
      <c r="D392" s="1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:42" x14ac:dyDescent="0.3">
      <c r="C393" s="1"/>
      <c r="D393" s="1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:42" x14ac:dyDescent="0.3">
      <c r="C394" s="1"/>
      <c r="D394" s="1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:42" x14ac:dyDescent="0.3">
      <c r="C395" s="1"/>
      <c r="D395" s="1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:42" x14ac:dyDescent="0.3">
      <c r="C396" s="1"/>
      <c r="D396" s="1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:42" x14ac:dyDescent="0.3">
      <c r="C397" s="1"/>
      <c r="D397" s="1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:42" x14ac:dyDescent="0.3">
      <c r="C398" s="1"/>
      <c r="D398" s="1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:42" x14ac:dyDescent="0.3">
      <c r="C399" s="1"/>
      <c r="D399" s="1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:42" x14ac:dyDescent="0.3">
      <c r="C400" s="1"/>
      <c r="D400" s="1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:42" x14ac:dyDescent="0.3">
      <c r="C401" s="1"/>
      <c r="D401" s="1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:42" x14ac:dyDescent="0.3">
      <c r="C402" s="1"/>
      <c r="D402" s="1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:42" x14ac:dyDescent="0.3">
      <c r="C403" s="1"/>
      <c r="D403" s="1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:42" x14ac:dyDescent="0.3">
      <c r="C404" s="1"/>
      <c r="D404" s="1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:42" x14ac:dyDescent="0.3">
      <c r="C405" s="1"/>
      <c r="D405" s="1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:42" x14ac:dyDescent="0.3">
      <c r="C406" s="1"/>
      <c r="D406" s="1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:42" x14ac:dyDescent="0.3">
      <c r="C407" s="1"/>
      <c r="D407" s="1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:42" x14ac:dyDescent="0.3">
      <c r="C408" s="1"/>
      <c r="D408" s="1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:42" x14ac:dyDescent="0.3">
      <c r="C409" s="1"/>
      <c r="D409" s="1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:42" x14ac:dyDescent="0.3">
      <c r="C410" s="1"/>
      <c r="D410" s="1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:42" x14ac:dyDescent="0.3">
      <c r="C411" s="1"/>
      <c r="D411" s="1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:42" x14ac:dyDescent="0.3">
      <c r="C412" s="1"/>
      <c r="D412" s="1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:42" x14ac:dyDescent="0.3">
      <c r="C413" s="1"/>
      <c r="D413" s="1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:42" x14ac:dyDescent="0.3">
      <c r="C414" s="1"/>
      <c r="D414" s="1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:42" x14ac:dyDescent="0.3">
      <c r="C415" s="1"/>
      <c r="D415" s="1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:42" x14ac:dyDescent="0.3">
      <c r="C416" s="1"/>
      <c r="D416" s="1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:42" x14ac:dyDescent="0.3">
      <c r="C417" s="1"/>
      <c r="D417" s="1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:42" x14ac:dyDescent="0.3">
      <c r="C418" s="1"/>
      <c r="D418" s="1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:42" x14ac:dyDescent="0.3">
      <c r="C419" s="1"/>
      <c r="D419" s="1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:42" x14ac:dyDescent="0.3">
      <c r="C420" s="1"/>
      <c r="D420" s="1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:42" x14ac:dyDescent="0.3">
      <c r="C421" s="1"/>
      <c r="D421" s="1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:42" x14ac:dyDescent="0.3">
      <c r="C422" s="1"/>
      <c r="D422" s="1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:42" x14ac:dyDescent="0.3">
      <c r="C423" s="1"/>
      <c r="D423" s="1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:42" x14ac:dyDescent="0.3">
      <c r="C424" s="1"/>
      <c r="D424" s="1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:42" x14ac:dyDescent="0.3">
      <c r="C425" s="1"/>
      <c r="D425" s="1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:42" x14ac:dyDescent="0.3">
      <c r="C426" s="1"/>
      <c r="D426" s="1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:42" x14ac:dyDescent="0.3">
      <c r="C427" s="1"/>
      <c r="D427" s="1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:42" x14ac:dyDescent="0.3">
      <c r="C428" s="1"/>
      <c r="D428" s="1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:42" x14ac:dyDescent="0.3">
      <c r="C429" s="1"/>
      <c r="D429" s="1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:42" x14ac:dyDescent="0.3">
      <c r="C430" s="1"/>
      <c r="D430" s="1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:42" x14ac:dyDescent="0.3">
      <c r="C431" s="1"/>
      <c r="D431" s="1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:42" x14ac:dyDescent="0.3">
      <c r="C432" s="1"/>
      <c r="D432" s="1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:42" x14ac:dyDescent="0.3">
      <c r="C433" s="1"/>
      <c r="D433" s="1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:42" x14ac:dyDescent="0.3">
      <c r="C434" s="1"/>
      <c r="D434" s="1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:42" x14ac:dyDescent="0.3">
      <c r="C435" s="1"/>
      <c r="D435" s="1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:42" x14ac:dyDescent="0.3">
      <c r="C436" s="1"/>
      <c r="D436" s="1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:42" x14ac:dyDescent="0.3">
      <c r="C437" s="1"/>
      <c r="D437" s="1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:42" x14ac:dyDescent="0.3">
      <c r="C438" s="1"/>
      <c r="D438" s="1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:42" x14ac:dyDescent="0.3">
      <c r="C439" s="1"/>
      <c r="D439" s="1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:42" x14ac:dyDescent="0.3">
      <c r="C440" s="1"/>
      <c r="D440" s="1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:42" x14ac:dyDescent="0.3">
      <c r="C441" s="1"/>
      <c r="D441" s="1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:42" x14ac:dyDescent="0.3">
      <c r="C442" s="1"/>
      <c r="D442" s="1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:42" x14ac:dyDescent="0.3">
      <c r="C443" s="1"/>
      <c r="D443" s="1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:42" x14ac:dyDescent="0.3">
      <c r="C444" s="1"/>
      <c r="D444" s="1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:42" x14ac:dyDescent="0.3">
      <c r="C445" s="1"/>
      <c r="D445" s="1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:42" x14ac:dyDescent="0.3">
      <c r="C446" s="1"/>
      <c r="D446" s="1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:42" x14ac:dyDescent="0.3">
      <c r="C447" s="1"/>
      <c r="D447" s="1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:42" x14ac:dyDescent="0.3">
      <c r="C448" s="1"/>
      <c r="D448" s="1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:42" x14ac:dyDescent="0.3">
      <c r="C449" s="1"/>
      <c r="D449" s="1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:42" x14ac:dyDescent="0.3">
      <c r="C450" s="1"/>
      <c r="D450" s="1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:42" x14ac:dyDescent="0.3">
      <c r="C451" s="1"/>
      <c r="D451" s="1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:42" x14ac:dyDescent="0.3">
      <c r="C452" s="1"/>
      <c r="D452" s="1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:42" x14ac:dyDescent="0.3">
      <c r="C453" s="1"/>
      <c r="D453" s="1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:42" x14ac:dyDescent="0.3">
      <c r="C454" s="1"/>
      <c r="D454" s="1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:42" x14ac:dyDescent="0.3">
      <c r="C455" s="1"/>
      <c r="D455" s="1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:42" x14ac:dyDescent="0.3">
      <c r="C456" s="1"/>
      <c r="D456" s="1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:42" x14ac:dyDescent="0.3">
      <c r="C457" s="1"/>
      <c r="D457" s="1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:42" x14ac:dyDescent="0.3">
      <c r="C458" s="1"/>
      <c r="D458" s="1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:42" x14ac:dyDescent="0.3">
      <c r="C459" s="1"/>
      <c r="D459" s="1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:42" x14ac:dyDescent="0.3">
      <c r="C460" s="1"/>
      <c r="D460" s="1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:42" x14ac:dyDescent="0.3">
      <c r="C461" s="1"/>
      <c r="D461" s="1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:42" x14ac:dyDescent="0.3">
      <c r="C462" s="1"/>
      <c r="D462" s="1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:42" x14ac:dyDescent="0.3">
      <c r="C463" s="1"/>
      <c r="D463" s="1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:42" x14ac:dyDescent="0.3">
      <c r="C464" s="1"/>
      <c r="D464" s="1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:42" x14ac:dyDescent="0.3">
      <c r="C465" s="1"/>
      <c r="D465" s="1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:42" x14ac:dyDescent="0.3">
      <c r="C466" s="1"/>
      <c r="D466" s="1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:42" x14ac:dyDescent="0.3">
      <c r="C467" s="1"/>
      <c r="D467" s="1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:42" x14ac:dyDescent="0.3">
      <c r="C468" s="1"/>
      <c r="D468" s="1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:42" x14ac:dyDescent="0.3">
      <c r="C469" s="1"/>
      <c r="D469" s="1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:42" x14ac:dyDescent="0.3">
      <c r="C470" s="1"/>
      <c r="D470" s="1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:42" x14ac:dyDescent="0.3">
      <c r="C471" s="1"/>
      <c r="D471" s="1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:42" x14ac:dyDescent="0.3">
      <c r="C472" s="1"/>
      <c r="D472" s="1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:42" x14ac:dyDescent="0.3">
      <c r="C473" s="1"/>
      <c r="D473" s="1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:42" x14ac:dyDescent="0.3">
      <c r="C474" s="1"/>
      <c r="D474" s="1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:42" x14ac:dyDescent="0.3">
      <c r="C475" s="1"/>
      <c r="D475" s="1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:42" x14ac:dyDescent="0.3">
      <c r="C476" s="1"/>
      <c r="D476" s="1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:42" x14ac:dyDescent="0.3">
      <c r="C477" s="1"/>
      <c r="D477" s="1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:42" x14ac:dyDescent="0.3">
      <c r="C478" s="1"/>
      <c r="D478" s="1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:42" x14ac:dyDescent="0.3">
      <c r="C479" s="1"/>
      <c r="D479" s="1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:42" x14ac:dyDescent="0.3">
      <c r="C480" s="1"/>
      <c r="D480" s="1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:42" x14ac:dyDescent="0.3">
      <c r="C481" s="1"/>
      <c r="D481" s="1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:42" x14ac:dyDescent="0.3">
      <c r="C482" s="1"/>
      <c r="D482" s="1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:42" x14ac:dyDescent="0.3">
      <c r="C483" s="1"/>
      <c r="D483" s="1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:42" x14ac:dyDescent="0.3">
      <c r="C484" s="1"/>
      <c r="D484" s="1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:42" x14ac:dyDescent="0.3">
      <c r="C485" s="1"/>
      <c r="D485" s="1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:42" x14ac:dyDescent="0.3">
      <c r="C486" s="1"/>
      <c r="D486" s="1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:42" x14ac:dyDescent="0.3">
      <c r="C487" s="1"/>
      <c r="D487" s="1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:42" x14ac:dyDescent="0.3">
      <c r="C488" s="1"/>
      <c r="D488" s="1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:42" x14ac:dyDescent="0.3">
      <c r="C489" s="1"/>
      <c r="D489" s="1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:42" x14ac:dyDescent="0.3">
      <c r="C490" s="1"/>
      <c r="D490" s="1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:42" x14ac:dyDescent="0.3">
      <c r="C491" s="1"/>
      <c r="D491" s="1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:42" x14ac:dyDescent="0.3">
      <c r="C492" s="1"/>
      <c r="D492" s="1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:42" x14ac:dyDescent="0.3">
      <c r="C493" s="1"/>
      <c r="D493" s="1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:42" x14ac:dyDescent="0.3">
      <c r="C494" s="1"/>
      <c r="D494" s="1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:42" x14ac:dyDescent="0.3">
      <c r="C495" s="1"/>
      <c r="D495" s="1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:42" x14ac:dyDescent="0.3">
      <c r="C496" s="1"/>
      <c r="D496" s="1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:42" x14ac:dyDescent="0.3">
      <c r="C497" s="1"/>
      <c r="D497" s="1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:42" x14ac:dyDescent="0.3">
      <c r="C498" s="1"/>
      <c r="D498" s="1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:42" x14ac:dyDescent="0.3">
      <c r="C499" s="1"/>
      <c r="D499" s="1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:42" x14ac:dyDescent="0.3">
      <c r="C500" s="1"/>
      <c r="D500" s="1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:42" x14ac:dyDescent="0.3">
      <c r="C501" s="1"/>
      <c r="D501" s="1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:42" x14ac:dyDescent="0.3">
      <c r="C502" s="1"/>
      <c r="D502" s="1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:42" x14ac:dyDescent="0.3">
      <c r="C503" s="1"/>
      <c r="D503" s="1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:42" x14ac:dyDescent="0.3">
      <c r="C504" s="1"/>
      <c r="D504" s="1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:42" x14ac:dyDescent="0.3">
      <c r="C505" s="1"/>
      <c r="D505" s="1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:42" x14ac:dyDescent="0.3">
      <c r="C506" s="1"/>
      <c r="D506" s="1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:42" x14ac:dyDescent="0.3">
      <c r="C507" s="1"/>
      <c r="D507" s="1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:42" x14ac:dyDescent="0.3">
      <c r="C508" s="1"/>
      <c r="D508" s="1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:42" x14ac:dyDescent="0.3">
      <c r="C509" s="1"/>
      <c r="D509" s="1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:42" x14ac:dyDescent="0.3">
      <c r="C510" s="1"/>
      <c r="D510" s="1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:42" x14ac:dyDescent="0.3">
      <c r="C511" s="1"/>
      <c r="D511" s="1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:42" x14ac:dyDescent="0.3">
      <c r="C512" s="1"/>
      <c r="D512" s="1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:42" x14ac:dyDescent="0.3">
      <c r="C513" s="1"/>
      <c r="D513" s="1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:42" x14ac:dyDescent="0.3">
      <c r="C514" s="1"/>
      <c r="D514" s="1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:42" x14ac:dyDescent="0.3">
      <c r="C515" s="1"/>
      <c r="D515" s="1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:42" x14ac:dyDescent="0.3">
      <c r="C516" s="1"/>
      <c r="D516" s="1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:42" x14ac:dyDescent="0.3">
      <c r="C517" s="1"/>
      <c r="D517" s="1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:42" x14ac:dyDescent="0.3">
      <c r="C518" s="1"/>
      <c r="D518" s="1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:42" x14ac:dyDescent="0.3">
      <c r="C519" s="1"/>
      <c r="D519" s="1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:42" x14ac:dyDescent="0.3">
      <c r="C520" s="1"/>
      <c r="D520" s="1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:42" x14ac:dyDescent="0.3">
      <c r="C521" s="1"/>
      <c r="D521" s="1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:42" x14ac:dyDescent="0.3">
      <c r="C522" s="1"/>
      <c r="D522" s="1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:42" x14ac:dyDescent="0.3">
      <c r="C523" s="1"/>
      <c r="D523" s="1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:42" x14ac:dyDescent="0.3">
      <c r="C524" s="1"/>
      <c r="D524" s="1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:42" x14ac:dyDescent="0.3">
      <c r="C525" s="1"/>
      <c r="D525" s="1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:42" x14ac:dyDescent="0.3">
      <c r="C526" s="1"/>
      <c r="D526" s="1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:42" x14ac:dyDescent="0.3">
      <c r="C527" s="1"/>
      <c r="D527" s="1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:42" x14ac:dyDescent="0.3">
      <c r="C528" s="1"/>
      <c r="D528" s="1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:42" x14ac:dyDescent="0.3">
      <c r="C529" s="1"/>
      <c r="D529" s="1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:42" x14ac:dyDescent="0.3">
      <c r="C530" s="1"/>
      <c r="D530" s="1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:42" x14ac:dyDescent="0.3">
      <c r="C531" s="1"/>
      <c r="D531" s="1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:42" x14ac:dyDescent="0.3">
      <c r="C532" s="1"/>
      <c r="D532" s="1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:42" x14ac:dyDescent="0.3">
      <c r="C533" s="1"/>
      <c r="D533" s="1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:42" x14ac:dyDescent="0.3">
      <c r="C534" s="1"/>
      <c r="D534" s="1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:42" x14ac:dyDescent="0.3">
      <c r="C535" s="1"/>
      <c r="D535" s="1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:42" x14ac:dyDescent="0.3">
      <c r="C536" s="1"/>
      <c r="D536" s="1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:42" x14ac:dyDescent="0.3">
      <c r="C537" s="1"/>
      <c r="D537" s="1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:42" x14ac:dyDescent="0.3">
      <c r="C538" s="1"/>
      <c r="D538" s="1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:42" x14ac:dyDescent="0.3">
      <c r="C539" s="1"/>
      <c r="D539" s="1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:42" x14ac:dyDescent="0.3">
      <c r="C540" s="1"/>
      <c r="D540" s="1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:42" x14ac:dyDescent="0.3">
      <c r="C541" s="1"/>
      <c r="D541" s="1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:42" x14ac:dyDescent="0.3">
      <c r="C542" s="1"/>
      <c r="D542" s="1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:42" x14ac:dyDescent="0.3">
      <c r="C543" s="1"/>
      <c r="D543" s="1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:42" x14ac:dyDescent="0.3">
      <c r="C544" s="1"/>
      <c r="D544" s="1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:42" x14ac:dyDescent="0.3">
      <c r="C545" s="1"/>
      <c r="D545" s="1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:42" x14ac:dyDescent="0.3">
      <c r="C546" s="1"/>
      <c r="D546" s="1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:42" x14ac:dyDescent="0.3">
      <c r="C547" s="1"/>
      <c r="D547" s="1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:42" x14ac:dyDescent="0.3">
      <c r="C548" s="1"/>
      <c r="D548" s="1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:42" x14ac:dyDescent="0.3">
      <c r="C549" s="1"/>
      <c r="D549" s="1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:42" x14ac:dyDescent="0.3">
      <c r="C550" s="1"/>
      <c r="D550" s="1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:42" x14ac:dyDescent="0.3">
      <c r="C551" s="1"/>
      <c r="D551" s="1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:42" x14ac:dyDescent="0.3">
      <c r="C552" s="1"/>
      <c r="D552" s="1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:42" x14ac:dyDescent="0.3">
      <c r="C553" s="1"/>
      <c r="D553" s="1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1"/>
    </row>
    <row r="554" spans="3:42" x14ac:dyDescent="0.3">
      <c r="C554" s="1"/>
      <c r="D554" s="1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3:42" x14ac:dyDescent="0.3">
      <c r="C555" s="1"/>
      <c r="D555" s="1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3:42" x14ac:dyDescent="0.3">
      <c r="C556" s="1"/>
      <c r="D556" s="1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3:42" x14ac:dyDescent="0.3">
      <c r="C557" s="1"/>
      <c r="D557" s="1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3:42" x14ac:dyDescent="0.3">
      <c r="C558" s="1"/>
      <c r="D558" s="1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3:42" x14ac:dyDescent="0.3">
      <c r="C559" s="1"/>
      <c r="D559" s="1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3:42" x14ac:dyDescent="0.3">
      <c r="C560" s="1"/>
      <c r="D560" s="1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3:15" x14ac:dyDescent="0.3">
      <c r="C561" s="1"/>
      <c r="D561" s="1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3:15" x14ac:dyDescent="0.3">
      <c r="C562" s="1"/>
      <c r="D562" s="1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3:15" x14ac:dyDescent="0.3">
      <c r="C563" s="1"/>
      <c r="D563" s="1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3:15" x14ac:dyDescent="0.3">
      <c r="C564" s="1"/>
      <c r="D564" s="1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3:15" x14ac:dyDescent="0.3">
      <c r="C565" s="1"/>
      <c r="D565" s="1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3:15" x14ac:dyDescent="0.3">
      <c r="C566" s="1"/>
      <c r="D566" s="1"/>
      <c r="E566" s="55"/>
      <c r="F566" s="55"/>
      <c r="G566" s="55"/>
      <c r="H566" s="55"/>
      <c r="I566" s="55"/>
      <c r="J566" s="55"/>
      <c r="K566" s="55"/>
      <c r="L566" s="55"/>
      <c r="M566" s="55"/>
      <c r="N566" s="49"/>
      <c r="O566" s="50"/>
    </row>
    <row r="567" spans="3:15" x14ac:dyDescent="0.3">
      <c r="C567" s="1"/>
      <c r="D567" s="1"/>
      <c r="E567" s="55"/>
      <c r="F567" s="55"/>
      <c r="G567" s="55"/>
      <c r="H567" s="55"/>
      <c r="I567" s="55"/>
      <c r="J567" s="55"/>
      <c r="K567" s="55"/>
      <c r="L567" s="55"/>
      <c r="M567" s="55"/>
      <c r="N567" s="49"/>
      <c r="O567" s="50"/>
    </row>
    <row r="568" spans="3:15" x14ac:dyDescent="0.3">
      <c r="C568" s="1"/>
      <c r="D568" s="1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5" x14ac:dyDescent="0.3">
      <c r="C569" s="1"/>
      <c r="D569" s="1"/>
      <c r="E569" s="55"/>
      <c r="F569" s="55"/>
      <c r="G569" s="55"/>
      <c r="H569" s="55"/>
      <c r="I569" s="55"/>
      <c r="J569" s="55"/>
      <c r="K569" s="55"/>
      <c r="L569" s="55"/>
      <c r="M569" s="49"/>
    </row>
    <row r="570" spans="3:15" x14ac:dyDescent="0.3">
      <c r="C570" s="1"/>
      <c r="D570" s="1"/>
      <c r="E570" s="55"/>
      <c r="F570" s="55"/>
      <c r="G570" s="55"/>
      <c r="H570" s="55"/>
      <c r="I570" s="55"/>
      <c r="J570" s="55"/>
      <c r="K570" s="55"/>
      <c r="L570" s="55"/>
      <c r="M570" s="49"/>
    </row>
    <row r="571" spans="3:15" x14ac:dyDescent="0.3">
      <c r="C571" s="1"/>
      <c r="D571" s="1"/>
      <c r="E571" s="55"/>
      <c r="F571" s="55"/>
      <c r="G571" s="55"/>
      <c r="H571" s="55"/>
      <c r="I571" s="55"/>
      <c r="J571" s="55"/>
      <c r="K571" s="55"/>
      <c r="L571" s="55"/>
    </row>
    <row r="572" spans="3:15" x14ac:dyDescent="0.3">
      <c r="C572" s="1"/>
      <c r="D572" s="1"/>
      <c r="E572" s="55"/>
      <c r="F572" s="55"/>
      <c r="G572" s="55"/>
      <c r="H572" s="55"/>
      <c r="I572" s="55"/>
      <c r="J572" s="55"/>
      <c r="K572" s="55"/>
      <c r="L572" s="55"/>
    </row>
    <row r="573" spans="3:15" x14ac:dyDescent="0.3">
      <c r="C573" s="1"/>
      <c r="D573" s="1"/>
      <c r="E573" s="55"/>
      <c r="F573" s="55"/>
      <c r="G573" s="55"/>
      <c r="H573" s="55"/>
      <c r="I573" s="55"/>
      <c r="J573" s="55"/>
      <c r="K573" s="49"/>
      <c r="L573" s="49"/>
    </row>
    <row r="574" spans="3:15" x14ac:dyDescent="0.3">
      <c r="C574" s="1"/>
      <c r="D574" s="1"/>
      <c r="E574" s="55"/>
      <c r="F574" s="55"/>
      <c r="G574" s="55"/>
      <c r="H574" s="55"/>
      <c r="I574" s="55"/>
      <c r="J574" s="55"/>
      <c r="K574" s="49"/>
      <c r="L574" s="49"/>
    </row>
    <row r="575" spans="3:15" x14ac:dyDescent="0.3">
      <c r="C575" s="1"/>
      <c r="D575" s="1"/>
      <c r="E575" s="55"/>
      <c r="F575" s="55"/>
      <c r="G575" s="55"/>
      <c r="H575" s="55"/>
      <c r="I575" s="55"/>
      <c r="J575" s="55"/>
    </row>
    <row r="576" spans="3:15" x14ac:dyDescent="0.3">
      <c r="C576" s="1"/>
      <c r="D576" s="1"/>
      <c r="E576" s="48"/>
      <c r="F576" s="49"/>
      <c r="G576" s="49"/>
      <c r="H576" s="49"/>
      <c r="I576" s="49"/>
      <c r="J576" s="49"/>
    </row>
    <row r="577" spans="3:10" x14ac:dyDescent="0.3">
      <c r="C577" s="1"/>
      <c r="D577" s="1"/>
      <c r="E577" s="48"/>
      <c r="F577" s="49"/>
      <c r="G577" s="49"/>
      <c r="H577" s="49"/>
      <c r="I577" s="49"/>
      <c r="J577" s="49"/>
    </row>
    <row r="578" spans="3:10" x14ac:dyDescent="0.3">
      <c r="C578" s="1"/>
    </row>
    <row r="579" spans="3:10" x14ac:dyDescent="0.3">
      <c r="C579" s="1"/>
    </row>
    <row r="580" spans="3:10" x14ac:dyDescent="0.3">
      <c r="C580" s="1"/>
    </row>
    <row r="581" spans="3:10" x14ac:dyDescent="0.3">
      <c r="C581" s="1"/>
    </row>
  </sheetData>
  <mergeCells count="1">
    <mergeCell ref="E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07-1688-4191-862B-2029FAF60542}">
  <dimension ref="A1:T97"/>
  <sheetViews>
    <sheetView zoomScaleNormal="100" workbookViewId="0">
      <pane xSplit="3" ySplit="3" topLeftCell="D82" activePane="bottomRight" state="frozen"/>
      <selection pane="topRight" activeCell="D1" sqref="D1"/>
      <selection pane="bottomLeft" activeCell="A4" sqref="A4"/>
      <selection pane="bottomRight" activeCell="E97" sqref="E97:I97"/>
    </sheetView>
  </sheetViews>
  <sheetFormatPr defaultRowHeight="14.4" x14ac:dyDescent="0.3"/>
  <cols>
    <col min="1" max="1" width="2.33203125" style="1" customWidth="1"/>
    <col min="2" max="2" width="64.109375" customWidth="1"/>
    <col min="3" max="3" width="61.109375" hidden="1" customWidth="1"/>
    <col min="4" max="4" width="5" customWidth="1"/>
    <col min="5" max="6" width="14.5546875" bestFit="1" customWidth="1"/>
    <col min="7" max="7" width="16.33203125" customWidth="1"/>
    <col min="8" max="9" width="14.5546875" bestFit="1" customWidth="1"/>
    <col min="10" max="11" width="11.5546875" bestFit="1" customWidth="1"/>
    <col min="13" max="13" width="11.5546875" bestFit="1" customWidth="1"/>
    <col min="15" max="15" width="11.5546875" bestFit="1" customWidth="1"/>
    <col min="17" max="17" width="11.5546875" bestFit="1" customWidth="1"/>
  </cols>
  <sheetData>
    <row r="1" spans="1:20" ht="27" customHeight="1" x14ac:dyDescent="0.6">
      <c r="A1" s="62"/>
      <c r="B1" s="250" t="s">
        <v>333</v>
      </c>
      <c r="C1" s="127"/>
      <c r="D1" s="127"/>
      <c r="E1" s="127"/>
      <c r="F1" s="127"/>
      <c r="G1" s="127"/>
      <c r="H1" s="127"/>
      <c r="I1" s="64"/>
      <c r="J1" s="55"/>
      <c r="K1" s="55"/>
      <c r="L1" s="55"/>
      <c r="M1" s="55"/>
      <c r="N1" s="55"/>
      <c r="O1" s="55"/>
      <c r="P1" s="55"/>
      <c r="Q1" s="55"/>
      <c r="R1" s="55"/>
    </row>
    <row r="2" spans="1:20" ht="15" customHeight="1" x14ac:dyDescent="0.4">
      <c r="A2" s="62"/>
      <c r="B2" s="251"/>
      <c r="C2" s="251"/>
      <c r="D2" s="251"/>
      <c r="E2" s="251"/>
      <c r="F2" s="251"/>
      <c r="G2" s="252" t="s">
        <v>163</v>
      </c>
      <c r="H2" s="251"/>
      <c r="I2" s="253"/>
      <c r="J2" s="55"/>
      <c r="K2" s="55"/>
      <c r="L2" s="55"/>
      <c r="M2" s="55"/>
      <c r="N2" s="55"/>
      <c r="O2" s="55"/>
      <c r="P2" s="55"/>
      <c r="Q2" s="55"/>
      <c r="R2" s="55"/>
    </row>
    <row r="3" spans="1:20" ht="18" customHeight="1" thickBot="1" x14ac:dyDescent="0.45">
      <c r="A3" s="66"/>
      <c r="B3" s="65"/>
      <c r="C3" s="65"/>
      <c r="D3" s="131" t="s">
        <v>1</v>
      </c>
      <c r="E3" s="133">
        <v>42369</v>
      </c>
      <c r="F3" s="133">
        <v>42735</v>
      </c>
      <c r="G3" s="133">
        <v>43100</v>
      </c>
      <c r="H3" s="133">
        <v>43465</v>
      </c>
      <c r="I3" s="133">
        <v>43830</v>
      </c>
      <c r="J3" s="55"/>
      <c r="K3" s="55"/>
      <c r="L3" s="55"/>
      <c r="M3" s="55"/>
      <c r="N3" s="55"/>
      <c r="O3" s="55"/>
      <c r="P3" s="55"/>
      <c r="Q3" s="55"/>
      <c r="R3" s="55"/>
    </row>
    <row r="4" spans="1:20" ht="10.5" customHeight="1" thickBot="1" x14ac:dyDescent="0.35">
      <c r="B4" s="1"/>
      <c r="C4" s="1"/>
      <c r="D4" s="1"/>
      <c r="E4" s="1"/>
      <c r="F4" s="49"/>
      <c r="G4" s="49"/>
      <c r="H4" s="49"/>
      <c r="I4" s="49"/>
      <c r="J4" s="55"/>
      <c r="K4" s="55"/>
      <c r="L4" s="55"/>
      <c r="M4" s="55"/>
      <c r="N4" s="55"/>
      <c r="O4" s="55"/>
      <c r="P4" s="55"/>
      <c r="Q4" s="55"/>
      <c r="R4" s="55"/>
      <c r="T4" s="68" t="s">
        <v>164</v>
      </c>
    </row>
    <row r="5" spans="1:20" ht="16.8" x14ac:dyDescent="0.4">
      <c r="B5" s="8" t="s">
        <v>165</v>
      </c>
      <c r="C5" s="5" t="s">
        <v>166</v>
      </c>
      <c r="D5" s="5"/>
      <c r="E5" s="226"/>
      <c r="F5" s="191"/>
      <c r="G5" s="191"/>
      <c r="H5" s="191"/>
      <c r="I5" s="191"/>
      <c r="J5" s="55"/>
      <c r="K5" s="55"/>
      <c r="L5" s="55"/>
      <c r="M5" s="55"/>
      <c r="N5" s="55"/>
      <c r="O5" s="55"/>
      <c r="P5" s="55"/>
      <c r="Q5" s="55"/>
      <c r="R5" s="55"/>
      <c r="T5" s="69"/>
    </row>
    <row r="6" spans="1:20" ht="16.8" x14ac:dyDescent="0.4">
      <c r="B6" s="5" t="s">
        <v>167</v>
      </c>
      <c r="C6" s="5" t="s">
        <v>168</v>
      </c>
      <c r="D6" s="5"/>
      <c r="E6" s="226">
        <v>3947</v>
      </c>
      <c r="F6" s="191">
        <v>3734</v>
      </c>
      <c r="G6" s="191">
        <v>4633</v>
      </c>
      <c r="H6" s="191">
        <v>5268</v>
      </c>
      <c r="I6" s="191">
        <v>6046</v>
      </c>
      <c r="J6" s="55"/>
      <c r="K6" s="55"/>
      <c r="L6" s="55"/>
      <c r="M6" s="55"/>
      <c r="N6" s="55"/>
      <c r="O6" s="55"/>
      <c r="P6" s="55"/>
      <c r="Q6" s="55"/>
      <c r="R6" s="55"/>
      <c r="T6" s="71">
        <f>(SUM(I6,-H6))/H6</f>
        <v>0.14768413059984814</v>
      </c>
    </row>
    <row r="7" spans="1:20" ht="16.8" x14ac:dyDescent="0.4">
      <c r="B7" s="5" t="s">
        <v>169</v>
      </c>
      <c r="C7" s="5" t="s">
        <v>170</v>
      </c>
      <c r="D7" s="5"/>
      <c r="E7" s="226">
        <v>785</v>
      </c>
      <c r="F7" s="191">
        <v>847</v>
      </c>
      <c r="G7" s="191">
        <v>957</v>
      </c>
      <c r="H7" s="191">
        <v>1003</v>
      </c>
      <c r="I7" s="191">
        <v>1076</v>
      </c>
      <c r="J7" s="55"/>
      <c r="K7" s="55"/>
      <c r="L7" s="55"/>
      <c r="M7" s="55"/>
      <c r="N7" s="55"/>
      <c r="O7" s="55"/>
      <c r="P7" s="55"/>
      <c r="Q7" s="55"/>
      <c r="R7" s="55"/>
      <c r="T7" s="71">
        <f>(SUM(I7,-H7))/H7</f>
        <v>7.278165503489531E-2</v>
      </c>
    </row>
    <row r="8" spans="1:20" ht="16.8" x14ac:dyDescent="0.4">
      <c r="B8" s="122" t="s">
        <v>372</v>
      </c>
      <c r="C8" s="136" t="s">
        <v>172</v>
      </c>
      <c r="D8" s="136"/>
      <c r="E8" s="227">
        <f>SUM(E6:E7)</f>
        <v>4732</v>
      </c>
      <c r="F8" s="228">
        <f>SUM(F6:F7)</f>
        <v>4581</v>
      </c>
      <c r="G8" s="228">
        <f>SUM(G6:G7)</f>
        <v>5590</v>
      </c>
      <c r="H8" s="228">
        <f>SUM(H6:H7)</f>
        <v>6271</v>
      </c>
      <c r="I8" s="228">
        <f>SUM(I6:I7)</f>
        <v>7122</v>
      </c>
      <c r="J8" s="55"/>
      <c r="K8" s="55"/>
      <c r="L8" s="55"/>
      <c r="M8" s="55"/>
      <c r="N8" s="55"/>
      <c r="O8" s="55"/>
      <c r="P8" s="55"/>
      <c r="Q8" s="55"/>
      <c r="R8" s="55"/>
      <c r="T8" s="71">
        <f>(SUM(I8,-H8))/H8</f>
        <v>0.13570403444426726</v>
      </c>
    </row>
    <row r="9" spans="1:20" ht="16.8" x14ac:dyDescent="0.4">
      <c r="B9" s="5" t="s">
        <v>173</v>
      </c>
      <c r="C9" s="5" t="s">
        <v>174</v>
      </c>
      <c r="D9" s="5"/>
      <c r="E9" s="226">
        <v>189</v>
      </c>
      <c r="F9" s="191">
        <v>279</v>
      </c>
      <c r="G9" s="191">
        <v>206</v>
      </c>
      <c r="H9" s="191">
        <v>223</v>
      </c>
      <c r="I9" s="191">
        <v>202</v>
      </c>
      <c r="J9" s="55"/>
      <c r="K9" s="55"/>
      <c r="L9" s="55"/>
      <c r="M9" s="55"/>
      <c r="N9" s="55"/>
      <c r="O9" s="55"/>
      <c r="P9" s="55"/>
      <c r="Q9" s="55"/>
      <c r="R9" s="55"/>
      <c r="T9" s="71">
        <f>(SUM(I9,-H9))/H9</f>
        <v>-9.417040358744394E-2</v>
      </c>
    </row>
    <row r="10" spans="1:20" ht="18.600000000000001" x14ac:dyDescent="0.55000000000000004">
      <c r="B10" s="121" t="s">
        <v>110</v>
      </c>
      <c r="C10" s="64" t="s">
        <v>175</v>
      </c>
      <c r="D10" s="64"/>
      <c r="E10" s="246">
        <f>SUM(E8:E9)</f>
        <v>4921</v>
      </c>
      <c r="F10" s="247">
        <f>SUM(F8:F9)</f>
        <v>4860</v>
      </c>
      <c r="G10" s="247">
        <f>SUM(G8:G9)</f>
        <v>5796</v>
      </c>
      <c r="H10" s="247">
        <f>SUM(H8:H9)</f>
        <v>6494</v>
      </c>
      <c r="I10" s="247">
        <f>SUM(I8:I9)</f>
        <v>7324</v>
      </c>
      <c r="J10" s="55"/>
      <c r="K10" s="55"/>
      <c r="L10" s="55"/>
      <c r="M10" s="55"/>
      <c r="N10" s="55"/>
      <c r="O10" s="55"/>
      <c r="P10" s="55"/>
      <c r="Q10" s="55"/>
      <c r="R10" s="55"/>
      <c r="T10" s="71">
        <f>(SUM(I10,-H10))/H10</f>
        <v>0.12781028641823222</v>
      </c>
    </row>
    <row r="11" spans="1:20" ht="16.8" x14ac:dyDescent="0.4">
      <c r="B11" s="8"/>
      <c r="C11" s="5"/>
      <c r="D11" s="5"/>
      <c r="E11" s="226"/>
      <c r="F11" s="191"/>
      <c r="G11" s="191"/>
      <c r="H11" s="189"/>
      <c r="I11" s="189"/>
      <c r="J11" s="55"/>
      <c r="K11" s="55"/>
      <c r="L11" s="55"/>
      <c r="M11" s="55"/>
      <c r="N11" s="55"/>
      <c r="O11" s="55"/>
      <c r="P11" s="55"/>
      <c r="Q11" s="55"/>
      <c r="R11" s="55"/>
      <c r="T11" s="71"/>
    </row>
    <row r="12" spans="1:20" ht="16.8" x14ac:dyDescent="0.4">
      <c r="B12" s="8" t="s">
        <v>334</v>
      </c>
      <c r="C12" s="5" t="s">
        <v>176</v>
      </c>
      <c r="D12" s="5"/>
      <c r="E12" s="226"/>
      <c r="F12" s="191"/>
      <c r="G12" s="191"/>
      <c r="H12" s="191"/>
      <c r="I12" s="191"/>
      <c r="J12" s="55"/>
      <c r="K12" s="55"/>
      <c r="L12" s="55"/>
      <c r="M12" s="55"/>
      <c r="N12" s="55"/>
      <c r="O12" s="55"/>
      <c r="P12" s="55"/>
      <c r="Q12" s="55"/>
      <c r="R12" s="55"/>
      <c r="T12" s="71"/>
    </row>
    <row r="13" spans="1:20" ht="16.8" x14ac:dyDescent="0.4">
      <c r="B13" s="5" t="s">
        <v>177</v>
      </c>
      <c r="C13" s="5" t="s">
        <v>178</v>
      </c>
      <c r="D13" s="5"/>
      <c r="E13" s="226">
        <v>2286</v>
      </c>
      <c r="F13" s="191">
        <v>2101</v>
      </c>
      <c r="G13" s="191">
        <v>2831</v>
      </c>
      <c r="H13" s="191">
        <v>3346</v>
      </c>
      <c r="I13" s="191">
        <v>4004</v>
      </c>
      <c r="J13" s="55"/>
      <c r="K13" s="55"/>
      <c r="L13" s="55"/>
      <c r="M13" s="55"/>
      <c r="N13" s="55"/>
      <c r="O13" s="55"/>
      <c r="P13" s="55"/>
      <c r="Q13" s="55"/>
      <c r="R13" s="55"/>
      <c r="T13" s="71">
        <f>(SUM(I13,-H13))/H13</f>
        <v>0.19665271966527198</v>
      </c>
    </row>
    <row r="14" spans="1:20" ht="16.8" x14ac:dyDescent="0.4">
      <c r="B14" s="5" t="s">
        <v>179</v>
      </c>
      <c r="C14" s="5" t="s">
        <v>180</v>
      </c>
      <c r="D14" s="5"/>
      <c r="E14" s="226">
        <v>706</v>
      </c>
      <c r="F14" s="191">
        <v>758</v>
      </c>
      <c r="G14" s="191">
        <v>850</v>
      </c>
      <c r="H14" s="191">
        <v>986</v>
      </c>
      <c r="I14" s="191">
        <v>1152</v>
      </c>
      <c r="J14" s="55"/>
      <c r="K14" s="55"/>
      <c r="L14" s="55"/>
      <c r="M14" s="55"/>
      <c r="N14" s="55"/>
      <c r="O14" s="55"/>
      <c r="P14" s="55"/>
      <c r="Q14" s="55"/>
      <c r="R14" s="55"/>
      <c r="T14" s="71">
        <f>(SUM(I14,-H14))/H14</f>
        <v>0.16835699797160245</v>
      </c>
    </row>
    <row r="15" spans="1:20" ht="16.8" x14ac:dyDescent="0.4">
      <c r="B15" s="14" t="s">
        <v>181</v>
      </c>
      <c r="C15" s="5" t="s">
        <v>182</v>
      </c>
      <c r="D15" s="5"/>
      <c r="E15" s="231">
        <f>SUM(E13:E14)</f>
        <v>2992</v>
      </c>
      <c r="F15" s="201">
        <f>SUM(F13:F14)</f>
        <v>2859</v>
      </c>
      <c r="G15" s="201">
        <f>SUM(G13:G14)</f>
        <v>3681</v>
      </c>
      <c r="H15" s="201">
        <f>SUM(H13:H14)</f>
        <v>4332</v>
      </c>
      <c r="I15" s="201">
        <f>SUM(I13:I14)</f>
        <v>5156</v>
      </c>
      <c r="J15" s="55"/>
      <c r="K15" s="55"/>
      <c r="L15" s="55"/>
      <c r="M15" s="55"/>
      <c r="N15" s="55"/>
      <c r="O15" s="55"/>
      <c r="P15" s="55"/>
      <c r="Q15" s="55"/>
      <c r="R15" s="55"/>
      <c r="T15" s="71">
        <f>(SUM(I15,-H15))/H15</f>
        <v>0.19021237303785779</v>
      </c>
    </row>
    <row r="16" spans="1:20" ht="16.8" x14ac:dyDescent="0.4">
      <c r="B16" s="5" t="s">
        <v>183</v>
      </c>
      <c r="C16" s="5" t="s">
        <v>184</v>
      </c>
      <c r="D16" s="5"/>
      <c r="E16" s="226">
        <v>252</v>
      </c>
      <c r="F16" s="191">
        <v>243</v>
      </c>
      <c r="G16" s="191">
        <v>281</v>
      </c>
      <c r="H16" s="191">
        <v>266</v>
      </c>
      <c r="I16" s="191">
        <v>234</v>
      </c>
      <c r="J16" s="55"/>
      <c r="K16" s="55"/>
      <c r="L16" s="55"/>
      <c r="M16" s="55"/>
      <c r="N16" s="55"/>
      <c r="O16" s="55"/>
      <c r="P16" s="55"/>
      <c r="Q16" s="55"/>
      <c r="R16" s="55"/>
      <c r="T16" s="71">
        <f>(SUM(I16,-H16))/H16</f>
        <v>-0.12030075187969924</v>
      </c>
    </row>
    <row r="17" spans="2:20" ht="16.8" x14ac:dyDescent="0.4">
      <c r="B17" s="121" t="s">
        <v>110</v>
      </c>
      <c r="C17" s="64" t="s">
        <v>185</v>
      </c>
      <c r="D17" s="64"/>
      <c r="E17" s="229">
        <f>SUM(E15:E16)</f>
        <v>3244</v>
      </c>
      <c r="F17" s="230">
        <f>SUM(F15:F16)</f>
        <v>3102</v>
      </c>
      <c r="G17" s="230">
        <f>SUM(G15:G16)</f>
        <v>3962</v>
      </c>
      <c r="H17" s="230">
        <f>SUM(H15:H16)</f>
        <v>4598</v>
      </c>
      <c r="I17" s="230">
        <f>SUM(I15:I16)</f>
        <v>5390</v>
      </c>
      <c r="J17" s="55"/>
      <c r="K17" s="55"/>
      <c r="L17" s="55"/>
      <c r="M17" s="55"/>
      <c r="N17" s="55"/>
      <c r="O17" s="55"/>
      <c r="P17" s="55"/>
      <c r="Q17" s="55"/>
      <c r="R17" s="55"/>
      <c r="T17" s="71">
        <f>(SUM(I17,-H17))/H17</f>
        <v>0.17224880382775121</v>
      </c>
    </row>
    <row r="18" spans="2:20" ht="16.8" x14ac:dyDescent="0.4">
      <c r="B18" s="8"/>
      <c r="C18" s="5"/>
      <c r="D18" s="5"/>
      <c r="E18" s="232"/>
      <c r="F18" s="233"/>
      <c r="G18" s="233"/>
      <c r="H18" s="233"/>
      <c r="I18" s="233"/>
      <c r="J18" s="55"/>
      <c r="K18" s="55"/>
      <c r="L18" s="55"/>
      <c r="M18" s="55"/>
      <c r="N18" s="55"/>
      <c r="O18" s="55"/>
      <c r="P18" s="55"/>
      <c r="Q18" s="55"/>
      <c r="R18" s="55"/>
      <c r="T18" s="71"/>
    </row>
    <row r="19" spans="2:20" ht="16.8" x14ac:dyDescent="0.4">
      <c r="B19" s="8" t="s">
        <v>335</v>
      </c>
      <c r="C19" s="5" t="s">
        <v>186</v>
      </c>
      <c r="D19" s="5"/>
      <c r="E19" s="226"/>
      <c r="F19" s="191"/>
      <c r="G19" s="191"/>
      <c r="H19" s="191"/>
      <c r="I19" s="191"/>
      <c r="J19" s="55"/>
      <c r="K19" s="55"/>
      <c r="L19" s="55"/>
      <c r="M19" s="55"/>
      <c r="N19" s="55"/>
      <c r="O19" s="55"/>
      <c r="P19" s="55"/>
      <c r="Q19" s="55"/>
      <c r="R19" s="55"/>
      <c r="T19" s="71">
        <f t="shared" ref="T19:T25" si="0">(SUM(I20,-H20))/H20</f>
        <v>6.6801619433198386E-2</v>
      </c>
    </row>
    <row r="20" spans="2:20" ht="16.8" x14ac:dyDescent="0.4">
      <c r="B20" s="5" t="s">
        <v>187</v>
      </c>
      <c r="C20" s="5" t="s">
        <v>188</v>
      </c>
      <c r="D20" s="5"/>
      <c r="E20" s="226">
        <v>441</v>
      </c>
      <c r="F20" s="191">
        <v>433</v>
      </c>
      <c r="G20" s="191">
        <v>471</v>
      </c>
      <c r="H20" s="191">
        <v>494</v>
      </c>
      <c r="I20" s="191">
        <v>527</v>
      </c>
      <c r="J20" s="55"/>
      <c r="K20" s="55"/>
      <c r="L20" s="55"/>
      <c r="M20" s="55"/>
      <c r="N20" s="55"/>
      <c r="O20" s="55"/>
      <c r="P20" s="55"/>
      <c r="Q20" s="55"/>
      <c r="R20" s="55"/>
      <c r="T20" s="71">
        <f t="shared" si="0"/>
        <v>3.4682080924855488E-2</v>
      </c>
    </row>
    <row r="21" spans="2:20" ht="16.8" x14ac:dyDescent="0.4">
      <c r="B21" s="5" t="s">
        <v>189</v>
      </c>
      <c r="C21" s="5" t="s">
        <v>190</v>
      </c>
      <c r="D21" s="5"/>
      <c r="E21" s="226">
        <v>163</v>
      </c>
      <c r="F21" s="191">
        <v>146</v>
      </c>
      <c r="G21" s="191">
        <v>160</v>
      </c>
      <c r="H21" s="191">
        <v>173</v>
      </c>
      <c r="I21" s="191">
        <v>179</v>
      </c>
      <c r="J21" s="55"/>
      <c r="K21" s="55"/>
      <c r="L21" s="55"/>
      <c r="M21" s="55"/>
      <c r="N21" s="55"/>
      <c r="O21" s="55"/>
      <c r="P21" s="55"/>
      <c r="Q21" s="55"/>
      <c r="R21" s="55"/>
      <c r="T21" s="71">
        <f t="shared" si="0"/>
        <v>0</v>
      </c>
    </row>
    <row r="22" spans="2:20" ht="16.8" x14ac:dyDescent="0.4">
      <c r="B22" s="5" t="s">
        <v>191</v>
      </c>
      <c r="C22" s="5" t="s">
        <v>191</v>
      </c>
      <c r="D22" s="5"/>
      <c r="E22" s="226">
        <v>25</v>
      </c>
      <c r="F22" s="191">
        <v>26</v>
      </c>
      <c r="G22" s="191">
        <v>29</v>
      </c>
      <c r="H22" s="191">
        <v>31</v>
      </c>
      <c r="I22" s="191">
        <v>31</v>
      </c>
      <c r="J22" s="55"/>
      <c r="K22" s="55"/>
      <c r="L22" s="55"/>
      <c r="M22" s="55"/>
      <c r="N22" s="55"/>
      <c r="O22" s="55"/>
      <c r="P22" s="55"/>
      <c r="Q22" s="55"/>
      <c r="R22" s="55"/>
      <c r="T22" s="71">
        <f t="shared" si="0"/>
        <v>0.27272727272727271</v>
      </c>
    </row>
    <row r="23" spans="2:20" ht="16.8" x14ac:dyDescent="0.4">
      <c r="B23" s="5" t="s">
        <v>192</v>
      </c>
      <c r="C23" s="5" t="s">
        <v>193</v>
      </c>
      <c r="D23" s="5"/>
      <c r="E23" s="226">
        <v>27</v>
      </c>
      <c r="F23" s="191">
        <v>36</v>
      </c>
      <c r="G23" s="191">
        <v>27</v>
      </c>
      <c r="H23" s="191">
        <v>33</v>
      </c>
      <c r="I23" s="191">
        <v>42</v>
      </c>
      <c r="J23" s="55"/>
      <c r="K23" s="55"/>
      <c r="L23" s="55"/>
      <c r="M23" s="55"/>
      <c r="N23" s="55"/>
      <c r="O23" s="55"/>
      <c r="P23" s="55"/>
      <c r="Q23" s="55"/>
      <c r="R23" s="55"/>
      <c r="T23" s="71">
        <f t="shared" si="0"/>
        <v>6.5663474692202461E-2</v>
      </c>
    </row>
    <row r="24" spans="2:20" ht="16.8" x14ac:dyDescent="0.4">
      <c r="B24" s="14" t="s">
        <v>194</v>
      </c>
      <c r="C24" s="5" t="s">
        <v>195</v>
      </c>
      <c r="D24" s="5"/>
      <c r="E24" s="231">
        <f>SUM(E20:E23)</f>
        <v>656</v>
      </c>
      <c r="F24" s="201">
        <f>SUM(F20:F23)</f>
        <v>641</v>
      </c>
      <c r="G24" s="201">
        <f>SUM(G20:G23)</f>
        <v>687</v>
      </c>
      <c r="H24" s="201">
        <f>SUM(H20:H23)</f>
        <v>731</v>
      </c>
      <c r="I24" s="201">
        <f>SUM(I20:I23)</f>
        <v>779</v>
      </c>
      <c r="J24" s="55"/>
      <c r="K24" s="55"/>
      <c r="L24" s="55"/>
      <c r="M24" s="55"/>
      <c r="N24" s="55"/>
      <c r="O24" s="55"/>
      <c r="P24" s="55"/>
      <c r="Q24" s="55"/>
      <c r="R24" s="55"/>
      <c r="T24" s="71">
        <f t="shared" si="0"/>
        <v>0.19696969696969696</v>
      </c>
    </row>
    <row r="25" spans="2:20" ht="16.8" x14ac:dyDescent="0.4">
      <c r="B25" s="5" t="s">
        <v>196</v>
      </c>
      <c r="C25" s="5" t="s">
        <v>197</v>
      </c>
      <c r="D25" s="5"/>
      <c r="E25" s="226">
        <v>-27</v>
      </c>
      <c r="F25" s="191">
        <v>-45</v>
      </c>
      <c r="G25" s="191">
        <v>-52</v>
      </c>
      <c r="H25" s="191">
        <v>-66</v>
      </c>
      <c r="I25" s="191">
        <v>-79</v>
      </c>
      <c r="J25" s="55"/>
      <c r="K25" s="55"/>
      <c r="L25" s="55"/>
      <c r="M25" s="55"/>
      <c r="N25" s="55"/>
      <c r="O25" s="55"/>
      <c r="P25" s="55"/>
      <c r="Q25" s="55"/>
      <c r="R25" s="55"/>
      <c r="T25" s="71">
        <f t="shared" si="0"/>
        <v>5.2631578947368418E-2</v>
      </c>
    </row>
    <row r="26" spans="2:20" ht="18.600000000000001" x14ac:dyDescent="0.55000000000000004">
      <c r="B26" s="121" t="s">
        <v>110</v>
      </c>
      <c r="C26" s="64" t="s">
        <v>195</v>
      </c>
      <c r="D26" s="64"/>
      <c r="E26" s="246">
        <f>SUM(E24:E25)</f>
        <v>629</v>
      </c>
      <c r="F26" s="247">
        <f>SUM(F24:F25)</f>
        <v>596</v>
      </c>
      <c r="G26" s="247">
        <f>SUM(G24:G25)</f>
        <v>635</v>
      </c>
      <c r="H26" s="247">
        <f>SUM(H24:H25)</f>
        <v>665</v>
      </c>
      <c r="I26" s="247">
        <f>SUM(I24:I25)</f>
        <v>700</v>
      </c>
      <c r="J26" s="55"/>
      <c r="K26" s="55"/>
      <c r="L26" s="55"/>
      <c r="M26" s="55"/>
      <c r="N26" s="55"/>
      <c r="O26" s="55"/>
      <c r="P26" s="55"/>
      <c r="Q26" s="55"/>
      <c r="R26" s="55"/>
      <c r="T26" s="71"/>
    </row>
    <row r="27" spans="2:20" x14ac:dyDescent="0.3">
      <c r="B27" s="8"/>
      <c r="C27" s="5"/>
      <c r="D27" s="5"/>
      <c r="E27" s="226"/>
      <c r="F27" s="191"/>
      <c r="G27" s="191"/>
      <c r="H27" s="191"/>
      <c r="I27" s="191"/>
      <c r="J27" s="55"/>
      <c r="K27" s="55"/>
      <c r="L27" s="55"/>
      <c r="M27" s="55"/>
      <c r="N27" s="55"/>
      <c r="O27" s="55"/>
      <c r="P27" s="55"/>
      <c r="Q27" s="55"/>
      <c r="R27" s="55"/>
      <c r="T27" s="71">
        <f>(SUM(I28,-H28))/H28</f>
        <v>2.437043054427295E-3</v>
      </c>
    </row>
    <row r="28" spans="2:20" x14ac:dyDescent="0.3">
      <c r="B28" s="15" t="s">
        <v>198</v>
      </c>
      <c r="C28" s="16" t="s">
        <v>199</v>
      </c>
      <c r="D28" s="16"/>
      <c r="E28" s="234">
        <f>SUM(E10,-E17,-E26)</f>
        <v>1048</v>
      </c>
      <c r="F28" s="202">
        <f>SUM(F10,-F17,-F26)</f>
        <v>1162</v>
      </c>
      <c r="G28" s="202">
        <f>SUM(G10,-G17,-G26)</f>
        <v>1199</v>
      </c>
      <c r="H28" s="202">
        <f>SUM(H10,-H17,-H26)</f>
        <v>1231</v>
      </c>
      <c r="I28" s="202">
        <f>SUM(I10,-I17,-I26)</f>
        <v>1234</v>
      </c>
      <c r="J28" s="55"/>
      <c r="K28" s="55"/>
      <c r="L28" s="55"/>
      <c r="M28" s="55"/>
      <c r="N28" s="55"/>
      <c r="O28" s="55"/>
      <c r="P28" s="55"/>
      <c r="Q28" s="55"/>
      <c r="R28" s="55"/>
      <c r="T28" s="71"/>
    </row>
    <row r="29" spans="2:20" x14ac:dyDescent="0.3">
      <c r="B29" s="8"/>
      <c r="C29" s="5"/>
      <c r="D29" s="5"/>
      <c r="E29" s="226"/>
      <c r="F29" s="191"/>
      <c r="G29" s="191"/>
      <c r="H29" s="189"/>
      <c r="I29" s="189"/>
      <c r="J29" s="55"/>
      <c r="K29" s="55"/>
      <c r="L29" s="55"/>
      <c r="M29" s="55"/>
      <c r="N29" s="55"/>
      <c r="O29" s="55"/>
      <c r="P29" s="55"/>
      <c r="Q29" s="55"/>
      <c r="R29" s="55"/>
      <c r="T29" s="71"/>
    </row>
    <row r="30" spans="2:20" ht="28.8" x14ac:dyDescent="0.3">
      <c r="B30" s="26" t="s">
        <v>200</v>
      </c>
      <c r="C30" s="5" t="s">
        <v>201</v>
      </c>
      <c r="D30" s="5"/>
      <c r="E30" s="226"/>
      <c r="F30" s="191"/>
      <c r="G30" s="191"/>
      <c r="H30" s="189"/>
      <c r="I30" s="189"/>
      <c r="J30" s="55"/>
      <c r="K30" s="55"/>
      <c r="L30" s="55"/>
      <c r="M30" s="55"/>
      <c r="N30" s="55"/>
      <c r="O30" s="55"/>
      <c r="P30" s="55"/>
      <c r="Q30" s="55"/>
      <c r="R30" s="55"/>
      <c r="T30" s="71">
        <f t="shared" ref="T30:T36" si="1">(SUM(I31,-H31))/H31</f>
        <v>0.35164835164835168</v>
      </c>
    </row>
    <row r="31" spans="2:20" x14ac:dyDescent="0.3">
      <c r="B31" s="5" t="s">
        <v>202</v>
      </c>
      <c r="C31" s="5" t="s">
        <v>203</v>
      </c>
      <c r="D31" s="5"/>
      <c r="E31" s="226">
        <v>54</v>
      </c>
      <c r="F31" s="191">
        <v>55</v>
      </c>
      <c r="G31" s="191">
        <v>72</v>
      </c>
      <c r="H31" s="191">
        <v>91</v>
      </c>
      <c r="I31" s="191">
        <v>123</v>
      </c>
      <c r="J31" s="55"/>
      <c r="K31" s="55"/>
      <c r="L31" s="55"/>
      <c r="M31" s="55"/>
      <c r="N31" s="55"/>
      <c r="O31" s="55"/>
      <c r="P31" s="55"/>
      <c r="Q31" s="55"/>
      <c r="R31" s="55"/>
      <c r="T31" s="71">
        <f t="shared" si="1"/>
        <v>1.8817204301075269E-2</v>
      </c>
    </row>
    <row r="32" spans="2:20" x14ac:dyDescent="0.3">
      <c r="B32" s="5" t="s">
        <v>204</v>
      </c>
      <c r="C32" s="5" t="s">
        <v>205</v>
      </c>
      <c r="D32" s="5"/>
      <c r="E32" s="226">
        <v>341</v>
      </c>
      <c r="F32" s="191">
        <v>348</v>
      </c>
      <c r="G32" s="191">
        <v>338</v>
      </c>
      <c r="H32" s="191">
        <v>372</v>
      </c>
      <c r="I32" s="191">
        <v>379</v>
      </c>
      <c r="J32" s="55"/>
      <c r="K32" s="55"/>
      <c r="L32" s="55"/>
      <c r="M32" s="55"/>
      <c r="N32" s="55"/>
      <c r="O32" s="55"/>
      <c r="P32" s="55"/>
      <c r="Q32" s="55"/>
      <c r="R32" s="55"/>
      <c r="T32" s="71">
        <f t="shared" si="1"/>
        <v>-0.94374999999999998</v>
      </c>
    </row>
    <row r="33" spans="2:20" x14ac:dyDescent="0.3">
      <c r="B33" s="5" t="s">
        <v>206</v>
      </c>
      <c r="C33" s="5" t="s">
        <v>207</v>
      </c>
      <c r="D33" s="5"/>
      <c r="E33" s="226">
        <v>359</v>
      </c>
      <c r="F33" s="191">
        <v>245</v>
      </c>
      <c r="G33" s="191">
        <v>34</v>
      </c>
      <c r="H33" s="191">
        <v>160</v>
      </c>
      <c r="I33" s="191">
        <v>9</v>
      </c>
      <c r="J33" s="55"/>
      <c r="K33" s="55"/>
      <c r="L33" s="55"/>
      <c r="M33" s="55"/>
      <c r="N33" s="55"/>
      <c r="O33" s="55"/>
      <c r="P33" s="55"/>
      <c r="Q33" s="55"/>
      <c r="R33" s="55"/>
      <c r="T33" s="71">
        <f t="shared" si="1"/>
        <v>-0.1797752808988764</v>
      </c>
    </row>
    <row r="34" spans="2:20" x14ac:dyDescent="0.3">
      <c r="B34" s="122" t="s">
        <v>208</v>
      </c>
      <c r="C34" s="123" t="s">
        <v>209</v>
      </c>
      <c r="D34" s="123"/>
      <c r="E34" s="235">
        <f>SUM(E31:E33)</f>
        <v>754</v>
      </c>
      <c r="F34" s="236">
        <f>SUM(F31:F33)</f>
        <v>648</v>
      </c>
      <c r="G34" s="236">
        <f>SUM(G31:G33)</f>
        <v>444</v>
      </c>
      <c r="H34" s="236">
        <f>SUM(H31:H33)</f>
        <v>623</v>
      </c>
      <c r="I34" s="236">
        <f>SUM(I31:I33)</f>
        <v>511</v>
      </c>
      <c r="J34" s="55"/>
      <c r="K34" s="55"/>
      <c r="L34" s="55"/>
      <c r="M34" s="55"/>
      <c r="N34" s="55"/>
      <c r="O34" s="55"/>
      <c r="P34" s="55"/>
      <c r="Q34" s="55"/>
      <c r="R34" s="55"/>
      <c r="T34" s="71">
        <f t="shared" si="1"/>
        <v>-5.2</v>
      </c>
    </row>
    <row r="35" spans="2:20" x14ac:dyDescent="0.3">
      <c r="B35" s="5" t="s">
        <v>210</v>
      </c>
      <c r="C35" s="5" t="s">
        <v>211</v>
      </c>
      <c r="D35" s="5"/>
      <c r="E35" s="226">
        <v>57</v>
      </c>
      <c r="F35" s="191">
        <v>50</v>
      </c>
      <c r="G35" s="191">
        <v>10</v>
      </c>
      <c r="H35" s="191">
        <v>-5</v>
      </c>
      <c r="I35" s="191">
        <v>21</v>
      </c>
      <c r="J35" s="55"/>
      <c r="K35" s="55"/>
      <c r="L35" s="55"/>
      <c r="M35" s="55"/>
      <c r="N35" s="55"/>
      <c r="O35" s="55"/>
      <c r="P35" s="55"/>
      <c r="Q35" s="55"/>
      <c r="R35" s="55"/>
      <c r="T35" s="71">
        <f t="shared" si="1"/>
        <v>-0.4</v>
      </c>
    </row>
    <row r="36" spans="2:20" x14ac:dyDescent="0.3">
      <c r="B36" s="5" t="s">
        <v>212</v>
      </c>
      <c r="C36" s="5" t="s">
        <v>213</v>
      </c>
      <c r="D36" s="5"/>
      <c r="E36" s="226">
        <v>22</v>
      </c>
      <c r="F36" s="191">
        <v>21</v>
      </c>
      <c r="G36" s="191">
        <v>35</v>
      </c>
      <c r="H36" s="191">
        <v>25</v>
      </c>
      <c r="I36" s="191">
        <v>15</v>
      </c>
      <c r="J36" s="55"/>
      <c r="K36" s="55"/>
      <c r="L36" s="55"/>
      <c r="M36" s="55"/>
      <c r="N36" s="55"/>
      <c r="O36" s="55"/>
      <c r="P36" s="55"/>
      <c r="Q36" s="55"/>
      <c r="R36" s="55"/>
      <c r="T36" s="71">
        <f t="shared" si="1"/>
        <v>-0.14930015552099535</v>
      </c>
    </row>
    <row r="37" spans="2:20" x14ac:dyDescent="0.3">
      <c r="B37" s="121" t="s">
        <v>110</v>
      </c>
      <c r="C37" s="64" t="s">
        <v>214</v>
      </c>
      <c r="D37" s="64"/>
      <c r="E37" s="229">
        <f>SUM(E34:E36)</f>
        <v>833</v>
      </c>
      <c r="F37" s="230">
        <f>SUM(F34:F36)</f>
        <v>719</v>
      </c>
      <c r="G37" s="230">
        <f>SUM(G34:G36)</f>
        <v>489</v>
      </c>
      <c r="H37" s="230">
        <f>SUM(H34:H36)</f>
        <v>643</v>
      </c>
      <c r="I37" s="230">
        <f>SUM(I34:I36)</f>
        <v>547</v>
      </c>
      <c r="J37" s="55"/>
      <c r="K37" s="55"/>
      <c r="L37" s="55"/>
      <c r="M37" s="55"/>
      <c r="N37" s="55"/>
      <c r="O37" s="55"/>
      <c r="P37" s="55"/>
      <c r="Q37" s="55"/>
      <c r="R37" s="55"/>
      <c r="T37" s="71"/>
    </row>
    <row r="38" spans="2:20" x14ac:dyDescent="0.3">
      <c r="B38" s="8"/>
      <c r="C38" s="5"/>
      <c r="D38" s="5"/>
      <c r="E38" s="226"/>
      <c r="F38" s="191"/>
      <c r="G38" s="191"/>
      <c r="H38" s="189"/>
      <c r="I38" s="189"/>
      <c r="J38" s="55"/>
      <c r="K38" s="55"/>
      <c r="L38" s="55"/>
      <c r="M38" s="55"/>
      <c r="N38" s="55"/>
      <c r="O38" s="55"/>
      <c r="P38" s="55"/>
      <c r="Q38" s="55"/>
      <c r="R38" s="55"/>
      <c r="T38" s="71">
        <f>(SUM(I39,-H39))/H39</f>
        <v>0.1683673469387755</v>
      </c>
    </row>
    <row r="39" spans="2:20" x14ac:dyDescent="0.3">
      <c r="B39" s="24" t="s">
        <v>215</v>
      </c>
      <c r="C39" s="25" t="s">
        <v>216</v>
      </c>
      <c r="D39" s="25"/>
      <c r="E39" s="237">
        <f>SUM(E28,-E37)</f>
        <v>215</v>
      </c>
      <c r="F39" s="203">
        <f>SUM(F28,-F37)</f>
        <v>443</v>
      </c>
      <c r="G39" s="203">
        <f>SUM(G28,-G37)</f>
        <v>710</v>
      </c>
      <c r="H39" s="203">
        <f>SUM(H28,-H37)</f>
        <v>588</v>
      </c>
      <c r="I39" s="203">
        <f>SUM(I28,-I37)</f>
        <v>687</v>
      </c>
      <c r="J39" s="55"/>
      <c r="K39" s="55"/>
      <c r="L39" s="55"/>
      <c r="M39" s="55"/>
      <c r="N39" s="55"/>
      <c r="O39" s="55"/>
      <c r="P39" s="55"/>
      <c r="Q39" s="55"/>
      <c r="R39" s="55"/>
      <c r="T39" s="71"/>
    </row>
    <row r="40" spans="2:20" x14ac:dyDescent="0.3">
      <c r="B40" s="8"/>
      <c r="C40" s="5"/>
      <c r="D40" s="5"/>
      <c r="E40" s="226"/>
      <c r="F40" s="191"/>
      <c r="G40" s="191"/>
      <c r="H40" s="189"/>
      <c r="I40" s="189"/>
      <c r="J40" s="55"/>
      <c r="K40" s="55"/>
      <c r="L40" s="55"/>
      <c r="M40" s="55"/>
      <c r="N40" s="55"/>
      <c r="O40" s="55"/>
      <c r="P40" s="55"/>
      <c r="Q40" s="55"/>
      <c r="R40" s="55"/>
      <c r="T40" s="71">
        <f>(SUM(I41,-H41))/H41</f>
        <v>-0.7142857142857143</v>
      </c>
    </row>
    <row r="41" spans="2:20" x14ac:dyDescent="0.3">
      <c r="B41" s="8" t="s">
        <v>217</v>
      </c>
      <c r="C41" s="5" t="s">
        <v>218</v>
      </c>
      <c r="D41" s="5"/>
      <c r="E41" s="226">
        <v>1</v>
      </c>
      <c r="F41" s="191">
        <v>52</v>
      </c>
      <c r="G41" s="191">
        <v>0</v>
      </c>
      <c r="H41" s="189">
        <v>14</v>
      </c>
      <c r="I41" s="189">
        <v>4</v>
      </c>
      <c r="J41" s="55"/>
      <c r="K41" s="55"/>
      <c r="L41" s="55"/>
      <c r="M41" s="55"/>
      <c r="N41" s="55"/>
      <c r="O41" s="55"/>
      <c r="P41" s="55"/>
      <c r="Q41" s="55"/>
      <c r="R41" s="55"/>
      <c r="T41" s="71"/>
    </row>
    <row r="42" spans="2:20" x14ac:dyDescent="0.3">
      <c r="B42" s="8"/>
      <c r="C42" s="5"/>
      <c r="D42" s="5"/>
      <c r="E42" s="226"/>
      <c r="F42" s="191"/>
      <c r="G42" s="191"/>
      <c r="H42" s="189"/>
      <c r="I42" s="189"/>
      <c r="J42" s="55"/>
      <c r="K42" s="55"/>
      <c r="L42" s="55"/>
      <c r="M42" s="55"/>
      <c r="N42" s="55"/>
      <c r="O42" s="55"/>
      <c r="P42" s="55"/>
      <c r="Q42" s="55"/>
      <c r="R42" s="55"/>
      <c r="T42" s="71"/>
    </row>
    <row r="43" spans="2:20" x14ac:dyDescent="0.3">
      <c r="B43" s="8" t="s">
        <v>219</v>
      </c>
      <c r="C43" s="5" t="s">
        <v>220</v>
      </c>
      <c r="D43" s="5"/>
      <c r="E43" s="226"/>
      <c r="F43" s="191"/>
      <c r="G43" s="191"/>
      <c r="H43" s="191"/>
      <c r="I43" s="191"/>
      <c r="J43" s="55"/>
      <c r="K43" s="55"/>
      <c r="L43" s="55"/>
      <c r="M43" s="55"/>
      <c r="N43" s="55"/>
      <c r="O43" s="55"/>
      <c r="P43" s="55"/>
      <c r="Q43" s="55"/>
      <c r="R43" s="55"/>
      <c r="T43" s="71"/>
    </row>
    <row r="44" spans="2:20" x14ac:dyDescent="0.3">
      <c r="B44" s="184" t="s">
        <v>221</v>
      </c>
      <c r="C44" s="5" t="s">
        <v>222</v>
      </c>
      <c r="D44" s="5"/>
      <c r="E44" s="226"/>
      <c r="F44" s="191"/>
      <c r="G44" s="191"/>
      <c r="H44" s="191"/>
      <c r="I44" s="191"/>
      <c r="J44" s="55"/>
      <c r="K44" s="55"/>
      <c r="L44" s="55"/>
      <c r="M44" s="55"/>
      <c r="N44" s="55"/>
      <c r="O44" s="55"/>
      <c r="P44" s="55"/>
      <c r="Q44" s="55"/>
      <c r="R44" s="55"/>
      <c r="T44" s="71"/>
    </row>
    <row r="45" spans="2:20" x14ac:dyDescent="0.3">
      <c r="B45" s="5" t="s">
        <v>223</v>
      </c>
      <c r="C45" s="5"/>
      <c r="D45" s="5"/>
      <c r="E45" s="226"/>
      <c r="F45" s="191"/>
      <c r="G45" s="191"/>
      <c r="H45" s="191">
        <v>0</v>
      </c>
      <c r="I45" s="191">
        <v>4</v>
      </c>
      <c r="J45" s="55"/>
      <c r="K45" s="55"/>
      <c r="L45" s="55"/>
      <c r="M45" s="55"/>
      <c r="N45" s="55"/>
      <c r="O45" s="55"/>
      <c r="P45" s="55"/>
      <c r="Q45" s="55"/>
      <c r="R45" s="55"/>
      <c r="T45" s="71">
        <f>(SUM(I46,-H46))/H46</f>
        <v>-0.25</v>
      </c>
    </row>
    <row r="46" spans="2:20" x14ac:dyDescent="0.3">
      <c r="B46" s="5" t="s">
        <v>224</v>
      </c>
      <c r="C46" s="5"/>
      <c r="D46" s="5"/>
      <c r="E46" s="226"/>
      <c r="F46" s="191"/>
      <c r="G46" s="191"/>
      <c r="H46" s="191">
        <v>16</v>
      </c>
      <c r="I46" s="191">
        <v>12</v>
      </c>
      <c r="J46" s="55"/>
      <c r="K46" s="55"/>
      <c r="L46" s="55"/>
      <c r="M46" s="55"/>
      <c r="N46" s="55"/>
      <c r="O46" s="55"/>
      <c r="P46" s="55"/>
      <c r="Q46" s="55"/>
      <c r="R46" s="55"/>
      <c r="T46" s="71">
        <f>(SUM(I47,-H47))/H47</f>
        <v>0</v>
      </c>
    </row>
    <row r="47" spans="2:20" x14ac:dyDescent="0.3">
      <c r="B47" s="121" t="s">
        <v>110</v>
      </c>
      <c r="C47" s="119"/>
      <c r="D47" s="119"/>
      <c r="E47" s="229">
        <v>28</v>
      </c>
      <c r="F47" s="230">
        <v>34</v>
      </c>
      <c r="G47" s="230">
        <v>19</v>
      </c>
      <c r="H47" s="230">
        <f t="shared" ref="H47" si="2">SUM(H45:H46)</f>
        <v>16</v>
      </c>
      <c r="I47" s="230">
        <f>SUM(I45:I46)</f>
        <v>16</v>
      </c>
      <c r="J47" s="55"/>
      <c r="K47" s="55"/>
      <c r="L47" s="55"/>
      <c r="M47" s="55"/>
      <c r="N47" s="55"/>
      <c r="O47" s="55"/>
      <c r="P47" s="55"/>
      <c r="Q47" s="55"/>
      <c r="R47" s="55"/>
      <c r="T47" s="71"/>
    </row>
    <row r="48" spans="2:20" x14ac:dyDescent="0.3">
      <c r="B48" s="184" t="s">
        <v>226</v>
      </c>
      <c r="C48" s="5" t="s">
        <v>227</v>
      </c>
      <c r="D48" s="5"/>
      <c r="E48" s="226"/>
      <c r="F48" s="191"/>
      <c r="G48" s="191"/>
      <c r="H48" s="191"/>
      <c r="I48" s="191"/>
      <c r="J48" s="55"/>
      <c r="K48" s="55"/>
      <c r="L48" s="55"/>
      <c r="M48" s="55"/>
      <c r="N48" s="55"/>
      <c r="O48" s="55"/>
      <c r="P48" s="55"/>
      <c r="Q48" s="55"/>
      <c r="R48" s="55"/>
      <c r="T48" s="71">
        <f t="shared" ref="T48:T53" si="3">(SUM(I49,-H49))/H49</f>
        <v>-7.8431372549019607E-2</v>
      </c>
    </row>
    <row r="49" spans="2:20" x14ac:dyDescent="0.3">
      <c r="B49" s="5" t="s">
        <v>228</v>
      </c>
      <c r="C49" s="5" t="s">
        <v>229</v>
      </c>
      <c r="D49" s="5"/>
      <c r="E49" s="226">
        <v>125</v>
      </c>
      <c r="F49" s="191">
        <v>125</v>
      </c>
      <c r="G49" s="191">
        <v>104</v>
      </c>
      <c r="H49" s="191">
        <v>102</v>
      </c>
      <c r="I49" s="191">
        <v>94</v>
      </c>
      <c r="J49" s="55"/>
      <c r="K49" s="55"/>
      <c r="L49" s="55"/>
      <c r="M49" s="55"/>
      <c r="N49" s="55"/>
      <c r="O49" s="55"/>
      <c r="P49" s="55"/>
      <c r="Q49" s="55"/>
      <c r="R49" s="55"/>
      <c r="T49" s="71">
        <f t="shared" si="3"/>
        <v>-0.33333333333333331</v>
      </c>
    </row>
    <row r="50" spans="2:20" x14ac:dyDescent="0.3">
      <c r="B50" s="5" t="s">
        <v>230</v>
      </c>
      <c r="C50" s="5" t="s">
        <v>231</v>
      </c>
      <c r="D50" s="5"/>
      <c r="E50" s="226">
        <v>15</v>
      </c>
      <c r="F50" s="191">
        <v>9</v>
      </c>
      <c r="G50" s="191">
        <v>9</v>
      </c>
      <c r="H50" s="191">
        <v>6</v>
      </c>
      <c r="I50" s="191">
        <v>4</v>
      </c>
      <c r="J50" s="55"/>
      <c r="K50" s="55"/>
      <c r="L50" s="55"/>
      <c r="M50" s="55"/>
      <c r="N50" s="55"/>
      <c r="O50" s="55"/>
      <c r="P50" s="55"/>
      <c r="Q50" s="55"/>
      <c r="R50" s="55"/>
      <c r="T50" s="71">
        <f t="shared" si="3"/>
        <v>-0.125</v>
      </c>
    </row>
    <row r="51" spans="2:20" x14ac:dyDescent="0.3">
      <c r="B51" s="5" t="s">
        <v>232</v>
      </c>
      <c r="C51" s="5" t="s">
        <v>233</v>
      </c>
      <c r="D51" s="5"/>
      <c r="E51" s="226">
        <v>5</v>
      </c>
      <c r="F51" s="191">
        <v>6</v>
      </c>
      <c r="G51" s="191">
        <v>8</v>
      </c>
      <c r="H51" s="191">
        <v>8</v>
      </c>
      <c r="I51" s="191">
        <v>7</v>
      </c>
      <c r="J51" s="55"/>
      <c r="K51" s="55"/>
      <c r="L51" s="55"/>
      <c r="M51" s="55"/>
      <c r="N51" s="55"/>
      <c r="O51" s="55"/>
      <c r="P51" s="55"/>
      <c r="Q51" s="55"/>
      <c r="R51" s="55"/>
      <c r="T51" s="71">
        <f t="shared" si="3"/>
        <v>-0.5</v>
      </c>
    </row>
    <row r="52" spans="2:20" x14ac:dyDescent="0.3">
      <c r="B52" s="5" t="s">
        <v>234</v>
      </c>
      <c r="C52" s="5" t="s">
        <v>235</v>
      </c>
      <c r="D52" s="5"/>
      <c r="E52" s="226">
        <v>0</v>
      </c>
      <c r="F52" s="191">
        <v>1</v>
      </c>
      <c r="G52" s="191">
        <v>2</v>
      </c>
      <c r="H52" s="191">
        <v>2</v>
      </c>
      <c r="I52" s="191">
        <v>1</v>
      </c>
      <c r="J52" s="55"/>
      <c r="K52" s="55"/>
      <c r="L52" s="55"/>
      <c r="M52" s="55"/>
      <c r="N52" s="55"/>
      <c r="O52" s="55"/>
      <c r="P52" s="55"/>
      <c r="Q52" s="55"/>
      <c r="R52" s="55"/>
      <c r="T52" s="71">
        <f t="shared" si="3"/>
        <v>0.7142857142857143</v>
      </c>
    </row>
    <row r="53" spans="2:20" x14ac:dyDescent="0.3">
      <c r="B53" s="5" t="s">
        <v>236</v>
      </c>
      <c r="C53" s="5" t="s">
        <v>237</v>
      </c>
      <c r="D53" s="5"/>
      <c r="E53" s="226">
        <v>17</v>
      </c>
      <c r="F53" s="191">
        <v>51</v>
      </c>
      <c r="G53" s="191">
        <v>35</v>
      </c>
      <c r="H53" s="191">
        <v>14</v>
      </c>
      <c r="I53" s="191">
        <v>24</v>
      </c>
      <c r="J53" s="55"/>
      <c r="K53" s="55"/>
      <c r="L53" s="55"/>
      <c r="M53" s="55"/>
      <c r="N53" s="55"/>
      <c r="O53" s="55"/>
      <c r="P53" s="55"/>
      <c r="Q53" s="55"/>
      <c r="R53" s="55"/>
      <c r="T53" s="71">
        <f t="shared" si="3"/>
        <v>-1.5151515151515152E-2</v>
      </c>
    </row>
    <row r="54" spans="2:20" x14ac:dyDescent="0.3">
      <c r="B54" s="124" t="s">
        <v>110</v>
      </c>
      <c r="C54" s="123" t="s">
        <v>239</v>
      </c>
      <c r="D54" s="123"/>
      <c r="E54" s="238">
        <v>162</v>
      </c>
      <c r="F54" s="239">
        <f>SUM(F49:F53)</f>
        <v>192</v>
      </c>
      <c r="G54" s="239">
        <f>SUM(G49:G53)</f>
        <v>158</v>
      </c>
      <c r="H54" s="239">
        <f>SUM(H49:H53)</f>
        <v>132</v>
      </c>
      <c r="I54" s="239">
        <f>SUM(I49:I53)</f>
        <v>130</v>
      </c>
      <c r="J54" s="55"/>
      <c r="K54" s="55"/>
      <c r="L54" s="55"/>
      <c r="M54" s="55"/>
      <c r="N54" s="55"/>
      <c r="O54" s="55"/>
      <c r="P54" s="55"/>
      <c r="Q54" s="55"/>
      <c r="R54" s="55"/>
      <c r="T54" s="71"/>
    </row>
    <row r="55" spans="2:20" x14ac:dyDescent="0.3">
      <c r="B55" s="5" t="s">
        <v>240</v>
      </c>
      <c r="C55" s="5" t="s">
        <v>241</v>
      </c>
      <c r="D55" s="5"/>
      <c r="E55" s="226">
        <v>0</v>
      </c>
      <c r="F55" s="191">
        <v>0</v>
      </c>
      <c r="G55" s="191">
        <v>0</v>
      </c>
      <c r="H55" s="191">
        <v>0</v>
      </c>
      <c r="I55" s="191">
        <v>0</v>
      </c>
      <c r="J55" s="55"/>
      <c r="K55" s="55"/>
      <c r="L55" s="55"/>
      <c r="M55" s="55"/>
      <c r="N55" s="55"/>
      <c r="O55" s="55"/>
      <c r="P55" s="55"/>
      <c r="Q55" s="55"/>
      <c r="R55" s="55"/>
      <c r="T55" s="71">
        <f>(SUM(I56,-H56))/H56</f>
        <v>-1.5151515151515152E-2</v>
      </c>
    </row>
    <row r="56" spans="2:20" x14ac:dyDescent="0.3">
      <c r="B56" s="121" t="s">
        <v>110</v>
      </c>
      <c r="C56" s="119" t="s">
        <v>243</v>
      </c>
      <c r="D56" s="119"/>
      <c r="E56" s="229">
        <f>SUM(E54:E55)</f>
        <v>162</v>
      </c>
      <c r="F56" s="230">
        <f>SUM(F54:F55)</f>
        <v>192</v>
      </c>
      <c r="G56" s="230">
        <f>SUM(G54:G55)</f>
        <v>158</v>
      </c>
      <c r="H56" s="230">
        <f>SUM(H54:H55)</f>
        <v>132</v>
      </c>
      <c r="I56" s="230">
        <f>SUM(I54:I55)</f>
        <v>130</v>
      </c>
      <c r="J56" s="55"/>
      <c r="K56" s="55"/>
      <c r="L56" s="55"/>
      <c r="M56" s="55"/>
      <c r="N56" s="55"/>
      <c r="O56" s="55"/>
      <c r="P56" s="55"/>
      <c r="Q56" s="55"/>
      <c r="R56" s="55"/>
      <c r="T56" s="71">
        <f>(SUM(I57,-H57))/H57</f>
        <v>0</v>
      </c>
    </row>
    <row r="57" spans="2:20" ht="24" customHeight="1" x14ac:dyDescent="0.3">
      <c r="B57" s="5" t="s">
        <v>244</v>
      </c>
      <c r="C57" s="115" t="s">
        <v>245</v>
      </c>
      <c r="D57" s="115"/>
      <c r="E57" s="226">
        <v>-4</v>
      </c>
      <c r="F57" s="191">
        <v>-3</v>
      </c>
      <c r="G57" s="191">
        <v>5</v>
      </c>
      <c r="H57" s="191">
        <v>4</v>
      </c>
      <c r="I57" s="191">
        <v>4</v>
      </c>
      <c r="J57" s="55"/>
      <c r="K57" s="55"/>
      <c r="L57" s="55"/>
      <c r="M57" s="55"/>
      <c r="N57" s="55"/>
      <c r="O57" s="55"/>
      <c r="P57" s="55"/>
      <c r="Q57" s="55"/>
      <c r="R57" s="55"/>
      <c r="T57" s="71"/>
    </row>
    <row r="58" spans="2:20" x14ac:dyDescent="0.3">
      <c r="B58" s="5" t="s">
        <v>246</v>
      </c>
      <c r="C58" s="5" t="s">
        <v>247</v>
      </c>
      <c r="D58" s="5"/>
      <c r="E58" s="226">
        <v>0</v>
      </c>
      <c r="F58" s="191">
        <v>0</v>
      </c>
      <c r="G58" s="191">
        <v>0</v>
      </c>
      <c r="H58" s="191">
        <v>0</v>
      </c>
      <c r="I58" s="191">
        <v>0</v>
      </c>
      <c r="J58" s="55"/>
      <c r="K58" s="55"/>
      <c r="L58" s="55"/>
      <c r="M58" s="55"/>
      <c r="N58" s="55"/>
      <c r="O58" s="55"/>
      <c r="P58" s="55"/>
      <c r="Q58" s="55"/>
      <c r="R58" s="55"/>
      <c r="T58" s="71">
        <f>(SUM(I59,-H59))/H59</f>
        <v>-1.7857142857142856E-2</v>
      </c>
    </row>
    <row r="59" spans="2:20" x14ac:dyDescent="0.3">
      <c r="B59" s="15" t="s">
        <v>248</v>
      </c>
      <c r="C59" s="16" t="s">
        <v>249</v>
      </c>
      <c r="D59" s="16"/>
      <c r="E59" s="234">
        <f>SUM(E47,-E56,E57)</f>
        <v>-138</v>
      </c>
      <c r="F59" s="202">
        <f>SUM(F47,-F56,F57)</f>
        <v>-161</v>
      </c>
      <c r="G59" s="202">
        <f>SUM(G47,-G56,G57)</f>
        <v>-134</v>
      </c>
      <c r="H59" s="202">
        <f>SUM(H47,-H56,H57)</f>
        <v>-112</v>
      </c>
      <c r="I59" s="202">
        <f>SUM(I47,-I56,I57)</f>
        <v>-110</v>
      </c>
      <c r="J59" s="55"/>
      <c r="K59" s="55"/>
      <c r="L59" s="55"/>
      <c r="M59" s="55"/>
      <c r="N59" s="55"/>
      <c r="O59" s="55"/>
      <c r="P59" s="55"/>
      <c r="Q59" s="55"/>
      <c r="R59" s="55"/>
      <c r="T59" s="71"/>
    </row>
    <row r="60" spans="2:20" x14ac:dyDescent="0.3">
      <c r="B60" s="8"/>
      <c r="C60" s="5"/>
      <c r="D60" s="5"/>
      <c r="E60" s="226"/>
      <c r="F60" s="191"/>
      <c r="G60" s="191"/>
      <c r="H60" s="189"/>
      <c r="I60" s="189"/>
      <c r="J60" s="55"/>
      <c r="K60" s="55"/>
      <c r="L60" s="55"/>
      <c r="M60" s="55"/>
      <c r="N60" s="55"/>
      <c r="O60" s="55"/>
      <c r="P60" s="55"/>
      <c r="Q60" s="55"/>
      <c r="R60" s="55"/>
      <c r="T60" s="71">
        <f>(SUM(I61,-H61))/H61</f>
        <v>0.18571428571428572</v>
      </c>
    </row>
    <row r="61" spans="2:20" x14ac:dyDescent="0.3">
      <c r="B61" s="24" t="s">
        <v>250</v>
      </c>
      <c r="C61" s="25" t="s">
        <v>251</v>
      </c>
      <c r="D61" s="25"/>
      <c r="E61" s="237">
        <f>SUM(E39,E41,E59)</f>
        <v>78</v>
      </c>
      <c r="F61" s="203">
        <f>SUM(F39,F41,F59)</f>
        <v>334</v>
      </c>
      <c r="G61" s="203">
        <f>SUM(G39,G41,G59)</f>
        <v>576</v>
      </c>
      <c r="H61" s="203">
        <f>SUM(H39,H41,H59)</f>
        <v>490</v>
      </c>
      <c r="I61" s="203">
        <f>SUM(I39,I41,I59)</f>
        <v>581</v>
      </c>
      <c r="J61" s="55"/>
      <c r="K61" s="55"/>
      <c r="L61" s="55"/>
      <c r="M61" s="55"/>
      <c r="N61" s="55"/>
      <c r="O61" s="55"/>
      <c r="P61" s="55"/>
      <c r="Q61" s="55"/>
      <c r="R61" s="55"/>
      <c r="T61" s="71"/>
    </row>
    <row r="62" spans="2:20" x14ac:dyDescent="0.3">
      <c r="B62" s="8"/>
      <c r="C62" s="5"/>
      <c r="D62" s="5"/>
      <c r="E62" s="226"/>
      <c r="F62" s="191"/>
      <c r="G62" s="191"/>
      <c r="H62" s="189"/>
      <c r="I62" s="189"/>
      <c r="J62" s="55"/>
      <c r="K62" s="55"/>
      <c r="L62" s="55"/>
      <c r="M62" s="55"/>
      <c r="N62" s="55"/>
      <c r="O62" s="55"/>
      <c r="P62" s="55"/>
      <c r="Q62" s="55"/>
      <c r="R62" s="55"/>
      <c r="T62" s="71"/>
    </row>
    <row r="63" spans="2:20" x14ac:dyDescent="0.3">
      <c r="B63" s="8" t="s">
        <v>252</v>
      </c>
      <c r="C63" s="5" t="s">
        <v>253</v>
      </c>
      <c r="D63" s="5"/>
      <c r="E63" s="226"/>
      <c r="F63" s="191"/>
      <c r="G63" s="191"/>
      <c r="H63" s="189"/>
      <c r="I63" s="189"/>
      <c r="J63" s="55"/>
      <c r="K63" s="55"/>
      <c r="L63" s="55"/>
      <c r="M63" s="55"/>
      <c r="N63" s="55"/>
      <c r="O63" s="55"/>
      <c r="P63" s="55"/>
      <c r="Q63" s="55"/>
      <c r="R63" s="55"/>
      <c r="T63" s="71">
        <f t="shared" ref="T63:T71" si="4">(SUM(I64,-H64))/H64</f>
        <v>6.8493150684931503E-3</v>
      </c>
    </row>
    <row r="64" spans="2:20" x14ac:dyDescent="0.3">
      <c r="B64" s="5" t="s">
        <v>254</v>
      </c>
      <c r="C64" s="5" t="s">
        <v>255</v>
      </c>
      <c r="D64" s="5"/>
      <c r="E64" s="226">
        <v>105</v>
      </c>
      <c r="F64" s="191">
        <v>138</v>
      </c>
      <c r="G64" s="191">
        <v>107</v>
      </c>
      <c r="H64" s="191">
        <v>146</v>
      </c>
      <c r="I64" s="191">
        <v>147</v>
      </c>
      <c r="J64" s="55"/>
      <c r="K64" s="55"/>
      <c r="L64" s="55"/>
      <c r="M64" s="55"/>
      <c r="N64" s="55"/>
      <c r="O64" s="55"/>
      <c r="P64" s="55"/>
      <c r="Q64" s="55"/>
      <c r="R64" s="55"/>
      <c r="T64" s="71">
        <f t="shared" si="4"/>
        <v>0</v>
      </c>
    </row>
    <row r="65" spans="2:20" x14ac:dyDescent="0.3">
      <c r="B65" s="5" t="s">
        <v>256</v>
      </c>
      <c r="C65" s="5" t="s">
        <v>257</v>
      </c>
      <c r="D65" s="5"/>
      <c r="E65" s="226">
        <v>23</v>
      </c>
      <c r="F65" s="191">
        <v>25</v>
      </c>
      <c r="G65" s="191">
        <v>26</v>
      </c>
      <c r="H65" s="191">
        <v>30</v>
      </c>
      <c r="I65" s="191">
        <v>30</v>
      </c>
      <c r="J65" s="55"/>
      <c r="K65" s="55"/>
      <c r="L65" s="55"/>
      <c r="M65" s="55"/>
      <c r="N65" s="55"/>
      <c r="O65" s="55"/>
      <c r="P65" s="55"/>
      <c r="Q65" s="55"/>
      <c r="R65" s="55"/>
      <c r="T65" s="71">
        <f t="shared" si="4"/>
        <v>1.5</v>
      </c>
    </row>
    <row r="66" spans="2:20" x14ac:dyDescent="0.3">
      <c r="B66" s="5" t="s">
        <v>258</v>
      </c>
      <c r="C66" s="5" t="s">
        <v>259</v>
      </c>
      <c r="D66" s="5"/>
      <c r="E66" s="226">
        <v>-17</v>
      </c>
      <c r="F66" s="191">
        <v>4</v>
      </c>
      <c r="G66" s="191">
        <v>-1</v>
      </c>
      <c r="H66" s="191">
        <v>2</v>
      </c>
      <c r="I66" s="191">
        <v>5</v>
      </c>
      <c r="J66" s="55"/>
      <c r="K66" s="55"/>
      <c r="L66" s="55"/>
      <c r="M66" s="55"/>
      <c r="N66" s="55"/>
      <c r="O66" s="55"/>
      <c r="P66" s="55"/>
      <c r="Q66" s="55"/>
      <c r="R66" s="55"/>
      <c r="T66" s="71">
        <f t="shared" si="4"/>
        <v>2.247191011235955E-2</v>
      </c>
    </row>
    <row r="67" spans="2:20" x14ac:dyDescent="0.3">
      <c r="B67" s="120" t="s">
        <v>260</v>
      </c>
      <c r="C67" s="64" t="s">
        <v>261</v>
      </c>
      <c r="D67" s="64"/>
      <c r="E67" s="240">
        <f>SUM(E64:E66)</f>
        <v>111</v>
      </c>
      <c r="F67" s="241">
        <f>SUM(F64:F66)</f>
        <v>167</v>
      </c>
      <c r="G67" s="241">
        <f>SUM(G64:G66)</f>
        <v>132</v>
      </c>
      <c r="H67" s="241">
        <f>SUM(H64:H66)</f>
        <v>178</v>
      </c>
      <c r="I67" s="241">
        <f>SUM(I64:I66)</f>
        <v>182</v>
      </c>
      <c r="J67" s="55"/>
      <c r="K67" s="55"/>
      <c r="L67" s="55"/>
      <c r="M67" s="55"/>
      <c r="N67" s="55"/>
      <c r="O67" s="55"/>
      <c r="P67" s="55"/>
      <c r="Q67" s="55"/>
      <c r="R67" s="55"/>
      <c r="T67" s="71">
        <f t="shared" si="4"/>
        <v>1.1515151515151516</v>
      </c>
    </row>
    <row r="68" spans="2:20" x14ac:dyDescent="0.3">
      <c r="B68" s="5" t="s">
        <v>33</v>
      </c>
      <c r="C68" s="5" t="s">
        <v>262</v>
      </c>
      <c r="D68" s="5"/>
      <c r="E68" s="226">
        <v>142</v>
      </c>
      <c r="F68" s="191">
        <v>44</v>
      </c>
      <c r="G68" s="191">
        <v>88</v>
      </c>
      <c r="H68" s="191">
        <v>33</v>
      </c>
      <c r="I68" s="191">
        <v>71</v>
      </c>
      <c r="J68" s="55"/>
      <c r="K68" s="55"/>
      <c r="L68" s="55"/>
      <c r="M68" s="55"/>
      <c r="N68" s="55"/>
      <c r="O68" s="55"/>
      <c r="P68" s="55"/>
      <c r="Q68" s="55"/>
      <c r="R68" s="55"/>
      <c r="T68" s="71">
        <f t="shared" si="4"/>
        <v>0.18518518518518517</v>
      </c>
    </row>
    <row r="69" spans="2:20" x14ac:dyDescent="0.3">
      <c r="B69" s="5" t="s">
        <v>263</v>
      </c>
      <c r="C69" s="5" t="s">
        <v>264</v>
      </c>
      <c r="D69" s="5"/>
      <c r="E69" s="226">
        <v>-120</v>
      </c>
      <c r="F69" s="191">
        <v>-89</v>
      </c>
      <c r="G69" s="191">
        <v>-28</v>
      </c>
      <c r="H69" s="191">
        <v>-54</v>
      </c>
      <c r="I69" s="191">
        <v>-64</v>
      </c>
      <c r="J69" s="55"/>
      <c r="K69" s="55"/>
      <c r="L69" s="55"/>
      <c r="M69" s="55"/>
      <c r="N69" s="55"/>
      <c r="O69" s="55"/>
      <c r="P69" s="55"/>
      <c r="Q69" s="55"/>
      <c r="R69" s="55"/>
      <c r="T69" s="71">
        <f t="shared" si="4"/>
        <v>0.20382165605095542</v>
      </c>
    </row>
    <row r="70" spans="2:20" x14ac:dyDescent="0.3">
      <c r="B70" s="125" t="s">
        <v>265</v>
      </c>
      <c r="C70" s="126" t="s">
        <v>266</v>
      </c>
      <c r="D70" s="126"/>
      <c r="E70" s="242">
        <f>SUM(E67:E69)</f>
        <v>133</v>
      </c>
      <c r="F70" s="243">
        <f>SUM(F67:F69)</f>
        <v>122</v>
      </c>
      <c r="G70" s="243">
        <f>SUM(G67:G69)</f>
        <v>192</v>
      </c>
      <c r="H70" s="243">
        <f>SUM(H67:H69)</f>
        <v>157</v>
      </c>
      <c r="I70" s="243">
        <f>SUM(I67:I69)</f>
        <v>189</v>
      </c>
      <c r="J70" s="55"/>
      <c r="K70" s="55"/>
      <c r="L70" s="55"/>
      <c r="M70" s="55"/>
      <c r="N70" s="55"/>
      <c r="O70" s="55"/>
      <c r="P70" s="55"/>
      <c r="Q70" s="55"/>
      <c r="R70" s="55"/>
      <c r="T70" s="71">
        <f t="shared" si="4"/>
        <v>0.17717717717717718</v>
      </c>
    </row>
    <row r="71" spans="2:20" x14ac:dyDescent="0.3">
      <c r="B71" s="8" t="s">
        <v>267</v>
      </c>
      <c r="C71" s="5" t="s">
        <v>268</v>
      </c>
      <c r="D71" s="5"/>
      <c r="E71" s="244">
        <f>SUM(E61,-E70)</f>
        <v>-55</v>
      </c>
      <c r="F71" s="189">
        <f>SUM(F61,-F70)</f>
        <v>212</v>
      </c>
      <c r="G71" s="189">
        <f>SUM(G61,-G70)</f>
        <v>384</v>
      </c>
      <c r="H71" s="189">
        <f>SUM(H61,-H70)</f>
        <v>333</v>
      </c>
      <c r="I71" s="189">
        <f>SUM(I61,-I70)</f>
        <v>392</v>
      </c>
      <c r="J71" s="55"/>
      <c r="K71" s="55"/>
      <c r="L71" s="55"/>
      <c r="M71" s="55"/>
      <c r="N71" s="55"/>
      <c r="O71" s="55"/>
      <c r="P71" s="55"/>
      <c r="Q71" s="55"/>
      <c r="R71" s="55"/>
      <c r="T71" s="71">
        <f t="shared" si="4"/>
        <v>-0.95238095238095233</v>
      </c>
    </row>
    <row r="72" spans="2:20" x14ac:dyDescent="0.3">
      <c r="B72" s="8" t="s">
        <v>269</v>
      </c>
      <c r="C72" s="5" t="s">
        <v>270</v>
      </c>
      <c r="D72" s="5"/>
      <c r="E72" s="226">
        <v>0</v>
      </c>
      <c r="F72" s="191">
        <v>19</v>
      </c>
      <c r="G72" s="191">
        <v>-85</v>
      </c>
      <c r="H72" s="189">
        <v>21</v>
      </c>
      <c r="I72" s="189">
        <v>1</v>
      </c>
      <c r="J72" s="55"/>
      <c r="K72" s="55"/>
      <c r="L72" s="55"/>
      <c r="M72" s="55"/>
      <c r="N72" s="55"/>
      <c r="O72" s="55"/>
      <c r="P72" s="55"/>
      <c r="Q72" s="55"/>
      <c r="R72" s="55"/>
      <c r="T72" s="71"/>
    </row>
    <row r="73" spans="2:20" x14ac:dyDescent="0.3">
      <c r="B73" s="8"/>
      <c r="C73" s="5"/>
      <c r="D73" s="5"/>
      <c r="E73" s="226"/>
      <c r="F73" s="191"/>
      <c r="G73" s="191"/>
      <c r="H73" s="189"/>
      <c r="I73" s="189"/>
      <c r="J73" s="55"/>
      <c r="K73" s="55"/>
      <c r="L73" s="55"/>
      <c r="M73" s="55"/>
      <c r="N73" s="55"/>
      <c r="O73" s="55"/>
      <c r="P73" s="55"/>
      <c r="Q73" s="55"/>
      <c r="R73" s="55"/>
      <c r="T73" s="71">
        <f>(SUM(I74,-H74))/H74</f>
        <v>0.11016949152542373</v>
      </c>
    </row>
    <row r="74" spans="2:20" x14ac:dyDescent="0.3">
      <c r="B74" s="15" t="s">
        <v>271</v>
      </c>
      <c r="C74" s="16" t="s">
        <v>272</v>
      </c>
      <c r="D74" s="16"/>
      <c r="E74" s="234">
        <f>SUM(E71:E72)</f>
        <v>-55</v>
      </c>
      <c r="F74" s="202">
        <f>SUM(F71:F72)</f>
        <v>231</v>
      </c>
      <c r="G74" s="202">
        <f>SUM(G71:G72)</f>
        <v>299</v>
      </c>
      <c r="H74" s="202">
        <f>SUM(H71:H72)</f>
        <v>354</v>
      </c>
      <c r="I74" s="202">
        <f>SUM(I71:I72)</f>
        <v>393</v>
      </c>
      <c r="J74" s="55"/>
      <c r="K74" s="55"/>
      <c r="L74" s="55"/>
      <c r="M74" s="55"/>
      <c r="N74" s="55"/>
      <c r="O74" s="55"/>
      <c r="P74" s="55"/>
      <c r="Q74" s="55"/>
      <c r="R74" s="55"/>
      <c r="T74" s="71"/>
    </row>
    <row r="75" spans="2:20" x14ac:dyDescent="0.3">
      <c r="B75" s="5" t="s">
        <v>273</v>
      </c>
      <c r="C75" s="5" t="s">
        <v>274</v>
      </c>
      <c r="D75" s="5"/>
      <c r="E75" s="226">
        <v>130</v>
      </c>
      <c r="F75" s="191">
        <v>1</v>
      </c>
      <c r="G75" s="191">
        <v>-6</v>
      </c>
      <c r="H75" s="191">
        <v>-10</v>
      </c>
      <c r="I75" s="191">
        <v>-4</v>
      </c>
      <c r="J75" s="55"/>
      <c r="K75" s="55"/>
      <c r="L75" s="55"/>
      <c r="M75" s="55"/>
      <c r="N75" s="55"/>
      <c r="O75" s="55"/>
      <c r="P75" s="55"/>
      <c r="Q75" s="55"/>
      <c r="R75" s="55"/>
      <c r="T75" s="71"/>
    </row>
    <row r="76" spans="2:20" ht="15" thickBot="1" x14ac:dyDescent="0.35">
      <c r="B76" s="5"/>
      <c r="C76" s="5"/>
      <c r="D76" s="5"/>
      <c r="E76" s="226"/>
      <c r="F76" s="191"/>
      <c r="G76" s="191"/>
      <c r="H76" s="191"/>
      <c r="I76" s="191"/>
      <c r="J76" s="55"/>
      <c r="K76" s="55"/>
      <c r="L76" s="55"/>
      <c r="M76" s="55"/>
      <c r="N76" s="55"/>
      <c r="O76" s="55"/>
      <c r="P76" s="55"/>
      <c r="Q76" s="55"/>
      <c r="R76" s="55"/>
      <c r="T76" s="74">
        <f>(SUM(I77,-H77))/H77</f>
        <v>0.1308139534883721</v>
      </c>
    </row>
    <row r="77" spans="2:20" x14ac:dyDescent="0.3">
      <c r="B77" s="24" t="s">
        <v>275</v>
      </c>
      <c r="C77" s="25" t="s">
        <v>276</v>
      </c>
      <c r="D77" s="25"/>
      <c r="E77" s="245">
        <v>73</v>
      </c>
      <c r="F77" s="193">
        <v>232</v>
      </c>
      <c r="G77" s="193">
        <v>293</v>
      </c>
      <c r="H77" s="203">
        <f t="shared" ref="H77" si="5">SUM(H74:H75)</f>
        <v>344</v>
      </c>
      <c r="I77" s="203">
        <f>SUM(I74:I75)</f>
        <v>389</v>
      </c>
      <c r="J77" s="55"/>
      <c r="K77" s="55"/>
      <c r="L77" s="55"/>
      <c r="M77" s="109"/>
      <c r="N77" s="55"/>
      <c r="O77" s="55"/>
      <c r="P77" s="55"/>
      <c r="Q77" s="55"/>
      <c r="R77" s="55"/>
    </row>
    <row r="78" spans="2:20" x14ac:dyDescent="0.3">
      <c r="B78" s="109"/>
      <c r="C78" s="55"/>
      <c r="D78" s="55"/>
      <c r="E78" s="55"/>
      <c r="F78" s="55"/>
      <c r="G78" s="55"/>
      <c r="H78" s="55"/>
      <c r="I78" s="55"/>
      <c r="M78" s="100"/>
    </row>
    <row r="79" spans="2:20" ht="15" thickBot="1" x14ac:dyDescent="0.35">
      <c r="B79" s="107" t="s">
        <v>277</v>
      </c>
      <c r="C79" s="108" t="s">
        <v>278</v>
      </c>
      <c r="D79" s="55"/>
      <c r="H79" s="75"/>
      <c r="I79" s="75"/>
      <c r="M79" s="70"/>
    </row>
    <row r="80" spans="2:20" x14ac:dyDescent="0.3">
      <c r="B80" s="77" t="s">
        <v>279</v>
      </c>
      <c r="C80" s="78" t="s">
        <v>280</v>
      </c>
      <c r="D80" s="110"/>
      <c r="E80" s="76"/>
      <c r="F80" s="69"/>
      <c r="G80" s="69"/>
      <c r="H80" s="69"/>
      <c r="I80" s="69"/>
      <c r="M80" s="70"/>
    </row>
    <row r="81" spans="2:13" x14ac:dyDescent="0.3">
      <c r="B81" s="77" t="s">
        <v>281</v>
      </c>
      <c r="C81" s="78" t="s">
        <v>282</v>
      </c>
      <c r="D81" s="111"/>
      <c r="E81" s="73"/>
      <c r="F81" s="70">
        <v>7.4499999999999997E-2</v>
      </c>
      <c r="G81" s="70">
        <v>9.4399999999999998E-2</v>
      </c>
      <c r="H81" s="70">
        <v>0.1106</v>
      </c>
      <c r="I81" s="70">
        <v>0.1249</v>
      </c>
      <c r="M81" s="70"/>
    </row>
    <row r="82" spans="2:13" x14ac:dyDescent="0.3">
      <c r="B82" s="77" t="s">
        <v>283</v>
      </c>
      <c r="C82" s="78" t="s">
        <v>284</v>
      </c>
      <c r="D82" s="111"/>
      <c r="E82" s="73"/>
      <c r="F82" s="70">
        <v>6.8400000000000002E-2</v>
      </c>
      <c r="G82" s="70">
        <v>0.1215</v>
      </c>
      <c r="H82" s="70">
        <v>0.104</v>
      </c>
      <c r="I82" s="70">
        <v>0.12470000000000001</v>
      </c>
      <c r="M82" s="70"/>
    </row>
    <row r="83" spans="2:13" x14ac:dyDescent="0.3">
      <c r="B83" s="77" t="s">
        <v>285</v>
      </c>
      <c r="C83" s="78" t="s">
        <v>286</v>
      </c>
      <c r="D83" s="111"/>
      <c r="E83" s="73"/>
      <c r="F83" s="70">
        <v>6.1999999999999998E-3</v>
      </c>
      <c r="G83" s="70">
        <v>-2.7099999999999999E-2</v>
      </c>
      <c r="H83" s="70">
        <v>6.6E-3</v>
      </c>
      <c r="I83" s="70">
        <v>2.0000000000000001E-4</v>
      </c>
      <c r="M83" s="70"/>
    </row>
    <row r="84" spans="2:13" ht="15" thickBot="1" x14ac:dyDescent="0.35">
      <c r="B84" s="77" t="s">
        <v>287</v>
      </c>
      <c r="C84" s="78" t="s">
        <v>288</v>
      </c>
      <c r="D84" s="111"/>
      <c r="E84" s="73"/>
      <c r="F84" s="70">
        <v>7.4499999999999997E-2</v>
      </c>
      <c r="G84" s="70">
        <v>9.4399999999999998E-2</v>
      </c>
      <c r="H84" s="70">
        <v>0.1106</v>
      </c>
      <c r="I84" s="70">
        <v>0.1249</v>
      </c>
      <c r="M84" s="81"/>
    </row>
    <row r="85" spans="2:13" ht="15" thickBot="1" x14ac:dyDescent="0.35">
      <c r="B85" s="79" t="s">
        <v>289</v>
      </c>
      <c r="C85" s="80" t="s">
        <v>290</v>
      </c>
      <c r="D85" s="112"/>
      <c r="E85" s="73"/>
      <c r="F85" s="70">
        <v>6.8400000000000002E-2</v>
      </c>
      <c r="G85" s="70">
        <v>0.1215</v>
      </c>
      <c r="H85" s="70">
        <v>0.104</v>
      </c>
      <c r="I85" s="70">
        <v>0.12470000000000001</v>
      </c>
    </row>
    <row r="86" spans="2:13" ht="15" thickBot="1" x14ac:dyDescent="0.35">
      <c r="E86" s="82"/>
      <c r="F86" s="81">
        <v>6.1999999999999998E-3</v>
      </c>
      <c r="G86" s="81">
        <v>-2.7099999999999999E-2</v>
      </c>
      <c r="H86" s="81">
        <v>6.6E-3</v>
      </c>
      <c r="I86" s="81">
        <v>2E-3</v>
      </c>
    </row>
    <row r="87" spans="2:13" ht="15" thickBot="1" x14ac:dyDescent="0.35">
      <c r="M87" s="84"/>
    </row>
    <row r="88" spans="2:13" ht="15" thickBot="1" x14ac:dyDescent="0.35">
      <c r="B88" s="83" t="s">
        <v>291</v>
      </c>
      <c r="C88" s="84"/>
      <c r="D88" s="113"/>
      <c r="M88" s="88"/>
    </row>
    <row r="89" spans="2:13" x14ac:dyDescent="0.3">
      <c r="B89" s="87" t="s">
        <v>297</v>
      </c>
      <c r="E89" s="76" t="s">
        <v>296</v>
      </c>
      <c r="F89" s="86" t="s">
        <v>295</v>
      </c>
      <c r="G89" s="86" t="s">
        <v>294</v>
      </c>
      <c r="H89" s="86" t="s">
        <v>293</v>
      </c>
      <c r="I89" s="85" t="s">
        <v>292</v>
      </c>
      <c r="M89" s="89"/>
    </row>
    <row r="90" spans="2:13" x14ac:dyDescent="0.3">
      <c r="B90" s="87" t="s">
        <v>298</v>
      </c>
      <c r="E90" s="73">
        <v>4.1000000000000002E-2</v>
      </c>
      <c r="F90" s="72">
        <v>4.9200000000000001E-2</v>
      </c>
      <c r="G90" s="72">
        <v>5.7799999999999997E-2</v>
      </c>
      <c r="H90" s="72">
        <v>7.0000000000000007E-2</v>
      </c>
      <c r="I90" s="72">
        <v>7.7499999999999999E-2</v>
      </c>
      <c r="M90" s="90"/>
    </row>
    <row r="91" spans="2:13" ht="15" thickBot="1" x14ac:dyDescent="0.35">
      <c r="B91" s="87" t="s">
        <v>299</v>
      </c>
      <c r="E91" s="89">
        <f>PRODUCT(E90,E97)</f>
        <v>127.346</v>
      </c>
      <c r="F91" s="89">
        <f>PRODUCT(F90,F97)</f>
        <v>152.9718457152</v>
      </c>
      <c r="G91" s="89">
        <f>PRODUCT(G90,G97)</f>
        <v>179.71082687679998</v>
      </c>
      <c r="H91" s="89">
        <f>PRODUCT(H90,H97)</f>
        <v>217.64286992000004</v>
      </c>
      <c r="I91" s="89">
        <f>PRODUCT(I90,I97)</f>
        <v>240.96174884000001</v>
      </c>
      <c r="M91" s="93"/>
    </row>
    <row r="92" spans="2:13" ht="15" thickBot="1" x14ac:dyDescent="0.35">
      <c r="B92" s="91" t="s">
        <v>300</v>
      </c>
      <c r="C92" s="92"/>
      <c r="D92" s="113"/>
      <c r="E92" s="90">
        <f>(E91/E77)</f>
        <v>1.7444657534246575</v>
      </c>
      <c r="F92" s="90">
        <f>(F91/F77)</f>
        <v>0.65936140394482756</v>
      </c>
      <c r="G92" s="90">
        <f>(G91/G77)</f>
        <v>0.61334753200273029</v>
      </c>
      <c r="H92" s="90">
        <f>(H91/H77)</f>
        <v>0.63268276139534896</v>
      </c>
      <c r="I92" s="90">
        <f>(I91/I77)</f>
        <v>0.61943894303341906</v>
      </c>
    </row>
    <row r="93" spans="2:13" ht="15" thickBot="1" x14ac:dyDescent="0.35">
      <c r="E93" s="93">
        <f>SUM(1,-E92)</f>
        <v>-0.74446575342465748</v>
      </c>
      <c r="F93" s="93">
        <f>SUM(1,-F92)</f>
        <v>0.34063859605517244</v>
      </c>
      <c r="G93" s="93">
        <f>SUM(1,-G92)</f>
        <v>0.38665246799726971</v>
      </c>
      <c r="H93" s="93">
        <f>SUM(1,-H92)</f>
        <v>0.36731723860465104</v>
      </c>
      <c r="I93" s="93">
        <f>SUM(1,-I92)</f>
        <v>0.38056105696658094</v>
      </c>
    </row>
    <row r="94" spans="2:13" ht="15" thickBot="1" x14ac:dyDescent="0.35">
      <c r="M94" s="67"/>
    </row>
    <row r="95" spans="2:13" ht="15" thickBot="1" x14ac:dyDescent="0.35">
      <c r="B95" s="94" t="s">
        <v>301</v>
      </c>
      <c r="C95" s="67"/>
      <c r="D95" s="114"/>
    </row>
    <row r="96" spans="2:13" ht="15" thickBot="1" x14ac:dyDescent="0.35">
      <c r="B96" s="97" t="s">
        <v>279</v>
      </c>
      <c r="E96" s="76"/>
      <c r="F96" s="86"/>
      <c r="G96" s="86"/>
      <c r="H96" s="96"/>
      <c r="I96" s="95"/>
    </row>
    <row r="97" spans="5:9" ht="15" thickBot="1" x14ac:dyDescent="0.35">
      <c r="E97" s="73">
        <v>3106</v>
      </c>
      <c r="F97" s="99">
        <v>3109.1838560000001</v>
      </c>
      <c r="G97" s="99">
        <v>3109.1838560000001</v>
      </c>
      <c r="H97" s="99">
        <v>3109.1838560000001</v>
      </c>
      <c r="I97" s="98">
        <v>3109.1838560000001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2F6-3F0D-4770-954F-DCD44B8A0D2B}">
  <dimension ref="A1:T434"/>
  <sheetViews>
    <sheetView topLeftCell="A68" zoomScaleNormal="100" workbookViewId="0">
      <selection activeCell="G53" sqref="G53"/>
    </sheetView>
  </sheetViews>
  <sheetFormatPr defaultRowHeight="14.4" outlineLevelRow="1" x14ac:dyDescent="0.3"/>
  <cols>
    <col min="1" max="1" width="2.88671875" customWidth="1"/>
    <col min="2" max="2" width="53.44140625" customWidth="1"/>
    <col min="3" max="3" width="8.109375" customWidth="1"/>
    <col min="4" max="8" width="14.33203125" bestFit="1" customWidth="1"/>
    <col min="9" max="9" width="28.6640625" customWidth="1"/>
  </cols>
  <sheetData>
    <row r="1" spans="1:18" ht="27" customHeight="1" x14ac:dyDescent="0.5">
      <c r="A1" s="132"/>
      <c r="B1" s="548" t="s">
        <v>340</v>
      </c>
      <c r="C1" s="549"/>
      <c r="D1" s="134"/>
      <c r="E1" s="134"/>
      <c r="F1" s="134"/>
      <c r="G1" s="134"/>
      <c r="H1" s="323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32"/>
      <c r="B2" s="324"/>
      <c r="C2" s="546" t="s">
        <v>158</v>
      </c>
      <c r="D2" s="546"/>
      <c r="E2" s="546"/>
      <c r="F2" s="546"/>
      <c r="G2" s="546"/>
      <c r="H2" s="547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customHeight="1" x14ac:dyDescent="0.3">
      <c r="A3" s="66"/>
      <c r="B3" s="265"/>
      <c r="C3" s="131" t="s">
        <v>1</v>
      </c>
      <c r="D3" s="133">
        <v>42369</v>
      </c>
      <c r="E3" s="133">
        <v>42735</v>
      </c>
      <c r="F3" s="133">
        <v>43100</v>
      </c>
      <c r="G3" s="133">
        <v>43465</v>
      </c>
      <c r="H3" s="325">
        <v>43830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/>
      <c r="B4" s="326"/>
      <c r="C4" s="5"/>
      <c r="D4" s="31"/>
      <c r="E4" s="29"/>
      <c r="F4" s="29"/>
      <c r="G4" s="29"/>
      <c r="H4" s="268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327" t="s">
        <v>353</v>
      </c>
      <c r="C5" s="146"/>
      <c r="D5" s="156">
        <f>'Balance sheet'!F16</f>
        <v>5067</v>
      </c>
      <c r="E5" s="148">
        <f>'Balance sheet'!G16</f>
        <v>5129</v>
      </c>
      <c r="F5" s="148">
        <f>'Balance sheet'!H16</f>
        <v>4606</v>
      </c>
      <c r="G5" s="148">
        <f>'Balance sheet'!I16</f>
        <v>4620</v>
      </c>
      <c r="H5" s="328">
        <f>'Balance sheet'!J16</f>
        <v>4869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A6" s="1"/>
      <c r="B6" s="327" t="s">
        <v>354</v>
      </c>
      <c r="C6" s="146"/>
      <c r="D6" s="156">
        <f>'Balance sheet'!F27</f>
        <v>1348</v>
      </c>
      <c r="E6" s="148">
        <f>'Balance sheet'!G27</f>
        <v>1704</v>
      </c>
      <c r="F6" s="148">
        <f>'Balance sheet'!H27</f>
        <v>1863</v>
      </c>
      <c r="G6" s="148">
        <f>'Balance sheet'!I27</f>
        <v>2302</v>
      </c>
      <c r="H6" s="328">
        <f>'Balance sheet'!J27</f>
        <v>2379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 s="1"/>
      <c r="B7" s="327" t="s">
        <v>349</v>
      </c>
      <c r="C7" s="146"/>
      <c r="D7" s="156">
        <v>137</v>
      </c>
      <c r="E7" s="148">
        <v>136</v>
      </c>
      <c r="F7" s="148">
        <v>107</v>
      </c>
      <c r="G7" s="148">
        <v>45</v>
      </c>
      <c r="H7" s="328">
        <v>65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">
      <c r="A8" s="1"/>
      <c r="B8" s="329" t="s">
        <v>355</v>
      </c>
      <c r="C8" s="330"/>
      <c r="D8" s="161">
        <f>SUM(D5:D7)</f>
        <v>6552</v>
      </c>
      <c r="E8" s="151">
        <f>SUM(E5:E7)</f>
        <v>6969</v>
      </c>
      <c r="F8" s="151">
        <f>SUM(F5:F7)</f>
        <v>6576</v>
      </c>
      <c r="G8" s="151">
        <f>SUM(G5:G7)</f>
        <v>6967</v>
      </c>
      <c r="H8" s="331">
        <f>SUM(H5:H7)</f>
        <v>7313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A9" s="1"/>
      <c r="B9" s="327"/>
      <c r="C9" s="146"/>
      <c r="D9" s="156"/>
      <c r="E9" s="148"/>
      <c r="F9" s="148"/>
      <c r="G9" s="148"/>
      <c r="H9" s="328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1"/>
      <c r="B10" s="327" t="s">
        <v>344</v>
      </c>
      <c r="C10" s="146"/>
      <c r="D10" s="156">
        <v>184</v>
      </c>
      <c r="E10" s="148">
        <v>159</v>
      </c>
      <c r="F10" s="148">
        <v>147</v>
      </c>
      <c r="G10" s="148">
        <v>187</v>
      </c>
      <c r="H10" s="328">
        <v>184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1"/>
      <c r="B11" s="327" t="s">
        <v>345</v>
      </c>
      <c r="C11" s="146"/>
      <c r="D11" s="156">
        <v>1485</v>
      </c>
      <c r="E11" s="148">
        <v>1821</v>
      </c>
      <c r="F11" s="148">
        <v>1671</v>
      </c>
      <c r="G11" s="148">
        <v>1781</v>
      </c>
      <c r="H11" s="328">
        <v>1852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 s="1"/>
      <c r="B12" s="327" t="s">
        <v>350</v>
      </c>
      <c r="C12" s="146"/>
      <c r="D12" s="156">
        <v>-1170</v>
      </c>
      <c r="E12" s="148">
        <v>-1384</v>
      </c>
      <c r="F12" s="148">
        <v>-1381</v>
      </c>
      <c r="G12" s="148">
        <v>-1413</v>
      </c>
      <c r="H12" s="328">
        <v>-1481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s="1"/>
      <c r="B13" s="332" t="s">
        <v>356</v>
      </c>
      <c r="C13" s="333"/>
      <c r="D13" s="164">
        <f>SUM(D10:D12)</f>
        <v>499</v>
      </c>
      <c r="E13" s="165">
        <f>SUM(E10:E12)</f>
        <v>596</v>
      </c>
      <c r="F13" s="165">
        <f>SUM(F10:F12)</f>
        <v>437</v>
      </c>
      <c r="G13" s="165">
        <f>SUM(G10:G12)</f>
        <v>555</v>
      </c>
      <c r="H13" s="334">
        <f>SUM(H10:H12)</f>
        <v>555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">
      <c r="A14" s="1"/>
      <c r="B14" s="335"/>
      <c r="C14" s="145"/>
      <c r="D14" s="155"/>
      <c r="E14" s="150"/>
      <c r="F14" s="150"/>
      <c r="G14" s="150"/>
      <c r="H14" s="336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7.25" customHeight="1" x14ac:dyDescent="0.3">
      <c r="A15" s="1"/>
      <c r="B15" s="327" t="s">
        <v>11</v>
      </c>
      <c r="C15" s="146"/>
      <c r="D15" s="156">
        <f>SUM(D16:D19)+D20</f>
        <v>636</v>
      </c>
      <c r="E15" s="148">
        <f>SUM(E16:E19)+E20</f>
        <v>695</v>
      </c>
      <c r="F15" s="148">
        <f>SUM(F16:F19)+F20</f>
        <v>563</v>
      </c>
      <c r="G15" s="148">
        <f>SUM(G16:G19)+G20</f>
        <v>510</v>
      </c>
      <c r="H15" s="328">
        <f>SUM(H16:H19)+H20</f>
        <v>665</v>
      </c>
      <c r="I15" s="1"/>
      <c r="J15" s="1"/>
      <c r="K15" s="1"/>
      <c r="L15" s="1"/>
      <c r="M15" s="1"/>
      <c r="N15" s="1"/>
      <c r="O15" s="1" t="s">
        <v>341</v>
      </c>
      <c r="P15" s="1"/>
      <c r="Q15" s="1"/>
      <c r="R15" s="1"/>
    </row>
    <row r="16" spans="1:18" outlineLevel="1" x14ac:dyDescent="0.3">
      <c r="A16" s="1"/>
      <c r="B16" s="327" t="s">
        <v>346</v>
      </c>
      <c r="C16" s="146"/>
      <c r="D16" s="156">
        <f>'Balance sheet'!F80</f>
        <v>183</v>
      </c>
      <c r="E16" s="148">
        <f>'Balance sheet'!G80</f>
        <v>389</v>
      </c>
      <c r="F16" s="148">
        <f>'Balance sheet'!H80</f>
        <v>216</v>
      </c>
      <c r="G16" s="148">
        <f>'Balance sheet'!I80</f>
        <v>313</v>
      </c>
      <c r="H16" s="328">
        <f>'Balance sheet'!J80</f>
        <v>567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outlineLevel="1" x14ac:dyDescent="0.3">
      <c r="A17" s="1"/>
      <c r="B17" s="327" t="s">
        <v>347</v>
      </c>
      <c r="C17" s="146"/>
      <c r="D17" s="156">
        <f>'Balance sheet'!F85</f>
        <v>171</v>
      </c>
      <c r="E17" s="148">
        <f>'Balance sheet'!G85</f>
        <v>218</v>
      </c>
      <c r="F17" s="148">
        <f>'Balance sheet'!H85</f>
        <v>8</v>
      </c>
      <c r="G17" s="148">
        <f>'Balance sheet'!I85</f>
        <v>16</v>
      </c>
      <c r="H17" s="328">
        <f>'Balance sheet'!J85</f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outlineLevel="1" x14ac:dyDescent="0.3">
      <c r="A18" s="1"/>
      <c r="B18" s="338" t="s">
        <v>31</v>
      </c>
      <c r="C18" s="158"/>
      <c r="D18" s="156">
        <f>'Balance sheet'!F40</f>
        <v>6</v>
      </c>
      <c r="E18" s="148">
        <f>'Balance sheet'!G40</f>
        <v>12</v>
      </c>
      <c r="F18" s="148">
        <f>'Balance sheet'!H40</f>
        <v>8</v>
      </c>
      <c r="G18" s="148">
        <f>'Balance sheet'!I40</f>
        <v>20</v>
      </c>
      <c r="H18" s="328">
        <f>'Balance sheet'!J40</f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outlineLevel="1" x14ac:dyDescent="0.3">
      <c r="A19" s="1"/>
      <c r="B19" s="327" t="s">
        <v>75</v>
      </c>
      <c r="C19" s="146"/>
      <c r="D19" s="155">
        <f>71</f>
        <v>71</v>
      </c>
      <c r="E19" s="150">
        <f>70</f>
        <v>70</v>
      </c>
      <c r="F19" s="150">
        <f>107</f>
        <v>107</v>
      </c>
      <c r="G19" s="150">
        <f>49</f>
        <v>49</v>
      </c>
      <c r="H19" s="336">
        <f>63</f>
        <v>63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customHeight="1" outlineLevel="1" x14ac:dyDescent="0.3">
      <c r="A20" s="1"/>
      <c r="B20" s="338" t="s">
        <v>348</v>
      </c>
      <c r="C20" s="146"/>
      <c r="D20" s="156">
        <f>'Balance sheet'!F91</f>
        <v>205</v>
      </c>
      <c r="E20" s="148">
        <f>'Balance sheet'!G91</f>
        <v>6</v>
      </c>
      <c r="F20" s="148">
        <f>'Balance sheet'!H91</f>
        <v>224</v>
      </c>
      <c r="G20" s="148">
        <f>'Balance sheet'!I91</f>
        <v>112</v>
      </c>
      <c r="H20" s="328">
        <f>'Balance sheet'!J91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1"/>
      <c r="B21" s="327" t="s">
        <v>368</v>
      </c>
      <c r="C21" s="146"/>
      <c r="D21" s="156">
        <f>SUM(D22:D25)</f>
        <v>-683</v>
      </c>
      <c r="E21" s="156">
        <f>SUM(E22:E25)</f>
        <v>-893</v>
      </c>
      <c r="F21" s="156">
        <f>SUM(F22:F25)</f>
        <v>-673</v>
      </c>
      <c r="G21" s="156">
        <f>SUM(G22:G25)</f>
        <v>-763</v>
      </c>
      <c r="H21" s="339">
        <f>SUM(H22:H25)</f>
        <v>-999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outlineLevel="1" x14ac:dyDescent="0.3">
      <c r="A22" s="1"/>
      <c r="B22" s="327" t="s">
        <v>120</v>
      </c>
      <c r="C22" s="146"/>
      <c r="D22" s="156">
        <v>-99</v>
      </c>
      <c r="E22" s="148">
        <v>-109</v>
      </c>
      <c r="F22" s="148">
        <v>-148</v>
      </c>
      <c r="G22" s="148">
        <v>-148</v>
      </c>
      <c r="H22" s="328">
        <v>-149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outlineLevel="1" x14ac:dyDescent="0.3">
      <c r="A23" s="1"/>
      <c r="B23" s="327" t="s">
        <v>153</v>
      </c>
      <c r="C23" s="146"/>
      <c r="D23" s="156">
        <v>-43</v>
      </c>
      <c r="E23" s="148">
        <v>-33</v>
      </c>
      <c r="F23" s="148">
        <v>-4</v>
      </c>
      <c r="G23" s="148">
        <v>-34</v>
      </c>
      <c r="H23" s="328">
        <v>-6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outlineLevel="1" x14ac:dyDescent="0.3">
      <c r="A24" s="1"/>
      <c r="B24" s="327" t="s">
        <v>351</v>
      </c>
      <c r="C24" s="146"/>
      <c r="D24" s="156">
        <v>-521</v>
      </c>
      <c r="E24" s="148">
        <v>-744</v>
      </c>
      <c r="F24" s="148">
        <v>-521</v>
      </c>
      <c r="G24" s="148">
        <v>-581</v>
      </c>
      <c r="H24" s="328">
        <v>-844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outlineLevel="1" x14ac:dyDescent="0.3">
      <c r="A25" s="1"/>
      <c r="B25" s="327" t="s">
        <v>402</v>
      </c>
      <c r="C25" s="146"/>
      <c r="D25" s="156">
        <v>-20</v>
      </c>
      <c r="E25" s="148">
        <v>-7</v>
      </c>
      <c r="F25" s="148">
        <v>0</v>
      </c>
      <c r="G25" s="148">
        <v>0</v>
      </c>
      <c r="H25" s="328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1"/>
      <c r="B26" s="329" t="s">
        <v>357</v>
      </c>
      <c r="C26" s="330"/>
      <c r="D26" s="161">
        <f>D13+D15+D21</f>
        <v>452</v>
      </c>
      <c r="E26" s="161">
        <f>E13+E15+E21</f>
        <v>398</v>
      </c>
      <c r="F26" s="161">
        <f>F13+F15+F21</f>
        <v>327</v>
      </c>
      <c r="G26" s="161">
        <f>G13+G15+G21</f>
        <v>302</v>
      </c>
      <c r="H26" s="340">
        <f>H13+H15+H21</f>
        <v>221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 s="1"/>
      <c r="B27" s="327"/>
      <c r="C27" s="146"/>
      <c r="D27" s="156"/>
      <c r="E27" s="148"/>
      <c r="F27" s="148"/>
      <c r="G27" s="148"/>
      <c r="H27" s="328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1"/>
      <c r="B28" s="327" t="s">
        <v>401</v>
      </c>
      <c r="C28" s="146"/>
      <c r="D28" s="156">
        <v>308</v>
      </c>
      <c r="E28" s="148">
        <v>341</v>
      </c>
      <c r="F28" s="148">
        <v>301</v>
      </c>
      <c r="G28" s="148">
        <v>264</v>
      </c>
      <c r="H28" s="328">
        <v>277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35"/>
      <c r="B29" s="327" t="s">
        <v>113</v>
      </c>
      <c r="C29" s="146"/>
      <c r="D29" s="156">
        <v>-332</v>
      </c>
      <c r="E29" s="148">
        <v>-365</v>
      </c>
      <c r="F29" s="148">
        <v>-319</v>
      </c>
      <c r="G29" s="148">
        <v>-314</v>
      </c>
      <c r="H29" s="328">
        <v>-307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327" t="s">
        <v>352</v>
      </c>
      <c r="C30" s="146"/>
      <c r="D30" s="156">
        <v>-576</v>
      </c>
      <c r="E30" s="148">
        <v>-671</v>
      </c>
      <c r="F30" s="148">
        <v>-625</v>
      </c>
      <c r="G30" s="148">
        <v>-642</v>
      </c>
      <c r="H30" s="328">
        <v>-676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customHeight="1" x14ac:dyDescent="0.3">
      <c r="A31" s="1"/>
      <c r="B31" s="341" t="s">
        <v>358</v>
      </c>
      <c r="C31" s="342"/>
      <c r="D31" s="160">
        <f>D8+D26+D28+D29+D30</f>
        <v>6404</v>
      </c>
      <c r="E31" s="160">
        <f>E8+E26+E28+E29+E30</f>
        <v>6672</v>
      </c>
      <c r="F31" s="160">
        <f>F8+F26+F28+F29+F30</f>
        <v>6260</v>
      </c>
      <c r="G31" s="160">
        <f>G8+G26+G28+G29+G30</f>
        <v>6577</v>
      </c>
      <c r="H31" s="343">
        <f>H8+H26+H28+H29+H30</f>
        <v>6828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327"/>
      <c r="C32" s="146"/>
      <c r="D32" s="156"/>
      <c r="E32" s="148"/>
      <c r="F32" s="148"/>
      <c r="G32" s="148"/>
      <c r="H32" s="328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 x14ac:dyDescent="0.3">
      <c r="A33" s="1"/>
      <c r="B33" s="327"/>
      <c r="C33" s="146"/>
      <c r="D33" s="156"/>
      <c r="E33" s="148"/>
      <c r="F33" s="148"/>
      <c r="G33" s="148"/>
      <c r="H33" s="328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 x14ac:dyDescent="0.3">
      <c r="A34" s="1"/>
      <c r="B34" s="327"/>
      <c r="C34" s="146"/>
      <c r="D34" s="156"/>
      <c r="E34" s="148"/>
      <c r="F34" s="148"/>
      <c r="G34" s="148"/>
      <c r="H34" s="328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ht="15" customHeight="1" x14ac:dyDescent="0.3">
      <c r="A35" s="1"/>
      <c r="B35" s="344" t="s">
        <v>365</v>
      </c>
      <c r="C35" s="345"/>
      <c r="D35" s="162">
        <v>-3259</v>
      </c>
      <c r="E35" s="163">
        <v>-3279</v>
      </c>
      <c r="F35" s="163">
        <v>-3013</v>
      </c>
      <c r="G35" s="163">
        <v>-3523</v>
      </c>
      <c r="H35" s="368">
        <v>-3651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0" x14ac:dyDescent="0.3">
      <c r="A36" s="1"/>
      <c r="B36" s="327"/>
      <c r="C36" s="146"/>
      <c r="D36" s="156"/>
      <c r="E36" s="148"/>
      <c r="F36" s="148"/>
      <c r="G36" s="148"/>
      <c r="H36" s="32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customHeight="1" x14ac:dyDescent="0.3">
      <c r="A37" s="1"/>
      <c r="B37" s="327" t="s">
        <v>105</v>
      </c>
      <c r="C37" s="146"/>
      <c r="D37" s="156">
        <v>-3089</v>
      </c>
      <c r="E37" s="148">
        <v>-3436</v>
      </c>
      <c r="F37" s="148">
        <v>-3501</v>
      </c>
      <c r="G37" s="148">
        <v>-2984</v>
      </c>
      <c r="H37" s="328">
        <v>-3307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8"/>
      <c r="B38" s="327" t="s">
        <v>150</v>
      </c>
      <c r="C38" s="146"/>
      <c r="D38" s="156">
        <v>-692</v>
      </c>
      <c r="E38" s="148">
        <v>-359</v>
      </c>
      <c r="F38" s="148">
        <v>-437</v>
      </c>
      <c r="G38" s="148">
        <v>-694</v>
      </c>
      <c r="H38" s="328">
        <v>-304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37"/>
      <c r="B39" s="346" t="s">
        <v>364</v>
      </c>
      <c r="C39" s="347"/>
      <c r="D39" s="166">
        <f>D37+D38</f>
        <v>-3781</v>
      </c>
      <c r="E39" s="167">
        <f>E37+E38</f>
        <v>-3795</v>
      </c>
      <c r="F39" s="167">
        <f>F37+F38</f>
        <v>-3938</v>
      </c>
      <c r="G39" s="167">
        <f>G37+G38</f>
        <v>-3678</v>
      </c>
      <c r="H39" s="499">
        <f>H37+H38</f>
        <v>-3611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1"/>
      <c r="B40" s="337"/>
      <c r="C40" s="147"/>
      <c r="D40" s="157"/>
      <c r="E40" s="149"/>
      <c r="F40" s="149"/>
      <c r="G40" s="149"/>
      <c r="H40" s="349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1"/>
      <c r="B41" s="327" t="s">
        <v>77</v>
      </c>
      <c r="C41" s="146"/>
      <c r="D41" s="156">
        <v>636</v>
      </c>
      <c r="E41" s="148">
        <v>402</v>
      </c>
      <c r="F41" s="148">
        <v>691</v>
      </c>
      <c r="G41" s="148">
        <v>624</v>
      </c>
      <c r="H41" s="328">
        <v>434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1"/>
      <c r="B42" s="329" t="s">
        <v>359</v>
      </c>
      <c r="C42" s="330"/>
      <c r="D42" s="151">
        <f>D39+D41</f>
        <v>-3145</v>
      </c>
      <c r="E42" s="151">
        <f>E39+E41</f>
        <v>-3393</v>
      </c>
      <c r="F42" s="151">
        <f>F39+F41</f>
        <v>-3247</v>
      </c>
      <c r="G42" s="151">
        <f>G39+G41</f>
        <v>-3054</v>
      </c>
      <c r="H42" s="331">
        <f>H39+H41</f>
        <v>-3177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1"/>
      <c r="B43" s="327"/>
      <c r="C43" s="146"/>
      <c r="D43" s="156"/>
      <c r="E43" s="148"/>
      <c r="F43" s="148"/>
      <c r="G43" s="148"/>
      <c r="H43" s="32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1"/>
      <c r="B44" s="341" t="s">
        <v>358</v>
      </c>
      <c r="C44" s="342"/>
      <c r="D44" s="160">
        <f>D35+D42</f>
        <v>-6404</v>
      </c>
      <c r="E44" s="153">
        <f>E35+E42</f>
        <v>-6672</v>
      </c>
      <c r="F44" s="153">
        <f>F35+F42</f>
        <v>-6260</v>
      </c>
      <c r="G44" s="153">
        <f>G35+G42</f>
        <v>-6577</v>
      </c>
      <c r="H44" s="528">
        <f>H35+H42</f>
        <v>-6828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0" ht="15" thickBot="1" x14ac:dyDescent="0.35">
      <c r="A45" s="1"/>
      <c r="B45" s="500" t="s">
        <v>371</v>
      </c>
      <c r="C45" s="501"/>
      <c r="D45" s="502">
        <f>D31+D44</f>
        <v>0</v>
      </c>
      <c r="E45" s="502">
        <f>E31+E44</f>
        <v>0</v>
      </c>
      <c r="F45" s="502">
        <f>F31+F44</f>
        <v>0</v>
      </c>
      <c r="G45" s="502">
        <f>G31+G44</f>
        <v>0</v>
      </c>
      <c r="H45" s="503">
        <f>H31+H44</f>
        <v>0</v>
      </c>
      <c r="I45" s="254"/>
      <c r="J45" s="1"/>
      <c r="K45" s="1"/>
      <c r="L45" s="1"/>
      <c r="M45" s="1"/>
      <c r="N45" s="1"/>
      <c r="O45" s="1"/>
      <c r="P45" s="1"/>
      <c r="Q45" s="1"/>
      <c r="R45" s="1"/>
    </row>
    <row r="46" spans="1:20" x14ac:dyDescent="0.3">
      <c r="A46" s="1"/>
      <c r="B46" s="175"/>
      <c r="C46" s="176"/>
      <c r="D46" s="176"/>
      <c r="E46" s="176"/>
      <c r="F46" s="176"/>
      <c r="G46" s="176"/>
      <c r="H46" s="176"/>
      <c r="J46" s="1"/>
      <c r="K46" s="1"/>
      <c r="L46" s="1"/>
      <c r="M46" s="1"/>
      <c r="N46" s="1"/>
      <c r="O46" s="1"/>
      <c r="P46" s="1"/>
      <c r="Q46" s="1"/>
      <c r="R46" s="1"/>
    </row>
    <row r="47" spans="1:20" ht="15" thickBot="1" x14ac:dyDescent="0.35">
      <c r="B47" s="177"/>
      <c r="C47" s="178"/>
      <c r="D47" s="177"/>
      <c r="E47" s="177"/>
      <c r="F47" s="177"/>
      <c r="G47" s="177"/>
      <c r="H47" s="177"/>
      <c r="I47" s="1"/>
      <c r="J47" s="5"/>
      <c r="K47" s="1"/>
      <c r="L47" s="1"/>
      <c r="M47" s="1"/>
      <c r="N47" s="1"/>
      <c r="O47" s="1"/>
      <c r="P47" s="1"/>
      <c r="Q47" s="1"/>
      <c r="R47" s="1"/>
    </row>
    <row r="48" spans="1:20" ht="27" customHeight="1" x14ac:dyDescent="0.5">
      <c r="A48" s="529"/>
      <c r="B48" s="354" t="s">
        <v>302</v>
      </c>
      <c r="C48" s="355"/>
      <c r="D48" s="355"/>
      <c r="E48" s="355"/>
      <c r="F48" s="355"/>
      <c r="G48" s="355"/>
      <c r="H48" s="356"/>
      <c r="I48" s="1"/>
      <c r="J48" s="154"/>
      <c r="K48" s="1"/>
      <c r="L48" s="1"/>
      <c r="M48" s="1"/>
      <c r="N48" s="1"/>
      <c r="O48" s="1"/>
      <c r="P48" s="1"/>
      <c r="Q48" s="1"/>
      <c r="R48" s="1"/>
    </row>
    <row r="49" spans="1:18" ht="15" customHeight="1" x14ac:dyDescent="0.3">
      <c r="A49" s="324"/>
      <c r="B49" s="357"/>
      <c r="C49" s="116"/>
      <c r="D49" s="550" t="s">
        <v>163</v>
      </c>
      <c r="E49" s="550"/>
      <c r="F49" s="550"/>
      <c r="G49" s="550"/>
      <c r="H49" s="551"/>
      <c r="I49" s="5"/>
      <c r="J49" s="1"/>
      <c r="K49" s="1"/>
      <c r="L49" s="1"/>
      <c r="M49" s="1"/>
      <c r="N49" s="1"/>
      <c r="O49" s="1"/>
      <c r="P49" s="1"/>
      <c r="Q49" s="1"/>
      <c r="R49" s="1"/>
    </row>
    <row r="50" spans="1:18" ht="15" customHeight="1" x14ac:dyDescent="0.3">
      <c r="A50" s="265"/>
      <c r="B50" s="358"/>
      <c r="C50" s="130" t="s">
        <v>1</v>
      </c>
      <c r="D50" s="117">
        <v>42369</v>
      </c>
      <c r="E50" s="117">
        <v>42735</v>
      </c>
      <c r="F50" s="117">
        <v>43100</v>
      </c>
      <c r="G50" s="117">
        <v>43465</v>
      </c>
      <c r="H50" s="266">
        <v>43830</v>
      </c>
      <c r="I50" s="154"/>
      <c r="J50" s="1"/>
      <c r="K50" s="1"/>
      <c r="L50" s="1"/>
      <c r="M50" s="1"/>
      <c r="N50" s="1"/>
      <c r="O50" s="1" t="s">
        <v>342</v>
      </c>
      <c r="P50" s="1"/>
      <c r="Q50" s="1"/>
      <c r="R50" s="1"/>
    </row>
    <row r="51" spans="1:18" x14ac:dyDescent="0.3">
      <c r="A51" s="267"/>
      <c r="B51" s="360"/>
      <c r="C51" s="176"/>
      <c r="D51" s="182"/>
      <c r="E51" s="183"/>
      <c r="F51" s="183"/>
      <c r="G51" s="183"/>
      <c r="H51" s="36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267"/>
      <c r="B52" s="326" t="s">
        <v>370</v>
      </c>
      <c r="C52" s="176"/>
      <c r="D52" s="155">
        <f>SUM(D55:D56)</f>
        <v>4921</v>
      </c>
      <c r="E52" s="150">
        <f>SUM(E55:E56)</f>
        <v>4860</v>
      </c>
      <c r="F52" s="150">
        <f>SUM(F55:F56)</f>
        <v>5796</v>
      </c>
      <c r="G52" s="150">
        <f>SUM(G55:G56)</f>
        <v>6494</v>
      </c>
      <c r="H52" s="336">
        <f>SUM(H55:H56)</f>
        <v>7324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outlineLevel="1" x14ac:dyDescent="0.3">
      <c r="A53" s="267"/>
      <c r="B53" s="185" t="s">
        <v>167</v>
      </c>
      <c r="C53" s="176"/>
      <c r="D53" s="156">
        <v>3947</v>
      </c>
      <c r="E53" s="148">
        <v>3734</v>
      </c>
      <c r="F53" s="148">
        <v>4633</v>
      </c>
      <c r="G53" s="148">
        <v>5268</v>
      </c>
      <c r="H53" s="328">
        <v>6046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outlineLevel="1" x14ac:dyDescent="0.3">
      <c r="A54" s="267"/>
      <c r="B54" s="185" t="s">
        <v>169</v>
      </c>
      <c r="C54" s="176"/>
      <c r="D54" s="156">
        <v>785</v>
      </c>
      <c r="E54" s="148">
        <v>847</v>
      </c>
      <c r="F54" s="148">
        <v>957</v>
      </c>
      <c r="G54" s="148">
        <v>1003</v>
      </c>
      <c r="H54" s="328">
        <v>1076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outlineLevel="1" x14ac:dyDescent="0.3">
      <c r="A55" s="267"/>
      <c r="B55" s="505" t="s">
        <v>171</v>
      </c>
      <c r="C55" s="176"/>
      <c r="D55" s="157">
        <f>SUM(D53:D54)</f>
        <v>4732</v>
      </c>
      <c r="E55" s="149">
        <f>SUM(E53:E54)</f>
        <v>4581</v>
      </c>
      <c r="F55" s="149">
        <f>SUM(F53:F54)</f>
        <v>5590</v>
      </c>
      <c r="G55" s="149">
        <f>SUM(G53:G54)</f>
        <v>6271</v>
      </c>
      <c r="H55" s="349">
        <f>SUM(H53:H54)</f>
        <v>7122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outlineLevel="1" x14ac:dyDescent="0.3">
      <c r="A56" s="267"/>
      <c r="B56" s="185" t="s">
        <v>173</v>
      </c>
      <c r="C56" s="176"/>
      <c r="D56" s="156">
        <v>189</v>
      </c>
      <c r="E56" s="148">
        <v>279</v>
      </c>
      <c r="F56" s="148">
        <v>206</v>
      </c>
      <c r="G56" s="146">
        <v>223</v>
      </c>
      <c r="H56" s="328">
        <v>202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3">
      <c r="A57" s="267"/>
      <c r="B57" s="185"/>
      <c r="C57" s="176"/>
      <c r="D57" s="156"/>
      <c r="E57" s="156"/>
      <c r="F57" s="148"/>
      <c r="G57" s="148"/>
      <c r="H57" s="328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">
      <c r="A58" s="267"/>
      <c r="B58" s="185" t="s">
        <v>177</v>
      </c>
      <c r="C58" s="176"/>
      <c r="D58" s="156">
        <v>-2286</v>
      </c>
      <c r="E58" s="156">
        <v>-2101</v>
      </c>
      <c r="F58" s="148">
        <v>-2831</v>
      </c>
      <c r="G58" s="148">
        <v>-3346</v>
      </c>
      <c r="H58" s="328">
        <v>-4004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">
      <c r="A59" s="267"/>
      <c r="B59" s="185" t="s">
        <v>179</v>
      </c>
      <c r="C59" s="176"/>
      <c r="D59" s="156">
        <v>-706</v>
      </c>
      <c r="E59" s="156">
        <v>-758</v>
      </c>
      <c r="F59" s="148">
        <v>-850</v>
      </c>
      <c r="G59" s="148">
        <v>-986</v>
      </c>
      <c r="H59" s="328">
        <v>-1152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">
      <c r="A60" s="267"/>
      <c r="B60" s="185" t="s">
        <v>183</v>
      </c>
      <c r="C60" s="176"/>
      <c r="D60" s="156">
        <v>-252</v>
      </c>
      <c r="E60" s="156">
        <v>-243</v>
      </c>
      <c r="F60" s="148">
        <v>-281</v>
      </c>
      <c r="G60" s="148">
        <v>-266</v>
      </c>
      <c r="H60" s="328">
        <v>-234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">
      <c r="A61" s="267"/>
      <c r="B61" s="185" t="s">
        <v>360</v>
      </c>
      <c r="C61" s="176"/>
      <c r="D61" s="156">
        <f>-SUM(D66:D67)</f>
        <v>-629</v>
      </c>
      <c r="E61" s="156">
        <f>-SUM(E66:E67)</f>
        <v>-596</v>
      </c>
      <c r="F61" s="148">
        <f>-SUM(F66:F67)</f>
        <v>-635</v>
      </c>
      <c r="G61" s="148">
        <f>-SUM(G66:G67)</f>
        <v>-665</v>
      </c>
      <c r="H61" s="328">
        <f>-SUM(H66:H67)</f>
        <v>-700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idden="1" outlineLevel="1" x14ac:dyDescent="0.3">
      <c r="A62" s="267"/>
      <c r="B62" s="185" t="s">
        <v>187</v>
      </c>
      <c r="C62" s="176"/>
      <c r="D62" s="156">
        <v>441</v>
      </c>
      <c r="E62" s="156">
        <v>433</v>
      </c>
      <c r="F62" s="148">
        <v>471</v>
      </c>
      <c r="G62" s="148">
        <v>494</v>
      </c>
      <c r="H62" s="328">
        <v>527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idden="1" outlineLevel="1" x14ac:dyDescent="0.3">
      <c r="A63" s="267"/>
      <c r="B63" s="185" t="s">
        <v>189</v>
      </c>
      <c r="C63" s="176"/>
      <c r="D63" s="156">
        <v>163</v>
      </c>
      <c r="E63" s="156">
        <v>146</v>
      </c>
      <c r="F63" s="148">
        <v>160</v>
      </c>
      <c r="G63" s="148">
        <v>173</v>
      </c>
      <c r="H63" s="328">
        <v>179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idden="1" outlineLevel="1" x14ac:dyDescent="0.3">
      <c r="A64" s="267"/>
      <c r="B64" s="185" t="s">
        <v>191</v>
      </c>
      <c r="C64" s="176"/>
      <c r="D64" s="156">
        <v>25</v>
      </c>
      <c r="E64" s="156">
        <v>26</v>
      </c>
      <c r="F64" s="148">
        <v>29</v>
      </c>
      <c r="G64" s="148">
        <v>31</v>
      </c>
      <c r="H64" s="328">
        <v>31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idden="1" outlineLevel="1" x14ac:dyDescent="0.3">
      <c r="A65" s="267"/>
      <c r="B65" s="185" t="s">
        <v>192</v>
      </c>
      <c r="C65" s="176"/>
      <c r="D65" s="156">
        <v>27</v>
      </c>
      <c r="E65" s="156">
        <v>36</v>
      </c>
      <c r="F65" s="148">
        <v>27</v>
      </c>
      <c r="G65" s="148">
        <v>33</v>
      </c>
      <c r="H65" s="328">
        <v>42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idden="1" outlineLevel="1" x14ac:dyDescent="0.3">
      <c r="A66" s="267"/>
      <c r="B66" s="505" t="s">
        <v>194</v>
      </c>
      <c r="C66" s="176"/>
      <c r="D66" s="157">
        <f>SUM(D62:D65)</f>
        <v>656</v>
      </c>
      <c r="E66" s="157">
        <f>SUM(E62:E65)</f>
        <v>641</v>
      </c>
      <c r="F66" s="149">
        <f>SUM(F62:F65)</f>
        <v>687</v>
      </c>
      <c r="G66" s="149">
        <f t="shared" ref="G66" si="0">SUM(G62:G65)</f>
        <v>731</v>
      </c>
      <c r="H66" s="349">
        <f>SUM(H62:H65)</f>
        <v>779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idden="1" outlineLevel="1" x14ac:dyDescent="0.3">
      <c r="A67" s="267"/>
      <c r="B67" s="185" t="s">
        <v>196</v>
      </c>
      <c r="C67" s="176"/>
      <c r="D67" s="156">
        <v>-27</v>
      </c>
      <c r="E67" s="156">
        <v>-45</v>
      </c>
      <c r="F67" s="148">
        <v>-52</v>
      </c>
      <c r="G67" s="148">
        <v>-66</v>
      </c>
      <c r="H67" s="328">
        <v>-79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collapsed="1" x14ac:dyDescent="0.3">
      <c r="A68" s="267"/>
      <c r="B68" s="506" t="s">
        <v>369</v>
      </c>
      <c r="C68" s="179"/>
      <c r="D68" s="164">
        <f>SUM(D58:D61)</f>
        <v>-3873</v>
      </c>
      <c r="E68" s="164">
        <f>SUM(E58:E61)</f>
        <v>-3698</v>
      </c>
      <c r="F68" s="165">
        <f>SUM(F58:F61)</f>
        <v>-4597</v>
      </c>
      <c r="G68" s="165">
        <f>SUM(G58:G61)</f>
        <v>-5263</v>
      </c>
      <c r="H68" s="334">
        <f>SUM(H58:H61)</f>
        <v>-6090</v>
      </c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">
      <c r="A69" s="267"/>
      <c r="B69" s="326"/>
      <c r="C69" s="176"/>
      <c r="D69" s="156"/>
      <c r="E69" s="156"/>
      <c r="F69" s="148"/>
      <c r="G69" s="148"/>
      <c r="H69" s="328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">
      <c r="A70" s="267"/>
      <c r="B70" s="362" t="s">
        <v>306</v>
      </c>
      <c r="C70" s="180"/>
      <c r="D70" s="161">
        <f>SUM(D52,D68)</f>
        <v>1048</v>
      </c>
      <c r="E70" s="161">
        <f>SUM(E52,E68)</f>
        <v>1162</v>
      </c>
      <c r="F70" s="151">
        <f>SUM(F52,F68)</f>
        <v>1199</v>
      </c>
      <c r="G70" s="151">
        <f>SUM(G52,G68)</f>
        <v>1231</v>
      </c>
      <c r="H70" s="331">
        <f>SUM(H52,H68)</f>
        <v>1234</v>
      </c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">
      <c r="A71" s="267"/>
      <c r="B71" s="185"/>
      <c r="C71" s="176"/>
      <c r="D71" s="248"/>
      <c r="E71" s="248"/>
      <c r="F71" s="152"/>
      <c r="G71" s="152"/>
      <c r="H71" s="508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">
      <c r="A72" s="267"/>
      <c r="B72" s="185" t="s">
        <v>361</v>
      </c>
      <c r="C72" s="176"/>
      <c r="D72" s="156">
        <f>-SUM(D73:D75)</f>
        <v>-754</v>
      </c>
      <c r="E72" s="156">
        <f t="shared" ref="E72:H72" si="1">-SUM(E73:E75)</f>
        <v>-648</v>
      </c>
      <c r="F72" s="148">
        <f t="shared" si="1"/>
        <v>-444</v>
      </c>
      <c r="G72" s="148">
        <f t="shared" si="1"/>
        <v>-623</v>
      </c>
      <c r="H72" s="328">
        <f t="shared" si="1"/>
        <v>-511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idden="1" outlineLevel="1" x14ac:dyDescent="0.3">
      <c r="A73" s="267"/>
      <c r="B73" s="185" t="s">
        <v>202</v>
      </c>
      <c r="C73" s="176"/>
      <c r="D73" s="156">
        <v>54</v>
      </c>
      <c r="E73" s="156">
        <v>55</v>
      </c>
      <c r="F73" s="148">
        <v>72</v>
      </c>
      <c r="G73" s="148">
        <v>91</v>
      </c>
      <c r="H73" s="328">
        <v>123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idden="1" outlineLevel="1" x14ac:dyDescent="0.3">
      <c r="A74" s="267"/>
      <c r="B74" s="185" t="s">
        <v>204</v>
      </c>
      <c r="C74" s="176"/>
      <c r="D74" s="156">
        <v>341</v>
      </c>
      <c r="E74" s="156">
        <v>348</v>
      </c>
      <c r="F74" s="148">
        <v>338</v>
      </c>
      <c r="G74" s="148">
        <v>372</v>
      </c>
      <c r="H74" s="328">
        <v>379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idden="1" outlineLevel="1" x14ac:dyDescent="0.3">
      <c r="A75" s="326"/>
      <c r="B75" s="185" t="s">
        <v>206</v>
      </c>
      <c r="C75" s="176"/>
      <c r="D75" s="156">
        <v>359</v>
      </c>
      <c r="E75" s="156">
        <v>245</v>
      </c>
      <c r="F75" s="148">
        <v>34</v>
      </c>
      <c r="G75" s="148">
        <v>160</v>
      </c>
      <c r="H75" s="328">
        <v>9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collapsed="1" x14ac:dyDescent="0.3">
      <c r="A76" s="326"/>
      <c r="B76" s="185" t="s">
        <v>486</v>
      </c>
      <c r="C76" s="176"/>
      <c r="D76" s="157">
        <f>-SUM(D77:D78)</f>
        <v>-79</v>
      </c>
      <c r="E76" s="157">
        <f t="shared" ref="E76:H76" si="2">-SUM(E77:E78)</f>
        <v>-71</v>
      </c>
      <c r="F76" s="149">
        <f t="shared" si="2"/>
        <v>-45</v>
      </c>
      <c r="G76" s="149">
        <f t="shared" si="2"/>
        <v>-20</v>
      </c>
      <c r="H76" s="349">
        <f t="shared" si="2"/>
        <v>-36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idden="1" outlineLevel="1" x14ac:dyDescent="0.3">
      <c r="A77" s="267"/>
      <c r="B77" s="185" t="s">
        <v>210</v>
      </c>
      <c r="C77" s="176"/>
      <c r="D77" s="156">
        <v>57</v>
      </c>
      <c r="E77" s="156">
        <v>50</v>
      </c>
      <c r="F77" s="148">
        <v>10</v>
      </c>
      <c r="G77" s="148">
        <v>-5</v>
      </c>
      <c r="H77" s="328">
        <v>21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28.8" hidden="1" outlineLevel="1" x14ac:dyDescent="0.3">
      <c r="A78" s="267"/>
      <c r="B78" s="509" t="s">
        <v>212</v>
      </c>
      <c r="C78" s="176"/>
      <c r="D78" s="156">
        <v>22</v>
      </c>
      <c r="E78" s="156">
        <v>21</v>
      </c>
      <c r="F78" s="148">
        <v>35</v>
      </c>
      <c r="G78" s="148">
        <v>25</v>
      </c>
      <c r="H78" s="328">
        <v>15</v>
      </c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collapsed="1" x14ac:dyDescent="0.3">
      <c r="A79" s="267"/>
      <c r="B79" s="326"/>
      <c r="C79" s="176"/>
      <c r="D79" s="155"/>
      <c r="E79" s="156"/>
      <c r="F79" s="150"/>
      <c r="G79" s="150"/>
      <c r="H79" s="336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">
      <c r="A80" s="267"/>
      <c r="B80" s="362" t="s">
        <v>303</v>
      </c>
      <c r="C80" s="180"/>
      <c r="D80" s="161">
        <f>SUM(D70,D72,D76)</f>
        <v>215</v>
      </c>
      <c r="E80" s="161">
        <f>SUM(E70,E72,E76)</f>
        <v>443</v>
      </c>
      <c r="F80" s="151">
        <f>SUM(F70,F72,F76)</f>
        <v>710</v>
      </c>
      <c r="G80" s="151">
        <f>SUM(G70,G72,G76)</f>
        <v>588</v>
      </c>
      <c r="H80" s="331">
        <f>SUM(H70,H72,H76)</f>
        <v>687</v>
      </c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customHeight="1" x14ac:dyDescent="0.3">
      <c r="A81" s="267"/>
      <c r="B81" s="326"/>
      <c r="C81" s="176"/>
      <c r="D81" s="155"/>
      <c r="E81" s="156"/>
      <c r="F81" s="150"/>
      <c r="G81" s="150"/>
      <c r="H81" s="336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">
      <c r="A82" s="267"/>
      <c r="B82" s="185" t="s">
        <v>217</v>
      </c>
      <c r="C82" s="176"/>
      <c r="D82" s="156">
        <v>1</v>
      </c>
      <c r="E82" s="156">
        <v>52</v>
      </c>
      <c r="F82" s="148">
        <v>0</v>
      </c>
      <c r="G82" s="148">
        <v>14</v>
      </c>
      <c r="H82" s="328">
        <v>4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">
      <c r="A83" s="185"/>
      <c r="B83" s="185" t="s">
        <v>219</v>
      </c>
      <c r="C83" s="176"/>
      <c r="D83" s="156">
        <f>SUM(D87,-D96,D97)</f>
        <v>-138</v>
      </c>
      <c r="E83" s="156">
        <f t="shared" ref="E83:H83" si="3">SUM(E87,-E96,E97)</f>
        <v>-161</v>
      </c>
      <c r="F83" s="148">
        <f t="shared" si="3"/>
        <v>-134</v>
      </c>
      <c r="G83" s="148">
        <f t="shared" si="3"/>
        <v>-112</v>
      </c>
      <c r="H83" s="328">
        <f t="shared" si="3"/>
        <v>-110</v>
      </c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idden="1" outlineLevel="1" x14ac:dyDescent="0.3">
      <c r="A84" s="267"/>
      <c r="B84" s="185" t="s">
        <v>221</v>
      </c>
      <c r="C84" s="176"/>
      <c r="D84" s="156"/>
      <c r="E84" s="156"/>
      <c r="F84" s="148"/>
      <c r="G84" s="148"/>
      <c r="H84" s="328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idden="1" outlineLevel="1" x14ac:dyDescent="0.3">
      <c r="A85" s="267"/>
      <c r="B85" s="185" t="s">
        <v>223</v>
      </c>
      <c r="C85" s="176"/>
      <c r="D85" s="156"/>
      <c r="E85" s="156"/>
      <c r="F85" s="148"/>
      <c r="G85" s="148">
        <v>0</v>
      </c>
      <c r="H85" s="328">
        <v>4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idden="1" outlineLevel="1" x14ac:dyDescent="0.3">
      <c r="A86" s="530"/>
      <c r="B86" s="185" t="s">
        <v>224</v>
      </c>
      <c r="C86" s="176"/>
      <c r="D86" s="156"/>
      <c r="E86" s="156"/>
      <c r="F86" s="148"/>
      <c r="G86" s="148">
        <v>16</v>
      </c>
      <c r="H86" s="328">
        <v>12</v>
      </c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idden="1" outlineLevel="1" x14ac:dyDescent="0.3">
      <c r="A87" s="267"/>
      <c r="B87" s="185" t="s">
        <v>225</v>
      </c>
      <c r="C87" s="176"/>
      <c r="D87" s="156">
        <v>28</v>
      </c>
      <c r="E87" s="156">
        <v>34</v>
      </c>
      <c r="F87" s="148">
        <v>19</v>
      </c>
      <c r="G87" s="148">
        <f t="shared" ref="G87" si="4">SUM(G85:G86)</f>
        <v>16</v>
      </c>
      <c r="H87" s="328">
        <f>SUM(H85:H86)</f>
        <v>16</v>
      </c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idden="1" outlineLevel="1" x14ac:dyDescent="0.3">
      <c r="A88" s="185"/>
      <c r="B88" s="185" t="s">
        <v>226</v>
      </c>
      <c r="C88" s="176"/>
      <c r="D88" s="156"/>
      <c r="E88" s="156"/>
      <c r="F88" s="148"/>
      <c r="G88" s="148"/>
      <c r="H88" s="328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idden="1" outlineLevel="1" x14ac:dyDescent="0.3">
      <c r="A89" s="267"/>
      <c r="B89" s="185" t="s">
        <v>228</v>
      </c>
      <c r="C89" s="176"/>
      <c r="D89" s="156">
        <v>125</v>
      </c>
      <c r="E89" s="156">
        <v>125</v>
      </c>
      <c r="F89" s="148">
        <v>104</v>
      </c>
      <c r="G89" s="148">
        <v>102</v>
      </c>
      <c r="H89" s="328">
        <v>94</v>
      </c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idden="1" outlineLevel="1" x14ac:dyDescent="0.3">
      <c r="A90" s="267"/>
      <c r="B90" s="185" t="s">
        <v>230</v>
      </c>
      <c r="C90" s="176"/>
      <c r="D90" s="156">
        <v>15</v>
      </c>
      <c r="E90" s="156">
        <v>9</v>
      </c>
      <c r="F90" s="148">
        <v>9</v>
      </c>
      <c r="G90" s="148">
        <v>6</v>
      </c>
      <c r="H90" s="328">
        <v>4</v>
      </c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idden="1" outlineLevel="1" x14ac:dyDescent="0.3">
      <c r="A91" s="267"/>
      <c r="B91" s="185" t="s">
        <v>232</v>
      </c>
      <c r="C91" s="176"/>
      <c r="D91" s="156">
        <v>5</v>
      </c>
      <c r="E91" s="156">
        <v>6</v>
      </c>
      <c r="F91" s="148">
        <v>8</v>
      </c>
      <c r="G91" s="148">
        <v>8</v>
      </c>
      <c r="H91" s="328">
        <v>7</v>
      </c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idden="1" outlineLevel="1" x14ac:dyDescent="0.3">
      <c r="A92" s="267"/>
      <c r="B92" s="185" t="s">
        <v>234</v>
      </c>
      <c r="C92" s="176"/>
      <c r="D92" s="156">
        <v>0</v>
      </c>
      <c r="E92" s="156">
        <v>1</v>
      </c>
      <c r="F92" s="148">
        <v>2</v>
      </c>
      <c r="G92" s="148">
        <v>2</v>
      </c>
      <c r="H92" s="328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idden="1" outlineLevel="1" x14ac:dyDescent="0.3">
      <c r="A93" s="267"/>
      <c r="B93" s="185" t="s">
        <v>236</v>
      </c>
      <c r="C93" s="176"/>
      <c r="D93" s="156">
        <v>17</v>
      </c>
      <c r="E93" s="156">
        <v>51</v>
      </c>
      <c r="F93" s="148">
        <v>35</v>
      </c>
      <c r="G93" s="148">
        <v>14</v>
      </c>
      <c r="H93" s="328">
        <v>24</v>
      </c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idden="1" outlineLevel="1" x14ac:dyDescent="0.3">
      <c r="A94" s="267"/>
      <c r="B94" s="185" t="s">
        <v>238</v>
      </c>
      <c r="C94" s="176"/>
      <c r="D94" s="156">
        <v>162</v>
      </c>
      <c r="E94" s="156">
        <f>SUM(E89:E93)</f>
        <v>192</v>
      </c>
      <c r="F94" s="148">
        <f>SUM(F89:F93)</f>
        <v>158</v>
      </c>
      <c r="G94" s="148">
        <f>SUM(G89:G93)</f>
        <v>132</v>
      </c>
      <c r="H94" s="328">
        <f>SUM(H89:H93)</f>
        <v>130</v>
      </c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idden="1" outlineLevel="1" x14ac:dyDescent="0.3">
      <c r="A95" s="267"/>
      <c r="B95" s="185" t="s">
        <v>240</v>
      </c>
      <c r="C95" s="176"/>
      <c r="D95" s="156">
        <v>0</v>
      </c>
      <c r="E95" s="156">
        <v>0</v>
      </c>
      <c r="F95" s="148">
        <v>0</v>
      </c>
      <c r="G95" s="148">
        <v>0</v>
      </c>
      <c r="H95" s="32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idden="1" outlineLevel="1" x14ac:dyDescent="0.3">
      <c r="A96" s="267"/>
      <c r="B96" s="185" t="s">
        <v>242</v>
      </c>
      <c r="C96" s="176"/>
      <c r="D96" s="156">
        <f>SUM(D94:D95)</f>
        <v>162</v>
      </c>
      <c r="E96" s="156">
        <f>SUM(E94:E95)</f>
        <v>192</v>
      </c>
      <c r="F96" s="148">
        <f>SUM(F94:F95)</f>
        <v>158</v>
      </c>
      <c r="G96" s="148">
        <f>SUM(G94:G95)</f>
        <v>132</v>
      </c>
      <c r="H96" s="328">
        <f>SUM(H94:H95)</f>
        <v>130</v>
      </c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idden="1" outlineLevel="1" x14ac:dyDescent="0.3">
      <c r="A97" s="267"/>
      <c r="B97" s="185" t="s">
        <v>244</v>
      </c>
      <c r="C97" s="176"/>
      <c r="D97" s="156">
        <v>-4</v>
      </c>
      <c r="E97" s="156">
        <v>-3</v>
      </c>
      <c r="F97" s="148">
        <v>5</v>
      </c>
      <c r="G97" s="148">
        <v>4</v>
      </c>
      <c r="H97" s="328"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idden="1" outlineLevel="1" x14ac:dyDescent="0.3">
      <c r="A98" s="267"/>
      <c r="B98" s="185" t="s">
        <v>246</v>
      </c>
      <c r="C98" s="176"/>
      <c r="D98" s="156"/>
      <c r="E98" s="156">
        <v>0</v>
      </c>
      <c r="F98" s="148">
        <v>0</v>
      </c>
      <c r="G98" s="148">
        <v>0</v>
      </c>
      <c r="H98" s="328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collapsed="1" x14ac:dyDescent="0.3">
      <c r="A99" s="267"/>
      <c r="B99" s="505" t="s">
        <v>400</v>
      </c>
      <c r="C99" s="176"/>
      <c r="D99" s="156">
        <f>SUM(D82:D83)</f>
        <v>-137</v>
      </c>
      <c r="E99" s="156">
        <f t="shared" ref="E99:H99" si="5">SUM(E82:E83)</f>
        <v>-109</v>
      </c>
      <c r="F99" s="148">
        <f t="shared" si="5"/>
        <v>-134</v>
      </c>
      <c r="G99" s="148">
        <f t="shared" si="5"/>
        <v>-98</v>
      </c>
      <c r="H99" s="328">
        <f t="shared" si="5"/>
        <v>-106</v>
      </c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">
      <c r="A100" s="267"/>
      <c r="B100" s="363"/>
      <c r="C100" s="176"/>
      <c r="D100" s="249"/>
      <c r="E100" s="249"/>
      <c r="F100" s="181"/>
      <c r="G100" s="181"/>
      <c r="H100" s="53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3">
      <c r="A101" s="267"/>
      <c r="B101" s="362" t="s">
        <v>304</v>
      </c>
      <c r="C101" s="180"/>
      <c r="D101" s="161">
        <f>SUM(D80,D82,D83)</f>
        <v>78</v>
      </c>
      <c r="E101" s="161">
        <f>SUM(E80,E82,E83)</f>
        <v>334</v>
      </c>
      <c r="F101" s="151">
        <f>SUM(F80,F82,F83)</f>
        <v>576</v>
      </c>
      <c r="G101" s="151">
        <f>SUM(G80,G82,G83)</f>
        <v>490</v>
      </c>
      <c r="H101" s="331">
        <f>SUM(H80,H82,H83)</f>
        <v>581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3">
      <c r="A102" s="267"/>
      <c r="B102" s="363"/>
      <c r="C102" s="176"/>
      <c r="D102" s="249"/>
      <c r="E102" s="249"/>
      <c r="F102" s="181"/>
      <c r="G102" s="181"/>
      <c r="H102" s="53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idden="1" outlineLevel="1" x14ac:dyDescent="0.3">
      <c r="A103" s="267"/>
      <c r="B103" s="185" t="s">
        <v>254</v>
      </c>
      <c r="C103" s="176"/>
      <c r="D103" s="156">
        <v>105</v>
      </c>
      <c r="E103" s="156">
        <v>138</v>
      </c>
      <c r="F103" s="148">
        <v>107</v>
      </c>
      <c r="G103" s="148">
        <v>146</v>
      </c>
      <c r="H103" s="328">
        <v>147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idden="1" outlineLevel="1" x14ac:dyDescent="0.3">
      <c r="A104" s="267"/>
      <c r="B104" s="185" t="s">
        <v>256</v>
      </c>
      <c r="C104" s="176"/>
      <c r="D104" s="156">
        <v>23</v>
      </c>
      <c r="E104" s="156">
        <v>25</v>
      </c>
      <c r="F104" s="148">
        <v>26</v>
      </c>
      <c r="G104" s="148">
        <v>30</v>
      </c>
      <c r="H104" s="328">
        <v>30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idden="1" outlineLevel="1" x14ac:dyDescent="0.3">
      <c r="A105" s="267"/>
      <c r="B105" s="185" t="s">
        <v>258</v>
      </c>
      <c r="C105" s="176"/>
      <c r="D105" s="156">
        <v>-17</v>
      </c>
      <c r="E105" s="156">
        <v>4</v>
      </c>
      <c r="F105" s="148">
        <v>-1</v>
      </c>
      <c r="G105" s="148">
        <v>2</v>
      </c>
      <c r="H105" s="328">
        <v>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idden="1" outlineLevel="1" x14ac:dyDescent="0.3">
      <c r="A106" s="267"/>
      <c r="B106" s="505" t="s">
        <v>260</v>
      </c>
      <c r="C106" s="176"/>
      <c r="D106" s="157">
        <f>SUM(D103:D105)</f>
        <v>111</v>
      </c>
      <c r="E106" s="157">
        <f>SUM(E103:E105)</f>
        <v>167</v>
      </c>
      <c r="F106" s="149">
        <f>SUM(F103:F105)</f>
        <v>132</v>
      </c>
      <c r="G106" s="149">
        <f>SUM(G103:G105)</f>
        <v>178</v>
      </c>
      <c r="H106" s="349">
        <f>SUM(H103:H105)</f>
        <v>182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idden="1" outlineLevel="1" x14ac:dyDescent="0.3">
      <c r="A107" s="267"/>
      <c r="B107" s="185" t="s">
        <v>366</v>
      </c>
      <c r="C107" s="176"/>
      <c r="D107" s="156">
        <v>142</v>
      </c>
      <c r="E107" s="156">
        <v>44</v>
      </c>
      <c r="F107" s="148">
        <v>88</v>
      </c>
      <c r="G107" s="148">
        <v>33</v>
      </c>
      <c r="H107" s="328">
        <v>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idden="1" outlineLevel="1" x14ac:dyDescent="0.3">
      <c r="A108" s="267"/>
      <c r="B108" s="185" t="s">
        <v>367</v>
      </c>
      <c r="C108" s="176"/>
      <c r="D108" s="156">
        <v>-120</v>
      </c>
      <c r="E108" s="156">
        <v>-89</v>
      </c>
      <c r="F108" s="148">
        <v>-28</v>
      </c>
      <c r="G108" s="148">
        <v>-54</v>
      </c>
      <c r="H108" s="328">
        <v>-64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collapsed="1" x14ac:dyDescent="0.3">
      <c r="A109" s="267"/>
      <c r="B109" s="185" t="s">
        <v>305</v>
      </c>
      <c r="C109" s="176"/>
      <c r="D109" s="156">
        <f>-SUM(D106:D108)</f>
        <v>-133</v>
      </c>
      <c r="E109" s="156">
        <f t="shared" ref="E109:H109" si="6">-SUM(E106:E108)</f>
        <v>-122</v>
      </c>
      <c r="F109" s="148">
        <f t="shared" si="6"/>
        <v>-192</v>
      </c>
      <c r="G109" s="148">
        <f t="shared" si="6"/>
        <v>-157</v>
      </c>
      <c r="H109" s="328">
        <f t="shared" si="6"/>
        <v>-189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3">
      <c r="A110" s="267"/>
      <c r="B110" s="185" t="s">
        <v>362</v>
      </c>
      <c r="C110" s="176"/>
      <c r="D110" s="156">
        <f>SUM(D111:D112)</f>
        <v>130</v>
      </c>
      <c r="E110" s="156">
        <f t="shared" ref="E110:H110" si="7">SUM(E111:E112)</f>
        <v>20</v>
      </c>
      <c r="F110" s="148">
        <f t="shared" si="7"/>
        <v>-91</v>
      </c>
      <c r="G110" s="148">
        <f t="shared" si="7"/>
        <v>11</v>
      </c>
      <c r="H110" s="328">
        <f t="shared" si="7"/>
        <v>-3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outlineLevel="1" x14ac:dyDescent="0.3">
      <c r="A111" s="267"/>
      <c r="B111" s="185" t="s">
        <v>269</v>
      </c>
      <c r="C111" s="176"/>
      <c r="D111" s="156">
        <v>0</v>
      </c>
      <c r="E111" s="156">
        <v>19</v>
      </c>
      <c r="F111" s="148">
        <v>-85</v>
      </c>
      <c r="G111" s="148">
        <v>21</v>
      </c>
      <c r="H111" s="328">
        <v>1</v>
      </c>
      <c r="I111" s="1"/>
      <c r="J111" s="129"/>
      <c r="K111" s="1"/>
      <c r="L111" s="1"/>
      <c r="M111" s="1"/>
      <c r="N111" s="1"/>
      <c r="O111" s="1"/>
      <c r="P111" s="1"/>
      <c r="Q111" s="1"/>
      <c r="R111" s="1"/>
    </row>
    <row r="112" spans="1:18" outlineLevel="1" x14ac:dyDescent="0.3">
      <c r="A112" s="267"/>
      <c r="B112" s="185" t="s">
        <v>273</v>
      </c>
      <c r="C112" s="176"/>
      <c r="D112" s="156">
        <v>130</v>
      </c>
      <c r="E112" s="156">
        <v>1</v>
      </c>
      <c r="F112" s="148">
        <v>-6</v>
      </c>
      <c r="G112" s="148">
        <v>-10</v>
      </c>
      <c r="H112" s="328">
        <v>-4</v>
      </c>
      <c r="I112" s="1"/>
      <c r="J112" s="145"/>
      <c r="K112" s="1"/>
      <c r="L112" s="1"/>
      <c r="M112" s="1"/>
      <c r="N112" s="1"/>
      <c r="O112" s="1"/>
      <c r="P112" s="1"/>
      <c r="Q112" s="1"/>
      <c r="R112" s="1"/>
    </row>
    <row r="113" spans="1:18" x14ac:dyDescent="0.3">
      <c r="A113" s="267"/>
      <c r="B113" s="185"/>
      <c r="C113" s="176"/>
      <c r="D113" s="156"/>
      <c r="E113" s="156"/>
      <c r="F113" s="148"/>
      <c r="G113" s="148"/>
      <c r="H113" s="328"/>
      <c r="I113" s="1"/>
      <c r="J113" s="146"/>
      <c r="K113" s="1"/>
      <c r="L113" s="1"/>
      <c r="M113" s="1"/>
      <c r="N113" s="1"/>
      <c r="O113" s="1"/>
      <c r="P113" s="1"/>
      <c r="Q113" s="1"/>
      <c r="R113" s="1"/>
    </row>
    <row r="114" spans="1:18" ht="15" thickBot="1" x14ac:dyDescent="0.35">
      <c r="A114" s="279"/>
      <c r="B114" s="369" t="s">
        <v>363</v>
      </c>
      <c r="C114" s="370"/>
      <c r="D114" s="352">
        <f>SUM(D101,D109:D110)</f>
        <v>75</v>
      </c>
      <c r="E114" s="352">
        <f>SUM(E101,E109:E110)</f>
        <v>232</v>
      </c>
      <c r="F114" s="512">
        <f>SUM(F101,F109:F110)</f>
        <v>293</v>
      </c>
      <c r="G114" s="512">
        <f>SUM(G101,G109:G110)</f>
        <v>344</v>
      </c>
      <c r="H114" s="353">
        <f>SUM(H101,H109:H110)</f>
        <v>389</v>
      </c>
      <c r="I114" s="129"/>
      <c r="J114" s="146"/>
      <c r="K114" s="1"/>
      <c r="L114" s="1"/>
      <c r="M114" s="1"/>
      <c r="N114" s="1"/>
      <c r="O114" s="1"/>
      <c r="P114" s="1"/>
      <c r="Q114" s="1"/>
      <c r="R114" s="1"/>
    </row>
    <row r="115" spans="1:18" x14ac:dyDescent="0.3">
      <c r="A115" s="1"/>
      <c r="B115" s="1"/>
      <c r="C115" s="8"/>
      <c r="D115" s="5"/>
      <c r="E115" s="5"/>
      <c r="F115" s="129"/>
      <c r="G115" s="129"/>
      <c r="H115" s="129"/>
      <c r="I115" s="145"/>
      <c r="J115" s="147"/>
      <c r="K115" s="1"/>
      <c r="L115" s="1"/>
      <c r="M115" s="1"/>
      <c r="N115" s="1"/>
      <c r="O115" s="1"/>
      <c r="P115" s="1"/>
      <c r="Q115" s="1"/>
      <c r="R115" s="1"/>
    </row>
    <row r="116" spans="1:18" x14ac:dyDescent="0.3">
      <c r="A116" s="1"/>
      <c r="B116" s="1"/>
      <c r="C116" s="8"/>
      <c r="D116" s="5"/>
      <c r="E116" s="5"/>
      <c r="F116" s="145"/>
      <c r="G116" s="145"/>
      <c r="H116" s="145"/>
      <c r="I116" s="146"/>
      <c r="J116" s="146"/>
      <c r="K116" s="1"/>
      <c r="L116" s="1"/>
      <c r="M116" s="1"/>
      <c r="N116" s="1"/>
      <c r="O116" s="1"/>
      <c r="P116" s="1"/>
      <c r="Q116" s="1"/>
      <c r="R116" s="1"/>
    </row>
    <row r="117" spans="1:18" x14ac:dyDescent="0.3">
      <c r="A117" s="1"/>
      <c r="B117" s="1"/>
      <c r="C117" s="5"/>
      <c r="D117" s="5"/>
      <c r="E117" s="5"/>
      <c r="F117" s="146"/>
      <c r="G117" s="146"/>
      <c r="H117" s="146"/>
      <c r="I117" s="146"/>
      <c r="J117" s="146"/>
      <c r="K117" s="1"/>
      <c r="L117" s="1"/>
      <c r="M117" s="1"/>
      <c r="N117" s="1"/>
      <c r="O117" s="1"/>
      <c r="P117" s="1"/>
      <c r="Q117" s="1"/>
      <c r="R117" s="1"/>
    </row>
    <row r="118" spans="1:18" x14ac:dyDescent="0.3">
      <c r="A118" s="1"/>
      <c r="B118" s="1"/>
      <c r="C118" s="5"/>
      <c r="D118" s="5"/>
      <c r="E118" s="5"/>
      <c r="F118" s="146"/>
      <c r="G118" s="146"/>
      <c r="H118" s="146"/>
      <c r="I118" s="147"/>
      <c r="J118" s="146"/>
      <c r="K118" s="55"/>
      <c r="L118" s="1"/>
      <c r="M118" s="1"/>
      <c r="N118" s="1"/>
      <c r="O118" s="1"/>
      <c r="P118" s="1"/>
      <c r="Q118" s="1"/>
      <c r="R118" s="1"/>
    </row>
    <row r="119" spans="1:18" x14ac:dyDescent="0.3">
      <c r="A119" s="1"/>
      <c r="B119" s="1"/>
      <c r="C119" s="14"/>
      <c r="D119" s="5"/>
      <c r="E119" s="5"/>
      <c r="F119" s="147"/>
      <c r="G119" s="147"/>
      <c r="H119" s="147"/>
      <c r="I119" s="146"/>
      <c r="J119" s="146"/>
      <c r="K119" s="55"/>
      <c r="L119" s="1"/>
      <c r="M119" s="1"/>
      <c r="N119" s="1"/>
      <c r="O119" s="1"/>
      <c r="P119" s="1"/>
      <c r="Q119" s="1"/>
      <c r="R119" s="1"/>
    </row>
    <row r="120" spans="1:18" x14ac:dyDescent="0.3">
      <c r="A120" s="1"/>
      <c r="B120" s="1"/>
      <c r="C120" s="5"/>
      <c r="D120" s="5"/>
      <c r="E120" s="5"/>
      <c r="F120" s="146"/>
      <c r="G120" s="146"/>
      <c r="H120" s="146"/>
      <c r="I120" s="146"/>
      <c r="J120" s="146"/>
      <c r="K120" s="55"/>
      <c r="L120" s="1"/>
      <c r="M120" s="1"/>
      <c r="N120" s="1"/>
      <c r="O120" s="1"/>
      <c r="P120" s="1"/>
      <c r="Q120" s="1"/>
      <c r="R120" s="1"/>
    </row>
    <row r="121" spans="1:18" x14ac:dyDescent="0.3">
      <c r="A121" s="1"/>
      <c r="B121" s="1"/>
      <c r="C121" s="5"/>
      <c r="D121" s="5"/>
      <c r="E121" s="5"/>
      <c r="F121" s="146"/>
      <c r="G121" s="146"/>
      <c r="H121" s="146"/>
      <c r="I121" s="146"/>
      <c r="J121" s="146"/>
      <c r="K121" s="55"/>
      <c r="L121" s="1"/>
      <c r="M121" s="1"/>
      <c r="N121" s="1"/>
      <c r="O121" s="1"/>
      <c r="P121" s="1"/>
      <c r="Q121" s="1"/>
      <c r="R121" s="1"/>
    </row>
    <row r="122" spans="1:18" x14ac:dyDescent="0.3">
      <c r="A122" s="1"/>
      <c r="B122" s="1"/>
      <c r="C122" s="5"/>
      <c r="D122" s="5"/>
      <c r="E122" s="5"/>
      <c r="F122" s="146"/>
      <c r="G122" s="146"/>
      <c r="H122" s="146"/>
      <c r="I122" s="146"/>
      <c r="J122" s="146"/>
      <c r="K122" s="55"/>
      <c r="L122" s="1"/>
      <c r="M122" s="1"/>
      <c r="N122" s="1"/>
      <c r="O122" s="1"/>
      <c r="P122" s="1"/>
      <c r="Q122" s="1"/>
      <c r="R122" s="1"/>
    </row>
    <row r="123" spans="1:18" x14ac:dyDescent="0.3">
      <c r="A123" s="1"/>
      <c r="B123" s="1"/>
      <c r="C123" s="5"/>
      <c r="D123" s="5"/>
      <c r="E123" s="5"/>
      <c r="F123" s="146"/>
      <c r="G123" s="146"/>
      <c r="H123" s="146"/>
      <c r="I123" s="146"/>
      <c r="J123" s="146"/>
      <c r="K123" s="55"/>
      <c r="L123" s="1"/>
      <c r="M123" s="1"/>
      <c r="N123" s="1"/>
      <c r="O123" s="1"/>
      <c r="P123" s="1"/>
      <c r="Q123" s="1"/>
      <c r="R123" s="1"/>
    </row>
    <row r="124" spans="1:18" x14ac:dyDescent="0.3">
      <c r="A124" s="1"/>
      <c r="B124" s="1"/>
      <c r="C124" s="5"/>
      <c r="D124" s="5"/>
      <c r="E124" s="5"/>
      <c r="F124" s="146"/>
      <c r="G124" s="146"/>
      <c r="H124" s="146"/>
      <c r="I124" s="146"/>
      <c r="J124" s="146"/>
      <c r="K124" s="55"/>
      <c r="L124" s="1"/>
      <c r="M124" s="1"/>
      <c r="N124" s="1"/>
      <c r="O124" s="1"/>
      <c r="P124" s="1"/>
      <c r="Q124" s="1"/>
      <c r="R124" s="1"/>
    </row>
    <row r="125" spans="1:18" x14ac:dyDescent="0.3">
      <c r="A125" s="1"/>
      <c r="B125" s="1"/>
      <c r="C125" s="5"/>
      <c r="D125" s="5"/>
      <c r="E125" s="5"/>
      <c r="F125" s="146"/>
      <c r="G125" s="146"/>
      <c r="H125" s="146"/>
      <c r="I125" s="146"/>
      <c r="J125" s="146"/>
      <c r="K125" s="55"/>
      <c r="L125" s="1"/>
      <c r="M125" s="1"/>
      <c r="N125" s="1"/>
      <c r="O125" s="1"/>
      <c r="P125" s="1"/>
      <c r="Q125" s="1"/>
      <c r="R125" s="1"/>
    </row>
    <row r="126" spans="1:18" x14ac:dyDescent="0.3">
      <c r="A126" s="1"/>
      <c r="B126" s="1"/>
      <c r="C126" s="5"/>
      <c r="D126" s="5"/>
      <c r="E126" s="5"/>
      <c r="F126" s="146"/>
      <c r="G126" s="146"/>
      <c r="H126" s="146"/>
      <c r="I126" s="146"/>
      <c r="J126" s="146"/>
      <c r="K126" s="55"/>
      <c r="L126" s="1"/>
      <c r="M126" s="1"/>
      <c r="N126" s="1"/>
      <c r="O126" s="1"/>
      <c r="P126" s="1"/>
      <c r="Q126" s="1"/>
      <c r="R126" s="1"/>
    </row>
    <row r="127" spans="1:18" x14ac:dyDescent="0.3">
      <c r="A127" s="1"/>
      <c r="B127" s="1"/>
      <c r="C127" s="5"/>
      <c r="D127" s="5"/>
      <c r="E127" s="5"/>
      <c r="F127" s="146"/>
      <c r="G127" s="146"/>
      <c r="H127" s="146"/>
      <c r="I127" s="146"/>
      <c r="J127" s="146"/>
      <c r="K127" s="55"/>
      <c r="L127" s="1"/>
      <c r="M127" s="1"/>
      <c r="N127" s="1"/>
      <c r="O127" s="1"/>
      <c r="P127" s="1"/>
      <c r="Q127" s="1"/>
      <c r="R127" s="1"/>
    </row>
    <row r="128" spans="1:18" x14ac:dyDescent="0.3">
      <c r="A128" s="1"/>
      <c r="B128" s="1"/>
      <c r="C128" s="5"/>
      <c r="D128" s="5"/>
      <c r="E128" s="5"/>
      <c r="F128" s="146"/>
      <c r="G128" s="146"/>
      <c r="H128" s="146"/>
      <c r="I128" s="146"/>
      <c r="J128" s="147"/>
      <c r="K128" s="55"/>
      <c r="L128" s="1"/>
      <c r="M128" s="1"/>
      <c r="N128" s="1"/>
      <c r="O128" s="1"/>
      <c r="P128" s="1"/>
      <c r="Q128" s="1"/>
      <c r="R128" s="1"/>
    </row>
    <row r="129" spans="1:18" x14ac:dyDescent="0.3">
      <c r="A129" s="1"/>
      <c r="B129" s="1"/>
      <c r="C129" s="5"/>
      <c r="D129" s="5"/>
      <c r="E129" s="5"/>
      <c r="F129" s="146"/>
      <c r="G129" s="146"/>
      <c r="H129" s="146"/>
      <c r="I129" s="146"/>
      <c r="J129" s="146"/>
      <c r="K129" s="55"/>
      <c r="L129" s="1"/>
      <c r="M129" s="1"/>
      <c r="N129" s="1"/>
      <c r="O129" s="1"/>
      <c r="P129" s="1"/>
      <c r="Q129" s="1"/>
      <c r="R129" s="1"/>
    </row>
    <row r="130" spans="1:18" x14ac:dyDescent="0.3">
      <c r="A130" s="1"/>
      <c r="B130" s="1"/>
      <c r="C130" s="5"/>
      <c r="D130" s="5"/>
      <c r="E130" s="5"/>
      <c r="F130" s="146"/>
      <c r="G130" s="146"/>
      <c r="H130" s="146"/>
      <c r="I130" s="146"/>
      <c r="J130" s="145"/>
      <c r="K130" s="55"/>
      <c r="L130" s="1"/>
      <c r="M130" s="1"/>
      <c r="N130" s="1"/>
      <c r="O130" s="1"/>
      <c r="P130" s="1"/>
      <c r="Q130" s="1"/>
      <c r="R130" s="1"/>
    </row>
    <row r="131" spans="1:18" x14ac:dyDescent="0.3">
      <c r="A131" s="1"/>
      <c r="B131" s="1"/>
      <c r="C131" s="5"/>
      <c r="D131" s="5"/>
      <c r="E131" s="5"/>
      <c r="F131" s="146"/>
      <c r="G131" s="146"/>
      <c r="H131" s="146"/>
      <c r="I131" s="147"/>
      <c r="J131" s="146"/>
      <c r="K131" s="55"/>
      <c r="L131" s="1"/>
      <c r="M131" s="1"/>
      <c r="N131" s="1"/>
      <c r="O131" s="1"/>
      <c r="P131" s="1"/>
      <c r="Q131" s="1"/>
      <c r="R131" s="1"/>
    </row>
    <row r="132" spans="1:18" x14ac:dyDescent="0.3">
      <c r="A132" s="1"/>
      <c r="B132" s="1"/>
      <c r="C132" s="14"/>
      <c r="D132" s="5"/>
      <c r="E132" s="5"/>
      <c r="F132" s="147"/>
      <c r="G132" s="147"/>
      <c r="H132" s="147"/>
      <c r="I132" s="146"/>
      <c r="J132" s="145"/>
      <c r="K132" s="55"/>
      <c r="L132" s="1"/>
      <c r="M132" s="1"/>
      <c r="N132" s="1"/>
      <c r="O132" s="1"/>
      <c r="P132" s="1"/>
      <c r="Q132" s="1"/>
      <c r="R132" s="1"/>
    </row>
    <row r="133" spans="1:18" x14ac:dyDescent="0.3">
      <c r="A133" s="1"/>
      <c r="B133" s="1"/>
      <c r="C133" s="5"/>
      <c r="D133" s="5"/>
      <c r="E133" s="5"/>
      <c r="F133" s="146"/>
      <c r="G133" s="146"/>
      <c r="H133" s="146"/>
      <c r="I133" s="145"/>
      <c r="J133" s="159"/>
      <c r="K133" s="55"/>
      <c r="L133" s="1"/>
      <c r="M133" s="1"/>
      <c r="N133" s="1"/>
      <c r="O133" s="1"/>
      <c r="P133" s="1"/>
      <c r="Q133" s="1"/>
      <c r="R133" s="1"/>
    </row>
    <row r="134" spans="1:18" x14ac:dyDescent="0.3">
      <c r="A134" s="1"/>
      <c r="B134" s="1"/>
      <c r="C134" s="8"/>
      <c r="D134" s="8"/>
      <c r="E134" s="8"/>
      <c r="F134" s="145"/>
      <c r="G134" s="145"/>
      <c r="H134" s="145"/>
      <c r="I134" s="146"/>
      <c r="J134" s="146"/>
      <c r="K134" s="55"/>
    </row>
    <row r="135" spans="1:18" x14ac:dyDescent="0.3">
      <c r="A135" s="1"/>
      <c r="B135" s="1"/>
      <c r="C135" s="8"/>
      <c r="D135" s="5"/>
      <c r="E135" s="5"/>
      <c r="F135" s="146"/>
      <c r="G135" s="146"/>
      <c r="H135" s="146"/>
      <c r="I135" s="145"/>
      <c r="J135" s="146"/>
      <c r="K135" s="55"/>
    </row>
    <row r="136" spans="1:18" x14ac:dyDescent="0.3">
      <c r="A136" s="1"/>
      <c r="B136" s="1"/>
      <c r="C136" s="8"/>
      <c r="D136" s="5"/>
      <c r="E136" s="5"/>
      <c r="F136" s="145"/>
      <c r="G136" s="145"/>
      <c r="H136" s="145"/>
      <c r="I136" s="159"/>
      <c r="J136" s="146"/>
      <c r="K136" s="55"/>
    </row>
    <row r="137" spans="1:18" x14ac:dyDescent="0.3">
      <c r="A137" s="1"/>
      <c r="B137" s="1"/>
      <c r="C137" s="5"/>
      <c r="D137" s="5"/>
      <c r="E137" s="5"/>
      <c r="F137" s="159"/>
      <c r="G137" s="159"/>
      <c r="H137" s="159"/>
      <c r="I137" s="146"/>
      <c r="J137" s="146"/>
      <c r="K137" s="55"/>
    </row>
    <row r="138" spans="1:18" x14ac:dyDescent="0.3">
      <c r="A138" s="1"/>
      <c r="B138" s="1"/>
      <c r="C138" s="5"/>
      <c r="D138" s="5"/>
      <c r="E138" s="5"/>
      <c r="F138" s="146"/>
      <c r="G138" s="146"/>
      <c r="H138" s="146"/>
      <c r="I138" s="146"/>
      <c r="J138" s="147"/>
      <c r="K138" s="55"/>
    </row>
    <row r="139" spans="1:18" x14ac:dyDescent="0.3">
      <c r="A139" s="1"/>
      <c r="B139" s="1"/>
      <c r="C139" s="5"/>
      <c r="D139" s="5"/>
      <c r="E139" s="5"/>
      <c r="F139" s="146"/>
      <c r="G139" s="146"/>
      <c r="H139" s="146"/>
      <c r="I139" s="146"/>
      <c r="J139" s="146"/>
      <c r="K139" s="55"/>
    </row>
    <row r="140" spans="1:18" x14ac:dyDescent="0.3">
      <c r="A140" s="1"/>
      <c r="B140" s="1"/>
      <c r="C140" s="5"/>
      <c r="D140" s="5"/>
      <c r="E140" s="5"/>
      <c r="F140" s="146"/>
      <c r="G140" s="146"/>
      <c r="H140" s="146"/>
      <c r="I140" s="146"/>
      <c r="J140" s="146"/>
      <c r="K140" s="55"/>
    </row>
    <row r="141" spans="1:18" x14ac:dyDescent="0.3">
      <c r="A141" s="1"/>
      <c r="B141" s="1"/>
      <c r="C141" s="5"/>
      <c r="D141" s="5"/>
      <c r="E141" s="5"/>
      <c r="F141" s="146"/>
      <c r="G141" s="146"/>
      <c r="H141" s="146"/>
      <c r="I141" s="147"/>
      <c r="J141" s="145"/>
      <c r="K141" s="55"/>
    </row>
    <row r="142" spans="1:18" x14ac:dyDescent="0.3">
      <c r="A142" s="1"/>
      <c r="B142" s="1"/>
      <c r="C142" s="14"/>
      <c r="D142" s="5"/>
      <c r="E142" s="5"/>
      <c r="F142" s="147"/>
      <c r="G142" s="147"/>
      <c r="H142" s="147"/>
      <c r="I142" s="146"/>
      <c r="J142" s="145"/>
      <c r="K142" s="55"/>
    </row>
    <row r="143" spans="1:18" x14ac:dyDescent="0.3">
      <c r="A143" s="1"/>
      <c r="B143" s="1"/>
      <c r="C143" s="5"/>
      <c r="D143" s="5"/>
      <c r="E143" s="5"/>
      <c r="F143" s="146"/>
      <c r="G143" s="146"/>
      <c r="H143" s="146"/>
      <c r="I143" s="146"/>
      <c r="J143" s="145"/>
      <c r="K143" s="55"/>
    </row>
    <row r="144" spans="1:18" x14ac:dyDescent="0.3">
      <c r="A144" s="1"/>
      <c r="B144" s="1"/>
      <c r="C144" s="115"/>
      <c r="D144" s="5"/>
      <c r="E144" s="5"/>
      <c r="F144" s="146"/>
      <c r="G144" s="146"/>
      <c r="H144" s="146"/>
      <c r="I144" s="145"/>
      <c r="J144" s="145"/>
      <c r="K144" s="55"/>
    </row>
    <row r="145" spans="1:11" x14ac:dyDescent="0.3">
      <c r="A145" s="1"/>
      <c r="B145" s="1"/>
      <c r="C145" s="8"/>
      <c r="D145" s="5"/>
      <c r="E145" s="5"/>
      <c r="F145" s="145"/>
      <c r="G145" s="146"/>
      <c r="H145" s="145"/>
      <c r="I145" s="145"/>
      <c r="J145" s="146"/>
      <c r="K145" s="55"/>
    </row>
    <row r="146" spans="1:11" x14ac:dyDescent="0.3">
      <c r="A146" s="1"/>
      <c r="B146" s="1"/>
      <c r="C146" s="8"/>
      <c r="D146" s="5"/>
      <c r="E146" s="5"/>
      <c r="F146" s="145"/>
      <c r="G146" s="145"/>
      <c r="H146" s="145"/>
      <c r="I146" s="145"/>
      <c r="J146" s="146"/>
      <c r="K146" s="55"/>
    </row>
    <row r="147" spans="1:11" x14ac:dyDescent="0.3">
      <c r="A147" s="1"/>
      <c r="B147" s="1"/>
      <c r="C147" s="8"/>
      <c r="D147" s="5"/>
      <c r="E147" s="5"/>
      <c r="F147" s="145"/>
      <c r="G147" s="146"/>
      <c r="H147" s="145"/>
      <c r="I147" s="145"/>
      <c r="J147" s="146"/>
      <c r="K147" s="55"/>
    </row>
    <row r="148" spans="1:11" x14ac:dyDescent="0.3">
      <c r="A148" s="1"/>
      <c r="B148" s="1"/>
      <c r="C148" s="5"/>
      <c r="D148" s="5"/>
      <c r="E148" s="5"/>
      <c r="F148" s="146"/>
      <c r="G148" s="146"/>
      <c r="H148" s="146"/>
      <c r="I148" s="146"/>
      <c r="J148" s="146"/>
      <c r="K148" s="55"/>
    </row>
    <row r="149" spans="1:11" x14ac:dyDescent="0.3">
      <c r="A149" s="1"/>
      <c r="B149" s="1"/>
      <c r="C149" s="5"/>
      <c r="D149" s="8"/>
      <c r="E149" s="8"/>
      <c r="F149" s="146"/>
      <c r="G149" s="146"/>
      <c r="H149" s="146"/>
      <c r="I149" s="146"/>
      <c r="J149" s="146"/>
      <c r="K149" s="55"/>
    </row>
    <row r="150" spans="1:11" x14ac:dyDescent="0.3">
      <c r="A150" s="1"/>
      <c r="B150" s="1"/>
      <c r="C150" s="5"/>
      <c r="D150" s="5"/>
      <c r="E150" s="5"/>
      <c r="F150" s="146"/>
      <c r="G150" s="146"/>
      <c r="H150" s="146"/>
      <c r="I150" s="146"/>
      <c r="J150" s="146"/>
      <c r="K150" s="55"/>
    </row>
    <row r="151" spans="1:11" x14ac:dyDescent="0.3">
      <c r="A151" s="1"/>
      <c r="B151" s="1"/>
      <c r="C151" s="5"/>
      <c r="D151" s="5"/>
      <c r="E151" s="5"/>
      <c r="F151" s="146"/>
      <c r="G151" s="146"/>
      <c r="H151" s="146"/>
      <c r="I151" s="146"/>
      <c r="J151" s="146"/>
      <c r="K151" s="55"/>
    </row>
    <row r="152" spans="1:11" x14ac:dyDescent="0.3">
      <c r="A152" s="1"/>
      <c r="B152" s="1"/>
      <c r="C152" s="5"/>
      <c r="D152" s="5"/>
      <c r="E152" s="5"/>
      <c r="F152" s="146"/>
      <c r="G152" s="146"/>
      <c r="H152" s="146"/>
      <c r="I152" s="146"/>
      <c r="J152" s="146"/>
      <c r="K152" s="55"/>
    </row>
    <row r="153" spans="1:11" x14ac:dyDescent="0.3">
      <c r="A153" s="1"/>
      <c r="B153" s="1"/>
      <c r="C153" s="14"/>
      <c r="D153" s="5"/>
      <c r="E153" s="5"/>
      <c r="F153" s="146"/>
      <c r="G153" s="146"/>
      <c r="H153" s="146"/>
      <c r="I153" s="146"/>
      <c r="J153" s="146"/>
      <c r="K153" s="55"/>
    </row>
    <row r="154" spans="1:11" x14ac:dyDescent="0.3">
      <c r="A154" s="1"/>
      <c r="B154" s="1"/>
      <c r="C154" s="5"/>
      <c r="D154" s="5"/>
      <c r="E154" s="5"/>
      <c r="F154" s="146"/>
      <c r="G154" s="146"/>
      <c r="H154" s="146"/>
      <c r="I154" s="146"/>
      <c r="J154" s="146"/>
      <c r="K154" s="55"/>
    </row>
    <row r="155" spans="1:11" x14ac:dyDescent="0.3">
      <c r="A155" s="1"/>
      <c r="B155" s="1"/>
      <c r="C155" s="5"/>
      <c r="D155" s="5"/>
      <c r="E155" s="5"/>
      <c r="F155" s="146"/>
      <c r="G155" s="146"/>
      <c r="H155" s="146"/>
      <c r="I155" s="146"/>
      <c r="J155" s="146"/>
      <c r="K155" s="55"/>
    </row>
    <row r="156" spans="1:11" x14ac:dyDescent="0.3">
      <c r="A156" s="1"/>
      <c r="B156" s="1"/>
      <c r="C156" s="5"/>
      <c r="D156" s="5"/>
      <c r="E156" s="5"/>
      <c r="F156" s="146"/>
      <c r="G156" s="146"/>
      <c r="H156" s="146"/>
      <c r="I156" s="146"/>
      <c r="J156" s="146"/>
      <c r="K156" s="55"/>
    </row>
    <row r="157" spans="1:11" x14ac:dyDescent="0.3">
      <c r="A157" s="1"/>
      <c r="B157" s="1"/>
      <c r="C157" s="5"/>
      <c r="D157" s="5"/>
      <c r="E157" s="5"/>
      <c r="F157" s="146"/>
      <c r="G157" s="146"/>
      <c r="H157" s="146"/>
      <c r="I157" s="146"/>
      <c r="J157" s="146"/>
      <c r="K157" s="55"/>
    </row>
    <row r="158" spans="1:11" x14ac:dyDescent="0.3">
      <c r="A158" s="1"/>
      <c r="B158" s="1"/>
      <c r="C158" s="5"/>
      <c r="D158" s="5"/>
      <c r="E158" s="5"/>
      <c r="F158" s="146"/>
      <c r="G158" s="146"/>
      <c r="H158" s="146"/>
      <c r="I158" s="146"/>
      <c r="J158" s="146"/>
      <c r="K158" s="55"/>
    </row>
    <row r="159" spans="1:11" x14ac:dyDescent="0.3">
      <c r="A159" s="1"/>
      <c r="B159" s="1"/>
      <c r="C159" s="5"/>
      <c r="D159" s="5"/>
      <c r="E159" s="5"/>
      <c r="F159" s="146"/>
      <c r="G159" s="146"/>
      <c r="H159" s="146"/>
      <c r="I159" s="146"/>
      <c r="J159" s="146"/>
      <c r="K159" s="55"/>
    </row>
    <row r="160" spans="1:11" x14ac:dyDescent="0.3">
      <c r="A160" s="1"/>
      <c r="B160" s="1"/>
      <c r="C160" s="14"/>
      <c r="D160" s="5"/>
      <c r="E160" s="5"/>
      <c r="F160" s="146"/>
      <c r="G160" s="146"/>
      <c r="H160" s="146"/>
      <c r="I160" s="146"/>
      <c r="J160" s="55"/>
      <c r="K160" s="55"/>
    </row>
    <row r="161" spans="1:11" x14ac:dyDescent="0.3">
      <c r="A161" s="1"/>
      <c r="B161" s="1"/>
      <c r="C161" s="5"/>
      <c r="D161" s="5"/>
      <c r="E161" s="5"/>
      <c r="F161" s="146"/>
      <c r="G161" s="146"/>
      <c r="H161" s="146"/>
      <c r="I161" s="146"/>
      <c r="J161" s="55"/>
      <c r="K161" s="55"/>
    </row>
    <row r="162" spans="1:11" x14ac:dyDescent="0.3">
      <c r="A162" s="1"/>
      <c r="B162" s="1"/>
      <c r="C162" s="14"/>
      <c r="D162" s="5"/>
      <c r="E162" s="5"/>
      <c r="F162" s="146"/>
      <c r="G162" s="146"/>
      <c r="H162" s="146"/>
      <c r="I162" s="146"/>
      <c r="J162" s="55"/>
      <c r="K162" s="55"/>
    </row>
    <row r="163" spans="1:11" x14ac:dyDescent="0.3">
      <c r="A163" s="1"/>
      <c r="B163" s="1"/>
      <c r="C163" s="14"/>
      <c r="D163" s="115"/>
      <c r="E163" s="115"/>
      <c r="F163" s="146"/>
      <c r="G163" s="146"/>
      <c r="H163" s="146"/>
      <c r="I163" s="55"/>
      <c r="J163" s="55"/>
      <c r="K163" s="55"/>
    </row>
    <row r="164" spans="1:11" x14ac:dyDescent="0.3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</row>
    <row r="165" spans="1:11" x14ac:dyDescent="0.3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</row>
    <row r="166" spans="1:11" x14ac:dyDescent="0.3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</row>
    <row r="167" spans="1:11" x14ac:dyDescent="0.3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</row>
    <row r="168" spans="1:11" x14ac:dyDescent="0.3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</row>
    <row r="169" spans="1:11" x14ac:dyDescent="0.3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</row>
    <row r="170" spans="1:11" x14ac:dyDescent="0.3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</row>
    <row r="171" spans="1:11" x14ac:dyDescent="0.3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</row>
    <row r="172" spans="1:11" x14ac:dyDescent="0.3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</row>
    <row r="173" spans="1:11" x14ac:dyDescent="0.3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1" x14ac:dyDescent="0.3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</row>
    <row r="175" spans="1:11" x14ac:dyDescent="0.3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</row>
    <row r="176" spans="1:11" x14ac:dyDescent="0.3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</row>
    <row r="177" spans="1:14" x14ac:dyDescent="0.3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</row>
    <row r="178" spans="1:14" x14ac:dyDescent="0.3">
      <c r="A178" s="1"/>
      <c r="B178" s="1"/>
      <c r="C178" s="55"/>
      <c r="D178" s="55"/>
      <c r="E178" s="55"/>
      <c r="F178" s="55"/>
      <c r="G178" s="55"/>
      <c r="H178" s="55"/>
      <c r="I178" s="55"/>
      <c r="J178" s="55"/>
      <c r="K178" s="55"/>
    </row>
    <row r="179" spans="1:14" x14ac:dyDescent="0.3">
      <c r="A179" s="1"/>
      <c r="B179" s="1"/>
      <c r="C179" s="55"/>
      <c r="D179" s="55"/>
      <c r="E179" s="55"/>
      <c r="F179" s="55"/>
      <c r="G179" s="55"/>
      <c r="H179" s="55"/>
      <c r="I179" s="55"/>
      <c r="J179" s="55"/>
    </row>
    <row r="180" spans="1:14" x14ac:dyDescent="0.3">
      <c r="A180" s="1"/>
      <c r="B180" s="1"/>
      <c r="C180" s="55"/>
      <c r="D180" s="55"/>
      <c r="E180" s="55"/>
      <c r="F180" s="55"/>
      <c r="G180" s="55"/>
      <c r="H180" s="55"/>
      <c r="I180" s="55"/>
    </row>
    <row r="181" spans="1:14" x14ac:dyDescent="0.3">
      <c r="A181" s="1"/>
      <c r="B181" s="1"/>
      <c r="C181" s="55"/>
      <c r="D181" s="55"/>
      <c r="E181" s="55"/>
      <c r="F181" s="55"/>
      <c r="G181" s="55"/>
      <c r="H181" s="55"/>
      <c r="I181" s="55"/>
    </row>
    <row r="182" spans="1:14" x14ac:dyDescent="0.3">
      <c r="A182" s="1"/>
      <c r="B182" s="1"/>
      <c r="C182" s="55"/>
      <c r="D182" s="55"/>
      <c r="E182" s="55"/>
      <c r="F182" s="55"/>
      <c r="G182" s="55"/>
      <c r="H182" s="55"/>
      <c r="I182" s="55"/>
    </row>
    <row r="183" spans="1:14" x14ac:dyDescent="0.3">
      <c r="A183" s="1"/>
      <c r="B183" s="1"/>
      <c r="C183" s="55"/>
      <c r="D183" s="55"/>
      <c r="E183" s="55"/>
      <c r="F183" s="55"/>
      <c r="G183" s="55"/>
      <c r="H183" s="55"/>
    </row>
    <row r="184" spans="1:14" x14ac:dyDescent="0.3">
      <c r="A184" s="1"/>
      <c r="B184" s="1"/>
    </row>
    <row r="185" spans="1:14" x14ac:dyDescent="0.3">
      <c r="A185" s="1"/>
    </row>
    <row r="186" spans="1:14" x14ac:dyDescent="0.3">
      <c r="A186" s="1"/>
    </row>
    <row r="187" spans="1:14" x14ac:dyDescent="0.3">
      <c r="A187" s="1"/>
      <c r="K187" s="1"/>
    </row>
    <row r="188" spans="1:14" x14ac:dyDescent="0.3">
      <c r="A188" s="1"/>
      <c r="J188" s="1"/>
      <c r="K188" s="1"/>
    </row>
    <row r="189" spans="1:14" x14ac:dyDescent="0.3">
      <c r="A189" s="1"/>
      <c r="J189" s="1"/>
      <c r="K189" s="1"/>
    </row>
    <row r="190" spans="1:14" x14ac:dyDescent="0.3">
      <c r="A190" s="1"/>
      <c r="J190" s="1"/>
      <c r="K190" s="1"/>
    </row>
    <row r="191" spans="1:14" x14ac:dyDescent="0.3">
      <c r="A191" s="1"/>
      <c r="I191" s="135"/>
      <c r="J191" s="1"/>
      <c r="K191" s="1"/>
      <c r="L191" s="1"/>
      <c r="M191" s="1"/>
      <c r="N191" s="1"/>
    </row>
    <row r="192" spans="1:14" x14ac:dyDescent="0.3">
      <c r="A192" s="1"/>
      <c r="C192" s="5"/>
      <c r="D192" s="135"/>
      <c r="E192" s="135"/>
      <c r="F192" s="135"/>
      <c r="G192" s="135"/>
      <c r="H192" s="135"/>
      <c r="I192" s="135"/>
      <c r="J192" s="1"/>
      <c r="K192" s="1"/>
      <c r="L192" s="1"/>
      <c r="M192" s="1"/>
      <c r="N192" s="1"/>
    </row>
    <row r="193" spans="1:14" x14ac:dyDescent="0.3">
      <c r="A193" s="1"/>
      <c r="C193" s="5"/>
      <c r="D193" s="135"/>
      <c r="E193" s="135"/>
      <c r="F193" s="135"/>
      <c r="G193" s="135"/>
      <c r="H193" s="135"/>
      <c r="I193" s="135"/>
      <c r="J193" s="1"/>
      <c r="K193" s="1"/>
      <c r="L193" s="1"/>
      <c r="M193" s="1"/>
      <c r="N193" s="1"/>
    </row>
    <row r="194" spans="1:14" x14ac:dyDescent="0.3">
      <c r="A194" s="1"/>
      <c r="C194" s="5"/>
      <c r="D194" s="135"/>
      <c r="E194" s="135"/>
      <c r="F194" s="135"/>
      <c r="G194" s="135"/>
      <c r="H194" s="135"/>
      <c r="I194" s="135"/>
      <c r="J194" s="1"/>
      <c r="K194" s="1"/>
      <c r="L194" s="1"/>
      <c r="M194" s="1"/>
      <c r="N194" s="1"/>
    </row>
    <row r="195" spans="1:14" x14ac:dyDescent="0.3">
      <c r="A195" s="1"/>
      <c r="C195" s="5"/>
      <c r="D195" s="135"/>
      <c r="E195" s="135"/>
      <c r="F195" s="135"/>
      <c r="G195" s="135"/>
      <c r="H195" s="135"/>
      <c r="I195" s="135"/>
      <c r="J195" s="1"/>
      <c r="K195" s="1"/>
      <c r="L195" s="1"/>
      <c r="M195" s="1"/>
      <c r="N195" s="1"/>
    </row>
    <row r="196" spans="1:14" x14ac:dyDescent="0.3">
      <c r="A196" s="1"/>
      <c r="C196" s="135"/>
      <c r="D196" s="135"/>
      <c r="E196" s="135"/>
      <c r="F196" s="135"/>
      <c r="G196" s="135"/>
      <c r="H196" s="135"/>
      <c r="I196" s="135"/>
      <c r="J196" s="1"/>
      <c r="K196" s="1"/>
      <c r="L196" s="1"/>
      <c r="M196" s="1"/>
      <c r="N196" s="1"/>
    </row>
    <row r="197" spans="1:14" x14ac:dyDescent="0.3">
      <c r="A197" s="1"/>
      <c r="C197" s="115"/>
      <c r="D197" s="138"/>
      <c r="E197" s="135"/>
      <c r="F197" s="135"/>
      <c r="G197" s="135"/>
      <c r="H197" s="135"/>
      <c r="I197" s="135"/>
      <c r="J197" s="1"/>
      <c r="K197" s="1"/>
      <c r="L197" s="1"/>
      <c r="M197" s="1"/>
      <c r="N197" s="1"/>
    </row>
    <row r="198" spans="1:14" x14ac:dyDescent="0.3">
      <c r="A198" s="1"/>
      <c r="C198" s="5"/>
      <c r="D198" s="135"/>
      <c r="E198" s="135"/>
      <c r="F198" s="135"/>
      <c r="G198" s="135"/>
      <c r="H198" s="135"/>
      <c r="I198" s="135"/>
      <c r="J198" s="1"/>
      <c r="K198" s="177"/>
      <c r="L198" s="1"/>
      <c r="M198" s="1"/>
      <c r="N198" s="1"/>
    </row>
    <row r="199" spans="1:14" x14ac:dyDescent="0.3">
      <c r="A199" s="1"/>
      <c r="C199" s="142"/>
      <c r="D199" s="142"/>
      <c r="E199" s="135"/>
      <c r="F199" s="135"/>
      <c r="G199" s="135"/>
      <c r="H199" s="135"/>
      <c r="I199" s="135"/>
      <c r="J199" s="1"/>
      <c r="K199" s="1"/>
      <c r="L199" s="1"/>
      <c r="M199" s="1"/>
      <c r="N199" s="1"/>
    </row>
    <row r="200" spans="1:14" x14ac:dyDescent="0.3">
      <c r="A200" s="1"/>
      <c r="C200" s="5"/>
      <c r="D200" s="135"/>
      <c r="E200" s="135"/>
      <c r="F200" s="135"/>
      <c r="G200" s="135"/>
      <c r="H200" s="135"/>
      <c r="I200" s="135"/>
      <c r="J200" s="1"/>
      <c r="K200" s="1"/>
      <c r="L200" s="1"/>
      <c r="M200" s="1"/>
      <c r="N200" s="1"/>
    </row>
    <row r="201" spans="1:14" x14ac:dyDescent="0.3">
      <c r="A201" s="1"/>
      <c r="C201" s="142"/>
      <c r="D201" s="142"/>
      <c r="E201" s="135"/>
      <c r="F201" s="135"/>
      <c r="G201" s="135"/>
      <c r="H201" s="135"/>
      <c r="I201" s="135"/>
      <c r="J201" s="1"/>
      <c r="K201" s="1"/>
      <c r="L201" s="1"/>
      <c r="M201" s="1"/>
      <c r="N201" s="1"/>
    </row>
    <row r="202" spans="1:14" x14ac:dyDescent="0.3">
      <c r="A202" s="1"/>
      <c r="C202" s="115"/>
      <c r="D202" s="135"/>
      <c r="E202" s="135"/>
      <c r="F202" s="135"/>
      <c r="G202" s="135"/>
      <c r="H202" s="135"/>
      <c r="I202" s="135"/>
      <c r="J202" s="1"/>
      <c r="K202" s="1"/>
      <c r="L202" s="1"/>
      <c r="M202" s="1"/>
      <c r="N202" s="1"/>
    </row>
    <row r="203" spans="1:14" x14ac:dyDescent="0.3">
      <c r="A203" s="1"/>
      <c r="C203" s="5"/>
      <c r="D203" s="135"/>
      <c r="E203" s="135"/>
      <c r="F203" s="135"/>
      <c r="G203" s="135"/>
      <c r="H203" s="135"/>
      <c r="I203" s="135"/>
      <c r="J203" s="1"/>
      <c r="K203" s="1"/>
      <c r="L203" s="1"/>
      <c r="M203" s="1"/>
      <c r="N203" s="1"/>
    </row>
    <row r="204" spans="1:14" x14ac:dyDescent="0.3">
      <c r="A204" s="1"/>
      <c r="C204" s="135"/>
      <c r="D204" s="135"/>
      <c r="E204" s="135"/>
      <c r="F204" s="135"/>
      <c r="G204" s="135"/>
      <c r="H204" s="135"/>
      <c r="I204" s="140"/>
      <c r="J204" s="177"/>
      <c r="K204" s="1"/>
      <c r="L204" s="1"/>
      <c r="M204" s="1"/>
      <c r="N204" s="1"/>
    </row>
    <row r="205" spans="1:14" x14ac:dyDescent="0.3">
      <c r="A205" s="1"/>
      <c r="C205" s="140"/>
      <c r="D205" s="140"/>
      <c r="E205" s="140"/>
      <c r="F205" s="140"/>
      <c r="G205" s="140"/>
      <c r="H205" s="140"/>
      <c r="I205" s="135"/>
      <c r="J205" s="1"/>
      <c r="K205" s="1"/>
      <c r="L205" s="1"/>
      <c r="M205" s="1"/>
      <c r="N205" s="1"/>
    </row>
    <row r="206" spans="1:14" ht="24.6" x14ac:dyDescent="0.5">
      <c r="A206" s="1"/>
      <c r="C206" s="139"/>
      <c r="D206" s="135"/>
      <c r="E206" s="135"/>
      <c r="F206" s="135"/>
      <c r="G206" s="135"/>
      <c r="H206" s="135"/>
      <c r="I206" s="135"/>
      <c r="J206" s="1"/>
      <c r="K206" s="1"/>
      <c r="L206" s="1"/>
      <c r="M206" s="1"/>
      <c r="N206" s="1"/>
    </row>
    <row r="207" spans="1:14" x14ac:dyDescent="0.3">
      <c r="A207" s="1"/>
      <c r="C207" s="1"/>
      <c r="D207" s="135"/>
      <c r="E207" s="135"/>
      <c r="F207" s="135"/>
      <c r="G207" s="135"/>
      <c r="H207" s="135"/>
      <c r="I207" s="135"/>
      <c r="J207" s="1"/>
      <c r="K207" s="1"/>
      <c r="L207" s="1"/>
      <c r="M207" s="1"/>
      <c r="N207" s="1"/>
    </row>
    <row r="208" spans="1:14" x14ac:dyDescent="0.3">
      <c r="A208" s="1"/>
      <c r="C208" s="5"/>
      <c r="D208" s="135"/>
      <c r="E208" s="135"/>
      <c r="F208" s="135"/>
      <c r="G208" s="135"/>
      <c r="H208" s="135"/>
      <c r="I208" s="135"/>
      <c r="J208" s="1"/>
      <c r="K208" s="1"/>
      <c r="L208" s="1"/>
      <c r="M208" s="1"/>
      <c r="N208" s="1"/>
    </row>
    <row r="209" spans="1:14" x14ac:dyDescent="0.3">
      <c r="A209" s="1"/>
      <c r="C209" s="5"/>
      <c r="D209" s="135"/>
      <c r="E209" s="135"/>
      <c r="F209" s="135"/>
      <c r="G209" s="135"/>
      <c r="H209" s="135"/>
      <c r="I209" s="135"/>
      <c r="J209" s="1"/>
      <c r="K209" s="1"/>
      <c r="L209" s="1"/>
      <c r="M209" s="1"/>
      <c r="N209" s="1"/>
    </row>
    <row r="210" spans="1:14" x14ac:dyDescent="0.3">
      <c r="A210" s="1"/>
      <c r="C210" s="115"/>
      <c r="D210" s="135"/>
      <c r="E210" s="135"/>
      <c r="F210" s="144"/>
      <c r="G210" s="135"/>
      <c r="H210" s="135"/>
      <c r="I210" s="135"/>
      <c r="J210" s="1"/>
      <c r="K210" s="1"/>
      <c r="L210" s="1"/>
      <c r="M210" s="1"/>
      <c r="N210" s="1"/>
    </row>
    <row r="211" spans="1:14" x14ac:dyDescent="0.3">
      <c r="A211" s="1"/>
      <c r="C211" s="135"/>
      <c r="D211" s="135"/>
      <c r="E211" s="135"/>
      <c r="F211" s="135"/>
      <c r="G211" s="144"/>
      <c r="H211" s="144"/>
      <c r="I211" s="135"/>
      <c r="J211" s="1"/>
      <c r="K211" s="1"/>
      <c r="L211" s="1"/>
      <c r="M211" s="1"/>
      <c r="N211" s="1"/>
    </row>
    <row r="212" spans="1:14" x14ac:dyDescent="0.3">
      <c r="A212" s="1"/>
      <c r="C212" s="135"/>
      <c r="D212" s="135"/>
      <c r="E212" s="135"/>
      <c r="F212" s="135"/>
      <c r="G212" s="135"/>
      <c r="H212" s="135"/>
      <c r="I212" s="135"/>
      <c r="J212" s="1"/>
      <c r="K212" s="1"/>
      <c r="L212" s="1"/>
      <c r="M212" s="1"/>
      <c r="N212" s="1"/>
    </row>
    <row r="213" spans="1:14" x14ac:dyDescent="0.3">
      <c r="A213" s="1"/>
      <c r="C213" s="115"/>
      <c r="D213" s="135"/>
      <c r="E213" s="135"/>
      <c r="F213" s="135"/>
      <c r="G213" s="135"/>
      <c r="H213" s="135"/>
      <c r="I213" s="135"/>
      <c r="J213" s="1"/>
      <c r="K213" s="1"/>
      <c r="L213" s="1"/>
      <c r="M213" s="1"/>
      <c r="N213" s="1"/>
    </row>
    <row r="214" spans="1:14" x14ac:dyDescent="0.3">
      <c r="A214" s="1"/>
      <c r="C214" s="5"/>
      <c r="D214" s="135"/>
      <c r="E214" s="135"/>
      <c r="F214" s="135"/>
      <c r="G214" s="135"/>
      <c r="H214" s="135"/>
      <c r="I214" s="135"/>
      <c r="J214" s="1"/>
      <c r="K214" s="1"/>
      <c r="L214" s="1"/>
      <c r="M214" s="1"/>
      <c r="N214" s="1"/>
    </row>
    <row r="215" spans="1:14" x14ac:dyDescent="0.3">
      <c r="A215" s="1"/>
      <c r="C215" s="135"/>
      <c r="D215" s="135"/>
      <c r="E215" s="135"/>
      <c r="F215" s="135"/>
      <c r="G215" s="135"/>
      <c r="H215" s="135"/>
      <c r="I215" s="135"/>
      <c r="J215" s="1"/>
      <c r="K215" s="1"/>
      <c r="L215" s="1"/>
      <c r="M215" s="1"/>
      <c r="N215" s="1"/>
    </row>
    <row r="216" spans="1:14" x14ac:dyDescent="0.3">
      <c r="A216" s="1"/>
      <c r="C216" s="135"/>
      <c r="D216" s="135"/>
      <c r="E216" s="135"/>
      <c r="F216" s="135"/>
      <c r="G216" s="135"/>
      <c r="H216" s="135"/>
      <c r="I216" s="135"/>
      <c r="J216" s="1"/>
      <c r="K216" s="1"/>
      <c r="L216" s="1"/>
      <c r="M216" s="1"/>
      <c r="N216" s="1"/>
    </row>
    <row r="217" spans="1:14" x14ac:dyDescent="0.3">
      <c r="A217" s="1"/>
      <c r="C217" s="135"/>
      <c r="D217" s="135"/>
      <c r="E217" s="135"/>
      <c r="F217" s="135"/>
      <c r="G217" s="135"/>
      <c r="H217" s="135"/>
      <c r="I217" s="29"/>
      <c r="J217" s="1"/>
      <c r="K217" s="1"/>
      <c r="L217" s="1"/>
      <c r="M217" s="1"/>
      <c r="N217" s="1"/>
    </row>
    <row r="218" spans="1:14" x14ac:dyDescent="0.3">
      <c r="A218" s="1"/>
      <c r="C218" s="135"/>
      <c r="D218" s="135"/>
      <c r="E218" s="31"/>
      <c r="F218" s="29"/>
      <c r="G218" s="29"/>
      <c r="H218" s="29"/>
      <c r="I218" s="135"/>
      <c r="J218" s="1"/>
      <c r="K218" s="1"/>
      <c r="L218" s="1"/>
      <c r="M218" s="1"/>
      <c r="N218" s="1"/>
    </row>
    <row r="219" spans="1:14" x14ac:dyDescent="0.3">
      <c r="A219" s="1"/>
      <c r="C219" s="5"/>
      <c r="D219" s="135"/>
      <c r="E219" s="135"/>
      <c r="F219" s="135"/>
      <c r="G219" s="135"/>
      <c r="H219" s="135"/>
      <c r="I219" s="143"/>
      <c r="J219" s="1"/>
      <c r="K219" s="1"/>
      <c r="L219" s="1"/>
      <c r="M219" s="1"/>
      <c r="N219" s="1"/>
    </row>
    <row r="220" spans="1:14" x14ac:dyDescent="0.3">
      <c r="A220" s="1"/>
      <c r="C220" s="5"/>
      <c r="D220" s="135"/>
      <c r="E220" s="143"/>
      <c r="F220" s="143"/>
      <c r="G220" s="143"/>
      <c r="H220" s="143"/>
      <c r="I220" s="135"/>
      <c r="J220" s="1"/>
      <c r="K220" s="1"/>
      <c r="L220" s="1"/>
      <c r="M220" s="1"/>
      <c r="N220" s="1"/>
    </row>
    <row r="221" spans="1:14" x14ac:dyDescent="0.3">
      <c r="A221" s="1"/>
      <c r="C221" s="135"/>
      <c r="D221" s="135"/>
      <c r="E221" s="135"/>
      <c r="F221" s="135"/>
      <c r="G221" s="135"/>
      <c r="H221" s="135"/>
      <c r="I221" s="135"/>
      <c r="J221" s="1"/>
      <c r="K221" s="1"/>
      <c r="L221" s="1"/>
      <c r="M221" s="1"/>
      <c r="N221" s="1"/>
    </row>
    <row r="222" spans="1:14" x14ac:dyDescent="0.3">
      <c r="A222" s="1"/>
      <c r="C222" s="5"/>
      <c r="D222" s="135"/>
      <c r="E222" s="135"/>
      <c r="F222" s="135"/>
      <c r="G222" s="135"/>
      <c r="H222" s="135"/>
      <c r="I222" s="135"/>
      <c r="J222" s="1"/>
      <c r="K222" s="1"/>
      <c r="L222" s="1"/>
      <c r="M222" s="1"/>
      <c r="N222" s="1"/>
    </row>
    <row r="223" spans="1:14" x14ac:dyDescent="0.3">
      <c r="A223" s="1"/>
      <c r="C223" s="135"/>
      <c r="D223" s="135"/>
      <c r="E223" s="135"/>
      <c r="F223" s="135"/>
      <c r="G223" s="135"/>
      <c r="H223" s="135"/>
      <c r="I223" s="135"/>
      <c r="J223" s="1"/>
      <c r="K223" s="1"/>
      <c r="L223" s="1"/>
      <c r="M223" s="1"/>
      <c r="N223" s="1"/>
    </row>
    <row r="224" spans="1:14" x14ac:dyDescent="0.3">
      <c r="A224" s="1"/>
      <c r="C224" s="135"/>
      <c r="D224" s="135"/>
      <c r="E224" s="135"/>
      <c r="F224" s="135"/>
      <c r="G224" s="135"/>
      <c r="H224" s="135"/>
      <c r="I224" s="135"/>
      <c r="J224" s="1"/>
      <c r="K224" s="1"/>
      <c r="L224" s="1"/>
      <c r="M224" s="1"/>
      <c r="N224" s="1"/>
    </row>
    <row r="225" spans="1:14" x14ac:dyDescent="0.3">
      <c r="A225" s="1"/>
      <c r="C225" s="1"/>
      <c r="D225" s="135"/>
      <c r="E225" s="135"/>
      <c r="F225" s="135"/>
      <c r="G225" s="135"/>
      <c r="H225" s="135"/>
      <c r="I225" s="135"/>
      <c r="J225" s="1"/>
      <c r="K225" s="1"/>
      <c r="L225" s="1"/>
      <c r="M225" s="1"/>
      <c r="N225" s="1"/>
    </row>
    <row r="226" spans="1:14" x14ac:dyDescent="0.3">
      <c r="A226" s="1"/>
      <c r="C226" s="135"/>
      <c r="D226" s="135"/>
      <c r="E226" s="135"/>
      <c r="F226" s="135"/>
      <c r="G226" s="135"/>
      <c r="H226" s="135"/>
      <c r="I226" s="135"/>
      <c r="J226" s="1"/>
      <c r="K226" s="1"/>
      <c r="L226" s="1"/>
      <c r="M226" s="1"/>
      <c r="N226" s="1"/>
    </row>
    <row r="227" spans="1:14" x14ac:dyDescent="0.3">
      <c r="A227" s="1"/>
      <c r="C227" s="135"/>
      <c r="D227" s="135"/>
      <c r="E227" s="135"/>
      <c r="F227" s="135"/>
      <c r="G227" s="135"/>
      <c r="H227" s="135"/>
      <c r="I227" s="135"/>
      <c r="J227" s="1"/>
      <c r="K227" s="1"/>
      <c r="L227" s="1"/>
      <c r="M227" s="1"/>
      <c r="N227" s="1"/>
    </row>
    <row r="228" spans="1:14" x14ac:dyDescent="0.3">
      <c r="A228" s="1"/>
      <c r="B228" s="1"/>
      <c r="C228" s="135"/>
      <c r="D228" s="135"/>
      <c r="E228" s="135"/>
      <c r="F228" s="135"/>
      <c r="G228" s="135"/>
      <c r="H228" s="135"/>
      <c r="I228" s="135"/>
      <c r="J228" s="1"/>
      <c r="K228" s="1"/>
      <c r="L228" s="1"/>
      <c r="M228" s="1"/>
      <c r="N228" s="1"/>
    </row>
    <row r="229" spans="1:14" x14ac:dyDescent="0.3">
      <c r="A229" s="1"/>
      <c r="B229" s="1"/>
      <c r="C229" s="135"/>
      <c r="D229" s="135"/>
      <c r="E229" s="135"/>
      <c r="F229" s="135"/>
      <c r="G229" s="135"/>
      <c r="H229" s="135"/>
      <c r="I229" s="135"/>
      <c r="J229" s="1"/>
      <c r="K229" s="1"/>
      <c r="L229" s="1"/>
      <c r="M229" s="1"/>
      <c r="N229" s="1"/>
    </row>
    <row r="230" spans="1:14" x14ac:dyDescent="0.3">
      <c r="A230" s="1"/>
      <c r="B230" s="1"/>
      <c r="C230" s="135"/>
      <c r="D230" s="135"/>
      <c r="E230" s="135"/>
      <c r="F230" s="135"/>
      <c r="G230" s="135"/>
      <c r="H230" s="135"/>
      <c r="I230" s="135"/>
      <c r="J230" s="1"/>
      <c r="K230" s="1"/>
      <c r="L230" s="1"/>
      <c r="M230" s="1"/>
      <c r="N230" s="1"/>
    </row>
    <row r="231" spans="1:14" x14ac:dyDescent="0.3">
      <c r="A231" s="1"/>
      <c r="B231" s="1"/>
      <c r="C231" s="135"/>
      <c r="D231" s="135"/>
      <c r="E231" s="135"/>
      <c r="F231" s="135"/>
      <c r="G231" s="135"/>
      <c r="H231" s="135"/>
      <c r="I231" s="135"/>
      <c r="J231" s="1"/>
      <c r="K231" s="1"/>
      <c r="L231" s="1"/>
      <c r="M231" s="1"/>
      <c r="N231" s="1"/>
    </row>
    <row r="232" spans="1:14" x14ac:dyDescent="0.3">
      <c r="A232" s="1"/>
      <c r="B232" s="1"/>
      <c r="C232" s="135"/>
      <c r="D232" s="135"/>
      <c r="E232" s="135"/>
      <c r="F232" s="135"/>
      <c r="G232" s="135"/>
      <c r="H232" s="135"/>
      <c r="I232" s="135"/>
      <c r="J232" s="1"/>
      <c r="K232" s="1"/>
      <c r="L232" s="1"/>
      <c r="M232" s="1"/>
      <c r="N232" s="1"/>
    </row>
    <row r="233" spans="1:14" x14ac:dyDescent="0.3">
      <c r="A233" s="1"/>
      <c r="B233" s="1"/>
      <c r="C233" s="141"/>
      <c r="D233" s="135"/>
      <c r="E233" s="135"/>
      <c r="F233" s="135"/>
      <c r="G233" s="135"/>
      <c r="H233" s="135"/>
      <c r="I233" s="135"/>
      <c r="J233" s="1"/>
      <c r="K233" s="1"/>
      <c r="L233" s="1"/>
      <c r="M233" s="1"/>
      <c r="N233" s="1"/>
    </row>
    <row r="234" spans="1:14" x14ac:dyDescent="0.3">
      <c r="A234" s="1"/>
      <c r="B234" s="1"/>
      <c r="C234" s="141"/>
      <c r="D234" s="135"/>
      <c r="E234" s="135"/>
      <c r="F234" s="135"/>
      <c r="G234" s="135"/>
      <c r="H234" s="135"/>
      <c r="I234" s="135"/>
      <c r="J234" s="1"/>
      <c r="K234" s="1"/>
      <c r="L234" s="1"/>
      <c r="M234" s="1"/>
      <c r="N234" s="1"/>
    </row>
    <row r="235" spans="1:14" x14ac:dyDescent="0.3">
      <c r="A235" s="1"/>
      <c r="B235" s="1"/>
      <c r="C235" s="135"/>
      <c r="D235" s="135"/>
      <c r="E235" s="135"/>
      <c r="F235" s="135"/>
      <c r="G235" s="135"/>
      <c r="H235" s="135"/>
      <c r="I235" s="135"/>
      <c r="J235" s="135"/>
      <c r="K235" s="1"/>
      <c r="L235" s="1"/>
      <c r="M235" s="1"/>
      <c r="N235" s="1"/>
    </row>
    <row r="236" spans="1:14" x14ac:dyDescent="0.3">
      <c r="A236" s="1"/>
      <c r="B236" s="1"/>
      <c r="C236" s="135"/>
      <c r="D236" s="135"/>
      <c r="E236" s="135"/>
      <c r="F236" s="135"/>
      <c r="G236" s="135"/>
      <c r="H236" s="135"/>
      <c r="I236" s="135"/>
      <c r="J236" s="1"/>
      <c r="K236" s="1"/>
      <c r="L236" s="1"/>
      <c r="M236" s="1"/>
      <c r="N236" s="1"/>
    </row>
    <row r="237" spans="1:14" x14ac:dyDescent="0.3">
      <c r="A237" s="1"/>
      <c r="B237" s="1"/>
      <c r="C237" s="135"/>
      <c r="D237" s="135"/>
      <c r="E237" s="135"/>
      <c r="F237" s="135"/>
      <c r="G237" s="135"/>
      <c r="H237" s="135"/>
      <c r="I237" s="135"/>
      <c r="J237" s="1"/>
      <c r="K237" s="1"/>
      <c r="L237" s="1"/>
      <c r="M237" s="1"/>
      <c r="N237" s="1"/>
    </row>
    <row r="238" spans="1:14" x14ac:dyDescent="0.3">
      <c r="A238" s="1"/>
      <c r="B238" s="1"/>
      <c r="C238" s="135"/>
      <c r="D238" s="135"/>
      <c r="E238" s="135"/>
      <c r="F238" s="135"/>
      <c r="G238" s="135"/>
      <c r="H238" s="135"/>
      <c r="I238" s="135"/>
      <c r="J238" s="1"/>
      <c r="K238" s="1"/>
      <c r="L238" s="1"/>
      <c r="M238" s="1"/>
      <c r="N238" s="1"/>
    </row>
    <row r="239" spans="1:14" x14ac:dyDescent="0.3">
      <c r="A239" s="1"/>
      <c r="B239" s="1"/>
      <c r="C239" s="135"/>
      <c r="D239" s="135"/>
      <c r="E239" s="135"/>
      <c r="F239" s="135"/>
      <c r="G239" s="135"/>
      <c r="H239" s="135"/>
      <c r="I239" s="1"/>
      <c r="J239" s="1"/>
      <c r="K239" s="1"/>
      <c r="L239" s="1"/>
      <c r="M239" s="1"/>
      <c r="N239" s="1"/>
    </row>
    <row r="240" spans="1:14" x14ac:dyDescent="0.3">
      <c r="A240" s="1"/>
      <c r="B240" s="1"/>
      <c r="C240" s="1"/>
      <c r="D240" s="1"/>
      <c r="E240" s="1"/>
      <c r="F240" s="1"/>
      <c r="G240" s="1"/>
      <c r="H240" s="1"/>
      <c r="I240" s="135"/>
      <c r="J240" s="1"/>
      <c r="K240" s="1"/>
      <c r="L240" s="1"/>
      <c r="M240" s="1"/>
      <c r="N240" s="1"/>
    </row>
    <row r="241" spans="1:14" x14ac:dyDescent="0.3">
      <c r="A241" s="1"/>
      <c r="B241" s="1"/>
      <c r="C241" s="1"/>
      <c r="D241" s="135"/>
      <c r="E241" s="135"/>
      <c r="F241" s="135"/>
      <c r="G241" s="135"/>
      <c r="H241" s="135"/>
      <c r="I241" s="1"/>
      <c r="J241" s="1"/>
      <c r="K241" s="1"/>
      <c r="L241" s="1"/>
      <c r="M241" s="1"/>
      <c r="N241" s="1"/>
    </row>
    <row r="242" spans="1:14" x14ac:dyDescent="0.3">
      <c r="A242" s="1"/>
      <c r="B242" s="1"/>
      <c r="C242" s="1"/>
      <c r="D242" s="1"/>
      <c r="E242" s="1"/>
      <c r="F242" s="1"/>
      <c r="G242" s="1"/>
      <c r="H242" s="1"/>
    </row>
    <row r="243" spans="1:14" x14ac:dyDescent="0.3">
      <c r="A243" s="1"/>
      <c r="B243" s="1"/>
      <c r="C243" s="1"/>
      <c r="D243" s="1"/>
      <c r="E243" s="1"/>
      <c r="F243" s="1"/>
      <c r="G243" s="1"/>
      <c r="H243" s="1"/>
    </row>
    <row r="244" spans="1:14" x14ac:dyDescent="0.3">
      <c r="A244" s="1"/>
      <c r="B244" s="1"/>
      <c r="C244" s="1"/>
      <c r="D244" s="1"/>
      <c r="E244" s="1"/>
      <c r="F244" s="1"/>
      <c r="G244" s="1"/>
      <c r="H244" s="1"/>
    </row>
    <row r="245" spans="1:14" x14ac:dyDescent="0.3">
      <c r="A245" s="1"/>
      <c r="B245" s="1"/>
      <c r="C245" s="1"/>
      <c r="D245" s="1"/>
      <c r="E245" s="1"/>
      <c r="F245" s="1"/>
      <c r="G245" s="1"/>
      <c r="H245" s="1"/>
    </row>
    <row r="246" spans="1:14" x14ac:dyDescent="0.3">
      <c r="A246" s="1"/>
      <c r="B246" s="1"/>
      <c r="C246" s="1"/>
      <c r="D246" s="1"/>
      <c r="E246" s="1"/>
      <c r="F246" s="1"/>
      <c r="G246" s="1"/>
      <c r="H246" s="1"/>
    </row>
    <row r="247" spans="1:14" x14ac:dyDescent="0.3">
      <c r="A247" s="1"/>
      <c r="B247" s="1"/>
      <c r="C247" s="1"/>
      <c r="D247" s="1"/>
      <c r="E247" s="1"/>
      <c r="F247" s="1"/>
      <c r="G247" s="1"/>
      <c r="H247" s="1"/>
    </row>
    <row r="248" spans="1:14" x14ac:dyDescent="0.3">
      <c r="A248" s="1"/>
      <c r="B248" s="1"/>
      <c r="C248" s="1"/>
      <c r="D248" s="1"/>
      <c r="E248" s="1"/>
      <c r="F248" s="1"/>
      <c r="G248" s="1"/>
      <c r="H248" s="1"/>
    </row>
    <row r="249" spans="1:14" x14ac:dyDescent="0.3">
      <c r="A249" s="1"/>
      <c r="B249" s="1"/>
      <c r="C249" s="1"/>
      <c r="D249" s="1"/>
      <c r="E249" s="1"/>
      <c r="F249" s="1"/>
      <c r="G249" s="1"/>
      <c r="H249" s="1"/>
    </row>
    <row r="250" spans="1:14" x14ac:dyDescent="0.3">
      <c r="A250" s="1"/>
      <c r="B250" s="1"/>
      <c r="C250" s="1"/>
      <c r="D250" s="1"/>
      <c r="E250" s="1"/>
      <c r="F250" s="1"/>
      <c r="G250" s="1"/>
      <c r="H250" s="1"/>
    </row>
    <row r="251" spans="1:14" x14ac:dyDescent="0.3">
      <c r="A251" s="1"/>
      <c r="B251" s="1"/>
      <c r="C251" s="1"/>
      <c r="D251" s="1"/>
      <c r="E251" s="1"/>
      <c r="F251" s="1"/>
      <c r="G251" s="1"/>
      <c r="H251" s="1"/>
    </row>
    <row r="252" spans="1:14" x14ac:dyDescent="0.3">
      <c r="A252" s="1"/>
      <c r="B252" s="1"/>
      <c r="C252" s="1"/>
      <c r="D252" s="1"/>
      <c r="E252" s="1"/>
      <c r="F252" s="1"/>
      <c r="G252" s="1"/>
      <c r="H252" s="1"/>
    </row>
    <row r="253" spans="1:14" x14ac:dyDescent="0.3">
      <c r="A253" s="1"/>
      <c r="B253" s="1"/>
      <c r="C253" s="1"/>
      <c r="D253" s="1"/>
      <c r="E253" s="1"/>
      <c r="F253" s="1"/>
      <c r="G253" s="1"/>
      <c r="H253" s="1"/>
    </row>
    <row r="254" spans="1:14" x14ac:dyDescent="0.3">
      <c r="A254" s="1"/>
      <c r="B254" s="1"/>
      <c r="C254" s="1"/>
      <c r="D254" s="1"/>
      <c r="E254" s="1"/>
      <c r="F254" s="1"/>
      <c r="G254" s="1"/>
      <c r="H254" s="1"/>
    </row>
    <row r="255" spans="1:14" x14ac:dyDescent="0.3">
      <c r="A255" s="1"/>
      <c r="B255" s="1"/>
      <c r="C255" s="1"/>
      <c r="D255" s="1"/>
      <c r="E255" s="1"/>
      <c r="F255" s="1"/>
      <c r="G255" s="1"/>
      <c r="H255" s="1"/>
    </row>
    <row r="256" spans="1:14" x14ac:dyDescent="0.3">
      <c r="A256" s="1"/>
      <c r="B256" s="1"/>
      <c r="C256" s="1"/>
      <c r="D256" s="1"/>
      <c r="E256" s="1"/>
      <c r="F256" s="1"/>
      <c r="G256" s="1"/>
      <c r="H256" s="1"/>
    </row>
    <row r="257" spans="1:8" x14ac:dyDescent="0.3">
      <c r="A257" s="1"/>
      <c r="B257" s="1"/>
      <c r="C257" s="1"/>
      <c r="D257" s="1"/>
      <c r="E257" s="1"/>
      <c r="F257" s="1"/>
      <c r="G257" s="1"/>
      <c r="H257" s="1"/>
    </row>
    <row r="258" spans="1:8" x14ac:dyDescent="0.3">
      <c r="A258" s="1"/>
      <c r="B258" s="1"/>
      <c r="C258" s="1"/>
      <c r="D258" s="1"/>
      <c r="E258" s="1"/>
      <c r="F258" s="1"/>
      <c r="G258" s="1"/>
      <c r="H258" s="1"/>
    </row>
    <row r="259" spans="1:8" x14ac:dyDescent="0.3">
      <c r="A259" s="1"/>
      <c r="B259" s="1"/>
      <c r="C259" s="1"/>
      <c r="D259" s="1"/>
      <c r="E259" s="1"/>
      <c r="F259" s="1"/>
      <c r="G259" s="1"/>
      <c r="H259" s="1"/>
    </row>
    <row r="260" spans="1:8" x14ac:dyDescent="0.3">
      <c r="A260" s="1"/>
      <c r="B260" s="1"/>
      <c r="C260" s="1"/>
      <c r="D260" s="1"/>
      <c r="E260" s="1"/>
      <c r="F260" s="1"/>
      <c r="G260" s="1"/>
      <c r="H260" s="1"/>
    </row>
    <row r="261" spans="1:8" x14ac:dyDescent="0.3">
      <c r="A261" s="1"/>
      <c r="B261" s="1"/>
      <c r="C261" s="1"/>
      <c r="D261" s="1"/>
      <c r="E261" s="1"/>
      <c r="F261" s="1"/>
      <c r="G261" s="1"/>
      <c r="H261" s="1"/>
    </row>
    <row r="262" spans="1:8" x14ac:dyDescent="0.3">
      <c r="A262" s="1"/>
      <c r="B262" s="1"/>
      <c r="C262" s="1"/>
      <c r="D262" s="1"/>
      <c r="E262" s="1"/>
      <c r="F262" s="1"/>
      <c r="G262" s="1"/>
      <c r="H262" s="1"/>
    </row>
    <row r="263" spans="1:8" x14ac:dyDescent="0.3">
      <c r="A263" s="1"/>
      <c r="B263" s="1"/>
      <c r="C263" s="1"/>
      <c r="D263" s="1"/>
      <c r="E263" s="1"/>
      <c r="F263" s="1"/>
      <c r="G263" s="1"/>
      <c r="H263" s="1"/>
    </row>
    <row r="264" spans="1:8" x14ac:dyDescent="0.3">
      <c r="A264" s="1"/>
      <c r="B264" s="1"/>
      <c r="C264" s="1"/>
      <c r="D264" s="1"/>
      <c r="E264" s="1"/>
      <c r="F264" s="1"/>
      <c r="G264" s="1"/>
      <c r="H264" s="1"/>
    </row>
    <row r="265" spans="1:8" x14ac:dyDescent="0.3">
      <c r="A265" s="1"/>
      <c r="B265" s="1"/>
      <c r="C265" s="1"/>
      <c r="D265" s="1"/>
      <c r="E265" s="1"/>
      <c r="F265" s="1"/>
      <c r="G265" s="1"/>
      <c r="H265" s="1"/>
    </row>
    <row r="266" spans="1:8" x14ac:dyDescent="0.3">
      <c r="A266" s="1"/>
      <c r="B266" s="1"/>
      <c r="C266" s="1"/>
      <c r="D266" s="1"/>
      <c r="E266" s="1"/>
      <c r="F266" s="1"/>
      <c r="G266" s="1"/>
      <c r="H266" s="1"/>
    </row>
    <row r="267" spans="1:8" x14ac:dyDescent="0.3">
      <c r="A267" s="1"/>
      <c r="B267" s="1"/>
      <c r="C267" s="1"/>
      <c r="D267" s="1"/>
      <c r="E267" s="1"/>
      <c r="F267" s="1"/>
      <c r="G267" s="1"/>
      <c r="H267" s="1"/>
    </row>
    <row r="268" spans="1:8" x14ac:dyDescent="0.3">
      <c r="A268" s="1"/>
      <c r="B268" s="1"/>
      <c r="C268" s="1"/>
      <c r="D268" s="1"/>
      <c r="E268" s="1"/>
      <c r="F268" s="1"/>
      <c r="G268" s="1"/>
      <c r="H268" s="1"/>
    </row>
    <row r="269" spans="1:8" x14ac:dyDescent="0.3">
      <c r="A269" s="1"/>
      <c r="B269" s="1"/>
      <c r="C269" s="1"/>
      <c r="D269" s="1"/>
      <c r="E269" s="1"/>
      <c r="F269" s="1"/>
      <c r="G269" s="1"/>
      <c r="H269" s="1"/>
    </row>
    <row r="270" spans="1:8" x14ac:dyDescent="0.3">
      <c r="A270" s="1"/>
      <c r="B270" s="1"/>
      <c r="C270" s="1"/>
      <c r="D270" s="1"/>
      <c r="E270" s="1"/>
      <c r="F270" s="1"/>
      <c r="G270" s="1"/>
      <c r="H270" s="1"/>
    </row>
    <row r="271" spans="1:8" x14ac:dyDescent="0.3">
      <c r="A271" s="1"/>
      <c r="B271" s="1"/>
      <c r="C271" s="1"/>
      <c r="D271" s="1"/>
      <c r="E271" s="1"/>
      <c r="F271" s="1"/>
      <c r="G271" s="1"/>
      <c r="H271" s="1"/>
    </row>
    <row r="272" spans="1:8" x14ac:dyDescent="0.3">
      <c r="A272" s="1"/>
      <c r="B272" s="1"/>
      <c r="C272" s="1"/>
      <c r="D272" s="1"/>
      <c r="E272" s="1"/>
      <c r="F272" s="1"/>
      <c r="G272" s="1"/>
      <c r="H272" s="1"/>
    </row>
    <row r="273" spans="1:8" x14ac:dyDescent="0.3">
      <c r="A273" s="1"/>
      <c r="B273" s="1"/>
      <c r="C273" s="1"/>
      <c r="D273" s="1"/>
      <c r="E273" s="1"/>
      <c r="F273" s="1"/>
      <c r="G273" s="1"/>
      <c r="H273" s="1"/>
    </row>
    <row r="274" spans="1:8" x14ac:dyDescent="0.3">
      <c r="A274" s="1"/>
      <c r="B274" s="1"/>
      <c r="C274" s="1"/>
      <c r="D274" s="1"/>
      <c r="E274" s="1"/>
      <c r="F274" s="1"/>
      <c r="G274" s="1"/>
      <c r="H274" s="1"/>
    </row>
    <row r="275" spans="1:8" x14ac:dyDescent="0.3">
      <c r="A275" s="1"/>
      <c r="B275" s="1"/>
      <c r="C275" s="1"/>
      <c r="D275" s="1"/>
      <c r="E275" s="1"/>
      <c r="F275" s="1"/>
      <c r="G275" s="1"/>
      <c r="H275" s="1"/>
    </row>
    <row r="276" spans="1:8" x14ac:dyDescent="0.3">
      <c r="A276" s="1"/>
      <c r="B276" s="1"/>
      <c r="C276" s="1"/>
      <c r="D276" s="1"/>
      <c r="E276" s="1"/>
      <c r="F276" s="1"/>
      <c r="G276" s="1"/>
      <c r="H276" s="1"/>
    </row>
    <row r="277" spans="1:8" x14ac:dyDescent="0.3">
      <c r="A277" s="1"/>
      <c r="B277" s="1"/>
      <c r="C277" s="1"/>
      <c r="D277" s="1"/>
      <c r="E277" s="1"/>
      <c r="F277" s="1"/>
      <c r="G277" s="1"/>
      <c r="H277" s="1"/>
    </row>
    <row r="278" spans="1:8" x14ac:dyDescent="0.3">
      <c r="A278" s="1"/>
      <c r="B278" s="1"/>
      <c r="C278" s="1"/>
      <c r="D278" s="1"/>
      <c r="E278" s="1"/>
      <c r="F278" s="1"/>
      <c r="G278" s="1"/>
      <c r="H278" s="1"/>
    </row>
    <row r="279" spans="1:8" x14ac:dyDescent="0.3">
      <c r="A279" s="1"/>
      <c r="B279" s="1"/>
      <c r="C279" s="1"/>
      <c r="D279" s="1"/>
      <c r="E279" s="1"/>
      <c r="F279" s="1"/>
      <c r="G279" s="1"/>
      <c r="H279" s="1"/>
    </row>
    <row r="280" spans="1:8" x14ac:dyDescent="0.3">
      <c r="A280" s="1"/>
      <c r="B280" s="1"/>
      <c r="C280" s="1"/>
      <c r="D280" s="1"/>
      <c r="E280" s="1"/>
      <c r="F280" s="1"/>
      <c r="G280" s="1"/>
      <c r="H280" s="1"/>
    </row>
    <row r="281" spans="1:8" x14ac:dyDescent="0.3">
      <c r="A281" s="1"/>
      <c r="B281" s="1"/>
      <c r="C281" s="1"/>
      <c r="D281" s="1"/>
      <c r="E281" s="1"/>
      <c r="F281" s="1"/>
      <c r="G281" s="1"/>
      <c r="H281" s="1"/>
    </row>
    <row r="282" spans="1:8" x14ac:dyDescent="0.3">
      <c r="A282" s="1"/>
      <c r="B282" s="1"/>
      <c r="C282" s="1"/>
      <c r="D282" s="1"/>
      <c r="E282" s="1"/>
      <c r="F282" s="1"/>
      <c r="G282" s="1"/>
      <c r="H282" s="1"/>
    </row>
    <row r="283" spans="1:8" x14ac:dyDescent="0.3">
      <c r="A283" s="1"/>
      <c r="B283" s="1"/>
      <c r="C283" s="1"/>
      <c r="D283" s="1"/>
      <c r="E283" s="1"/>
      <c r="F283" s="1"/>
      <c r="G283" s="1"/>
      <c r="H283" s="1"/>
    </row>
    <row r="284" spans="1:8" x14ac:dyDescent="0.3">
      <c r="A284" s="1"/>
      <c r="B284" s="1"/>
      <c r="C284" s="1"/>
      <c r="D284" s="1"/>
      <c r="E284" s="1"/>
      <c r="F284" s="1"/>
      <c r="G284" s="1"/>
      <c r="H284" s="1"/>
    </row>
    <row r="285" spans="1:8" x14ac:dyDescent="0.3">
      <c r="A285" s="1"/>
      <c r="B285" s="1"/>
      <c r="C285" s="1"/>
      <c r="D285" s="1"/>
      <c r="E285" s="1"/>
      <c r="F285" s="1"/>
      <c r="G285" s="1"/>
      <c r="H285" s="1"/>
    </row>
    <row r="286" spans="1:8" x14ac:dyDescent="0.3">
      <c r="A286" s="1"/>
      <c r="B286" s="1"/>
      <c r="C286" s="1"/>
      <c r="D286" s="1"/>
      <c r="E286" s="1"/>
      <c r="F286" s="1"/>
      <c r="G286" s="1"/>
      <c r="H286" s="1"/>
    </row>
    <row r="287" spans="1:8" x14ac:dyDescent="0.3">
      <c r="A287" s="1"/>
      <c r="B287" s="1"/>
      <c r="C287" s="1"/>
      <c r="D287" s="1"/>
      <c r="E287" s="1"/>
      <c r="F287" s="1"/>
      <c r="G287" s="1"/>
      <c r="H287" s="1"/>
    </row>
    <row r="288" spans="1:8" x14ac:dyDescent="0.3">
      <c r="A288" s="1"/>
      <c r="B288" s="1"/>
      <c r="C288" s="1"/>
      <c r="D288" s="1"/>
      <c r="E288" s="1"/>
      <c r="F288" s="1"/>
      <c r="G288" s="1"/>
      <c r="H288" s="1"/>
    </row>
    <row r="289" spans="1:8" x14ac:dyDescent="0.3">
      <c r="A289" s="1"/>
      <c r="B289" s="1"/>
      <c r="C289" s="1"/>
      <c r="D289" s="1"/>
      <c r="E289" s="1"/>
      <c r="F289" s="1"/>
      <c r="G289" s="1"/>
      <c r="H289" s="1"/>
    </row>
    <row r="290" spans="1:8" x14ac:dyDescent="0.3">
      <c r="A290" s="1"/>
      <c r="B290" s="1"/>
      <c r="C290" s="1"/>
      <c r="D290" s="1"/>
      <c r="E290" s="1"/>
      <c r="F290" s="1"/>
      <c r="G290" s="1"/>
      <c r="H290" s="1"/>
    </row>
    <row r="291" spans="1:8" x14ac:dyDescent="0.3">
      <c r="A291" s="1"/>
      <c r="B291" s="1"/>
      <c r="C291" s="1"/>
      <c r="D291" s="1"/>
      <c r="E291" s="1"/>
      <c r="F291" s="1"/>
      <c r="G291" s="1"/>
      <c r="H291" s="1"/>
    </row>
    <row r="292" spans="1:8" x14ac:dyDescent="0.3">
      <c r="A292" s="1"/>
      <c r="B292" s="1"/>
      <c r="C292" s="1"/>
      <c r="D292" s="1"/>
      <c r="E292" s="1"/>
      <c r="F292" s="1"/>
      <c r="G292" s="1"/>
      <c r="H292" s="1"/>
    </row>
    <row r="293" spans="1:8" x14ac:dyDescent="0.3">
      <c r="A293" s="1"/>
      <c r="B293" s="1"/>
      <c r="C293" s="1"/>
      <c r="D293" s="1"/>
      <c r="E293" s="1"/>
      <c r="F293" s="1"/>
      <c r="G293" s="1"/>
      <c r="H293" s="1"/>
    </row>
    <row r="294" spans="1:8" x14ac:dyDescent="0.3">
      <c r="A294" s="1"/>
      <c r="B294" s="1"/>
      <c r="C294" s="1"/>
      <c r="D294" s="1"/>
      <c r="E294" s="1"/>
      <c r="F294" s="1"/>
      <c r="G294" s="1"/>
      <c r="H294" s="1"/>
    </row>
    <row r="295" spans="1:8" x14ac:dyDescent="0.3">
      <c r="A295" s="1"/>
      <c r="B295" s="1"/>
      <c r="C295" s="1"/>
      <c r="D295" s="1"/>
      <c r="E295" s="1"/>
      <c r="F295" s="1"/>
      <c r="G295" s="1"/>
      <c r="H295" s="1"/>
    </row>
    <row r="296" spans="1:8" x14ac:dyDescent="0.3">
      <c r="A296" s="1"/>
      <c r="B296" s="1"/>
      <c r="C296" s="1"/>
      <c r="D296" s="1"/>
      <c r="E296" s="1"/>
      <c r="F296" s="1"/>
      <c r="G296" s="1"/>
      <c r="H296" s="1"/>
    </row>
    <row r="297" spans="1:8" x14ac:dyDescent="0.3">
      <c r="A297" s="1"/>
      <c r="B297" s="1"/>
      <c r="C297" s="1"/>
      <c r="D297" s="1"/>
      <c r="E297" s="1"/>
      <c r="F297" s="1"/>
      <c r="G297" s="1"/>
      <c r="H297" s="1"/>
    </row>
    <row r="298" spans="1:8" x14ac:dyDescent="0.3">
      <c r="A298" s="1"/>
      <c r="B298" s="1"/>
      <c r="C298" s="1"/>
      <c r="D298" s="1"/>
      <c r="E298" s="1"/>
      <c r="F298" s="1"/>
      <c r="G298" s="1"/>
      <c r="H298" s="1"/>
    </row>
    <row r="299" spans="1:8" x14ac:dyDescent="0.3">
      <c r="A299" s="1"/>
      <c r="B299" s="1"/>
      <c r="C299" s="1"/>
      <c r="D299" s="1"/>
      <c r="E299" s="1"/>
      <c r="F299" s="1"/>
      <c r="G299" s="1"/>
      <c r="H299" s="1"/>
    </row>
    <row r="300" spans="1:8" x14ac:dyDescent="0.3">
      <c r="A300" s="1"/>
      <c r="B300" s="1"/>
      <c r="C300" s="1"/>
      <c r="D300" s="1"/>
      <c r="E300" s="1"/>
      <c r="F300" s="1"/>
      <c r="G300" s="1"/>
      <c r="H300" s="1"/>
    </row>
    <row r="301" spans="1:8" x14ac:dyDescent="0.3">
      <c r="A301" s="1"/>
      <c r="B301" s="1"/>
      <c r="C301" s="1"/>
      <c r="D301" s="1"/>
      <c r="E301" s="1"/>
      <c r="F301" s="1"/>
      <c r="G301" s="1"/>
      <c r="H301" s="1"/>
    </row>
    <row r="302" spans="1:8" x14ac:dyDescent="0.3">
      <c r="A302" s="1"/>
      <c r="B302" s="1"/>
      <c r="C302" s="1"/>
      <c r="D302" s="1"/>
      <c r="E302" s="1"/>
      <c r="F302" s="1"/>
      <c r="G302" s="1"/>
      <c r="H302" s="1"/>
    </row>
    <row r="303" spans="1:8" x14ac:dyDescent="0.3">
      <c r="A303" s="1"/>
      <c r="B303" s="1"/>
      <c r="C303" s="1"/>
      <c r="D303" s="1"/>
      <c r="E303" s="1"/>
      <c r="F303" s="1"/>
      <c r="G303" s="1"/>
      <c r="H303" s="1"/>
    </row>
    <row r="304" spans="1:8" x14ac:dyDescent="0.3">
      <c r="A304" s="1"/>
      <c r="B304" s="1"/>
      <c r="C304" s="1"/>
      <c r="D304" s="1"/>
      <c r="E304" s="1"/>
      <c r="F304" s="1"/>
      <c r="G304" s="1"/>
      <c r="H304" s="1"/>
    </row>
    <row r="305" spans="1:8" x14ac:dyDescent="0.3">
      <c r="A305" s="1"/>
      <c r="B305" s="1"/>
      <c r="C305" s="1"/>
      <c r="D305" s="1"/>
      <c r="E305" s="1"/>
      <c r="F305" s="1"/>
      <c r="G305" s="1"/>
      <c r="H305" s="1"/>
    </row>
    <row r="306" spans="1:8" x14ac:dyDescent="0.3">
      <c r="A306" s="1"/>
      <c r="B306" s="1"/>
      <c r="C306" s="1"/>
      <c r="D306" s="1"/>
      <c r="E306" s="1"/>
      <c r="F306" s="1"/>
      <c r="G306" s="1"/>
      <c r="H306" s="1"/>
    </row>
    <row r="307" spans="1:8" x14ac:dyDescent="0.3">
      <c r="A307" s="1"/>
      <c r="B307" s="1"/>
      <c r="C307" s="1"/>
      <c r="D307" s="1"/>
      <c r="E307" s="1"/>
      <c r="F307" s="1"/>
      <c r="G307" s="1"/>
      <c r="H307" s="1"/>
    </row>
    <row r="308" spans="1:8" x14ac:dyDescent="0.3">
      <c r="A308" s="1"/>
      <c r="B308" s="1"/>
      <c r="C308" s="1"/>
      <c r="D308" s="1"/>
      <c r="E308" s="1"/>
      <c r="F308" s="1"/>
      <c r="G308" s="1"/>
      <c r="H308" s="1"/>
    </row>
    <row r="309" spans="1:8" x14ac:dyDescent="0.3">
      <c r="A309" s="1"/>
      <c r="B309" s="1"/>
      <c r="C309" s="1"/>
      <c r="D309" s="1"/>
      <c r="E309" s="1"/>
      <c r="F309" s="1"/>
      <c r="G309" s="1"/>
      <c r="H309" s="1"/>
    </row>
    <row r="310" spans="1:8" x14ac:dyDescent="0.3">
      <c r="A310" s="1"/>
      <c r="B310" s="1"/>
      <c r="C310" s="1"/>
      <c r="D310" s="1"/>
      <c r="E310" s="1"/>
      <c r="F310" s="1"/>
      <c r="G310" s="1"/>
      <c r="H310" s="1"/>
    </row>
    <row r="311" spans="1:8" x14ac:dyDescent="0.3">
      <c r="A311" s="1"/>
      <c r="B311" s="1"/>
      <c r="C311" s="1"/>
      <c r="D311" s="1"/>
      <c r="E311" s="1"/>
      <c r="F311" s="1"/>
      <c r="G311" s="1"/>
      <c r="H311" s="1"/>
    </row>
    <row r="312" spans="1:8" x14ac:dyDescent="0.3">
      <c r="A312" s="1"/>
      <c r="B312" s="1"/>
      <c r="C312" s="1"/>
      <c r="D312" s="1"/>
      <c r="E312" s="1"/>
      <c r="F312" s="1"/>
      <c r="G312" s="1"/>
      <c r="H312" s="1"/>
    </row>
    <row r="313" spans="1:8" x14ac:dyDescent="0.3">
      <c r="A313" s="1"/>
      <c r="B313" s="1"/>
      <c r="C313" s="1"/>
      <c r="D313" s="1"/>
      <c r="E313" s="1"/>
      <c r="F313" s="1"/>
      <c r="G313" s="1"/>
      <c r="H313" s="1"/>
    </row>
    <row r="314" spans="1:8" x14ac:dyDescent="0.3">
      <c r="A314" s="1"/>
      <c r="B314" s="1"/>
      <c r="C314" s="1"/>
      <c r="D314" s="1"/>
      <c r="E314" s="1"/>
      <c r="F314" s="1"/>
      <c r="G314" s="1"/>
      <c r="H314" s="1"/>
    </row>
    <row r="315" spans="1:8" x14ac:dyDescent="0.3">
      <c r="A315" s="1"/>
      <c r="B315" s="1"/>
      <c r="C315" s="1"/>
      <c r="D315" s="1"/>
      <c r="E315" s="1"/>
      <c r="F315" s="1"/>
      <c r="G315" s="1"/>
      <c r="H315" s="1"/>
    </row>
    <row r="316" spans="1:8" x14ac:dyDescent="0.3">
      <c r="A316" s="1"/>
      <c r="B316" s="1"/>
      <c r="C316" s="1"/>
      <c r="D316" s="1"/>
      <c r="E316" s="1"/>
      <c r="F316" s="1"/>
      <c r="G316" s="1"/>
      <c r="H316" s="1"/>
    </row>
    <row r="317" spans="1:8" x14ac:dyDescent="0.3">
      <c r="A317" s="1"/>
      <c r="B317" s="1"/>
      <c r="C317" s="1"/>
      <c r="D317" s="1"/>
      <c r="E317" s="1"/>
      <c r="F317" s="1"/>
      <c r="G317" s="1"/>
      <c r="H317" s="1"/>
    </row>
    <row r="318" spans="1:8" x14ac:dyDescent="0.3">
      <c r="A318" s="1"/>
      <c r="B318" s="1"/>
      <c r="C318" s="1"/>
      <c r="D318" s="1"/>
      <c r="E318" s="1"/>
      <c r="F318" s="1"/>
      <c r="G318" s="1"/>
      <c r="H318" s="1"/>
    </row>
    <row r="319" spans="1:8" x14ac:dyDescent="0.3">
      <c r="A319" s="1"/>
      <c r="B319" s="1"/>
      <c r="C319" s="1"/>
      <c r="D319" s="1"/>
      <c r="E319" s="1"/>
      <c r="F319" s="1"/>
      <c r="G319" s="1"/>
      <c r="H319" s="1"/>
    </row>
    <row r="320" spans="1:8" x14ac:dyDescent="0.3">
      <c r="A320" s="1"/>
      <c r="B320" s="1"/>
      <c r="C320" s="1"/>
      <c r="D320" s="1"/>
      <c r="E320" s="1"/>
      <c r="F320" s="1"/>
      <c r="G320" s="1"/>
      <c r="H320" s="1"/>
    </row>
    <row r="321" spans="1:8" x14ac:dyDescent="0.3">
      <c r="A321" s="1"/>
      <c r="B321" s="1"/>
      <c r="C321" s="1"/>
      <c r="D321" s="1"/>
      <c r="E321" s="1"/>
      <c r="F321" s="1"/>
      <c r="G321" s="1"/>
      <c r="H321" s="1"/>
    </row>
    <row r="322" spans="1:8" x14ac:dyDescent="0.3">
      <c r="A322" s="1"/>
      <c r="B322" s="1"/>
      <c r="C322" s="1"/>
      <c r="D322" s="1"/>
      <c r="E322" s="1"/>
      <c r="F322" s="1"/>
      <c r="G322" s="1"/>
      <c r="H322" s="1"/>
    </row>
    <row r="323" spans="1:8" x14ac:dyDescent="0.3">
      <c r="A323" s="1"/>
      <c r="B323" s="1"/>
      <c r="C323" s="1"/>
      <c r="D323" s="1"/>
      <c r="E323" s="1"/>
      <c r="F323" s="1"/>
      <c r="G323" s="1"/>
      <c r="H323" s="1"/>
    </row>
    <row r="324" spans="1:8" x14ac:dyDescent="0.3">
      <c r="A324" s="1"/>
      <c r="B324" s="1"/>
      <c r="C324" s="1"/>
      <c r="D324" s="1"/>
      <c r="E324" s="1"/>
      <c r="F324" s="1"/>
      <c r="G324" s="1"/>
      <c r="H324" s="1"/>
    </row>
    <row r="325" spans="1:8" x14ac:dyDescent="0.3">
      <c r="A325" s="1"/>
      <c r="B325" s="1"/>
      <c r="C325" s="1"/>
      <c r="D325" s="1"/>
      <c r="E325" s="1"/>
      <c r="F325" s="1"/>
      <c r="G325" s="1"/>
      <c r="H325" s="1"/>
    </row>
    <row r="326" spans="1:8" x14ac:dyDescent="0.3">
      <c r="A326" s="1"/>
      <c r="B326" s="1"/>
      <c r="C326" s="1"/>
      <c r="D326" s="1"/>
      <c r="E326" s="1"/>
      <c r="F326" s="1"/>
      <c r="G326" s="1"/>
      <c r="H326" s="1"/>
    </row>
    <row r="327" spans="1:8" x14ac:dyDescent="0.3">
      <c r="A327" s="1"/>
      <c r="B327" s="1"/>
      <c r="C327" s="1"/>
      <c r="D327" s="1"/>
      <c r="E327" s="1"/>
      <c r="F327" s="1"/>
      <c r="G327" s="1"/>
      <c r="H327" s="1"/>
    </row>
    <row r="328" spans="1:8" x14ac:dyDescent="0.3">
      <c r="A328" s="1"/>
      <c r="B328" s="1"/>
      <c r="C328" s="1"/>
      <c r="D328" s="1"/>
      <c r="E328" s="1"/>
      <c r="F328" s="1"/>
      <c r="G328" s="1"/>
      <c r="H328" s="1"/>
    </row>
    <row r="329" spans="1:8" x14ac:dyDescent="0.3">
      <c r="A329" s="1"/>
      <c r="B329" s="1"/>
      <c r="C329" s="1"/>
      <c r="D329" s="1"/>
      <c r="E329" s="1"/>
      <c r="F329" s="1"/>
      <c r="G329" s="1"/>
      <c r="H329" s="1"/>
    </row>
    <row r="330" spans="1:8" x14ac:dyDescent="0.3">
      <c r="A330" s="1"/>
      <c r="B330" s="1"/>
      <c r="C330" s="1"/>
      <c r="D330" s="1"/>
      <c r="E330" s="1"/>
      <c r="F330" s="1"/>
      <c r="G330" s="1"/>
      <c r="H330" s="1"/>
    </row>
    <row r="331" spans="1:8" x14ac:dyDescent="0.3">
      <c r="A331" s="1"/>
      <c r="B331" s="1"/>
      <c r="C331" s="1"/>
      <c r="D331" s="1"/>
      <c r="E331" s="1"/>
      <c r="F331" s="1"/>
      <c r="G331" s="1"/>
      <c r="H331" s="1"/>
    </row>
    <row r="332" spans="1:8" x14ac:dyDescent="0.3">
      <c r="A332" s="1"/>
      <c r="B332" s="1"/>
      <c r="C332" s="1"/>
      <c r="D332" s="1"/>
      <c r="E332" s="1"/>
      <c r="F332" s="1"/>
      <c r="G332" s="1"/>
      <c r="H332" s="1"/>
    </row>
    <row r="333" spans="1:8" x14ac:dyDescent="0.3">
      <c r="A333" s="1"/>
      <c r="B333" s="1"/>
      <c r="C333" s="1"/>
      <c r="D333" s="1"/>
      <c r="E333" s="1"/>
      <c r="F333" s="1"/>
      <c r="G333" s="1"/>
      <c r="H333" s="1"/>
    </row>
    <row r="334" spans="1:8" x14ac:dyDescent="0.3">
      <c r="A334" s="1"/>
      <c r="B334" s="1"/>
      <c r="C334" s="1"/>
      <c r="D334" s="1"/>
      <c r="E334" s="1"/>
      <c r="F334" s="1"/>
      <c r="G334" s="1"/>
      <c r="H334" s="1"/>
    </row>
    <row r="335" spans="1:8" x14ac:dyDescent="0.3">
      <c r="A335" s="1"/>
      <c r="B335" s="1"/>
      <c r="C335" s="1"/>
      <c r="D335" s="1"/>
      <c r="E335" s="1"/>
      <c r="F335" s="1"/>
      <c r="G335" s="1"/>
      <c r="H335" s="1"/>
    </row>
    <row r="336" spans="1:8" x14ac:dyDescent="0.3">
      <c r="A336" s="1"/>
      <c r="B336" s="1"/>
      <c r="C336" s="1"/>
      <c r="D336" s="1"/>
      <c r="E336" s="1"/>
      <c r="F336" s="1"/>
      <c r="G336" s="1"/>
      <c r="H336" s="1"/>
    </row>
    <row r="337" spans="1:8" x14ac:dyDescent="0.3">
      <c r="A337" s="1"/>
      <c r="B337" s="1"/>
      <c r="C337" s="1"/>
      <c r="D337" s="1"/>
      <c r="E337" s="1"/>
      <c r="F337" s="1"/>
      <c r="G337" s="1"/>
      <c r="H337" s="1"/>
    </row>
    <row r="338" spans="1:8" x14ac:dyDescent="0.3">
      <c r="A338" s="1"/>
      <c r="B338" s="1"/>
      <c r="C338" s="1"/>
      <c r="D338" s="1"/>
      <c r="E338" s="1"/>
      <c r="F338" s="1"/>
      <c r="G338" s="1"/>
      <c r="H338" s="1"/>
    </row>
    <row r="339" spans="1:8" x14ac:dyDescent="0.3">
      <c r="A339" s="1"/>
      <c r="B339" s="1"/>
      <c r="C339" s="1"/>
      <c r="D339" s="1"/>
      <c r="E339" s="1"/>
      <c r="F339" s="1"/>
      <c r="G339" s="1"/>
      <c r="H339" s="1"/>
    </row>
    <row r="340" spans="1:8" x14ac:dyDescent="0.3">
      <c r="A340" s="1"/>
      <c r="B340" s="1"/>
      <c r="C340" s="1"/>
      <c r="D340" s="1"/>
      <c r="E340" s="1"/>
      <c r="F340" s="1"/>
      <c r="G340" s="1"/>
      <c r="H340" s="1"/>
    </row>
    <row r="341" spans="1:8" x14ac:dyDescent="0.3">
      <c r="A341" s="1"/>
      <c r="B341" s="1"/>
      <c r="C341" s="1"/>
      <c r="D341" s="1"/>
      <c r="E341" s="1"/>
      <c r="F341" s="1"/>
      <c r="G341" s="1"/>
      <c r="H341" s="1"/>
    </row>
    <row r="342" spans="1:8" x14ac:dyDescent="0.3">
      <c r="A342" s="1"/>
      <c r="B342" s="1"/>
      <c r="C342" s="1"/>
      <c r="D342" s="1"/>
      <c r="E342" s="1"/>
      <c r="F342" s="1"/>
      <c r="G342" s="1"/>
      <c r="H342" s="1"/>
    </row>
    <row r="343" spans="1:8" x14ac:dyDescent="0.3">
      <c r="A343" s="1"/>
      <c r="B343" s="1"/>
      <c r="C343" s="1"/>
      <c r="D343" s="1"/>
      <c r="E343" s="1"/>
      <c r="F343" s="1"/>
      <c r="G343" s="1"/>
      <c r="H343" s="1"/>
    </row>
    <row r="344" spans="1:8" x14ac:dyDescent="0.3">
      <c r="A344" s="1"/>
      <c r="B344" s="1"/>
      <c r="C344" s="1"/>
      <c r="D344" s="1"/>
      <c r="E344" s="1"/>
      <c r="F344" s="1"/>
      <c r="G344" s="1"/>
      <c r="H344" s="1"/>
    </row>
    <row r="345" spans="1:8" x14ac:dyDescent="0.3">
      <c r="A345" s="1"/>
      <c r="B345" s="1"/>
      <c r="C345" s="1"/>
      <c r="D345" s="1"/>
      <c r="E345" s="1"/>
      <c r="F345" s="1"/>
      <c r="G345" s="1"/>
      <c r="H345" s="1"/>
    </row>
    <row r="346" spans="1:8" x14ac:dyDescent="0.3">
      <c r="A346" s="1"/>
      <c r="B346" s="1"/>
      <c r="C346" s="1"/>
      <c r="D346" s="1"/>
      <c r="E346" s="1"/>
      <c r="F346" s="1"/>
      <c r="G346" s="1"/>
      <c r="H346" s="1"/>
    </row>
    <row r="347" spans="1:8" x14ac:dyDescent="0.3">
      <c r="A347" s="1"/>
      <c r="B347" s="1"/>
      <c r="C347" s="1"/>
      <c r="D347" s="1"/>
      <c r="E347" s="1"/>
      <c r="F347" s="1"/>
      <c r="G347" s="1"/>
      <c r="H347" s="1"/>
    </row>
    <row r="348" spans="1:8" x14ac:dyDescent="0.3">
      <c r="A348" s="1"/>
      <c r="B348" s="1"/>
      <c r="C348" s="1"/>
      <c r="D348" s="1"/>
      <c r="E348" s="1"/>
      <c r="F348" s="1"/>
      <c r="G348" s="1"/>
      <c r="H348" s="1"/>
    </row>
    <row r="349" spans="1:8" x14ac:dyDescent="0.3">
      <c r="A349" s="1"/>
      <c r="B349" s="1"/>
      <c r="C349" s="1"/>
      <c r="D349" s="1"/>
      <c r="E349" s="1"/>
      <c r="F349" s="1"/>
      <c r="G349" s="1"/>
      <c r="H349" s="1"/>
    </row>
    <row r="350" spans="1:8" x14ac:dyDescent="0.3">
      <c r="A350" s="1"/>
      <c r="B350" s="1"/>
      <c r="C350" s="1"/>
      <c r="D350" s="1"/>
      <c r="E350" s="1"/>
      <c r="F350" s="1"/>
      <c r="G350" s="1"/>
      <c r="H350" s="1"/>
    </row>
    <row r="351" spans="1:8" x14ac:dyDescent="0.3">
      <c r="A351" s="1"/>
      <c r="B351" s="1"/>
      <c r="C351" s="1"/>
      <c r="D351" s="1"/>
      <c r="E351" s="1"/>
      <c r="F351" s="1"/>
      <c r="G351" s="1"/>
      <c r="H351" s="1"/>
    </row>
    <row r="352" spans="1:8" x14ac:dyDescent="0.3">
      <c r="A352" s="1"/>
      <c r="B352" s="1"/>
      <c r="C352" s="1"/>
      <c r="D352" s="1"/>
      <c r="E352" s="1"/>
      <c r="F352" s="1"/>
      <c r="G352" s="1"/>
      <c r="H352" s="1"/>
    </row>
    <row r="353" spans="1:8" x14ac:dyDescent="0.3">
      <c r="A353" s="1"/>
      <c r="B353" s="1"/>
      <c r="C353" s="1"/>
      <c r="D353" s="1"/>
      <c r="E353" s="1"/>
      <c r="F353" s="1"/>
      <c r="G353" s="1"/>
      <c r="H353" s="1"/>
    </row>
    <row r="354" spans="1:8" x14ac:dyDescent="0.3">
      <c r="A354" s="1"/>
      <c r="B354" s="1"/>
      <c r="C354" s="1"/>
      <c r="D354" s="1"/>
      <c r="E354" s="1"/>
      <c r="F354" s="1"/>
      <c r="G354" s="1"/>
      <c r="H354" s="1"/>
    </row>
    <row r="355" spans="1:8" x14ac:dyDescent="0.3">
      <c r="A355" s="1"/>
      <c r="B355" s="1"/>
      <c r="C355" s="1"/>
      <c r="D355" s="1"/>
      <c r="E355" s="1"/>
      <c r="F355" s="1"/>
      <c r="G355" s="1"/>
      <c r="H355" s="1"/>
    </row>
    <row r="356" spans="1:8" x14ac:dyDescent="0.3">
      <c r="A356" s="1"/>
      <c r="B356" s="1"/>
      <c r="C356" s="1"/>
      <c r="D356" s="1"/>
      <c r="E356" s="1"/>
      <c r="F356" s="1"/>
      <c r="G356" s="1"/>
      <c r="H356" s="1"/>
    </row>
    <row r="357" spans="1:8" x14ac:dyDescent="0.3">
      <c r="A357" s="1"/>
      <c r="B357" s="1"/>
      <c r="C357" s="1"/>
      <c r="D357" s="1"/>
      <c r="E357" s="1"/>
      <c r="F357" s="1"/>
      <c r="G357" s="1"/>
      <c r="H357" s="1"/>
    </row>
    <row r="358" spans="1:8" x14ac:dyDescent="0.3">
      <c r="A358" s="1"/>
      <c r="B358" s="1"/>
      <c r="C358" s="1"/>
      <c r="D358" s="1"/>
      <c r="E358" s="1"/>
      <c r="F358" s="1"/>
      <c r="G358" s="1"/>
      <c r="H358" s="1"/>
    </row>
    <row r="359" spans="1:8" x14ac:dyDescent="0.3">
      <c r="A359" s="1"/>
      <c r="B359" s="1"/>
      <c r="C359" s="1"/>
      <c r="D359" s="1"/>
      <c r="E359" s="1"/>
      <c r="F359" s="1"/>
      <c r="G359" s="1"/>
      <c r="H359" s="1"/>
    </row>
    <row r="360" spans="1:8" x14ac:dyDescent="0.3">
      <c r="A360" s="1"/>
      <c r="B360" s="1"/>
      <c r="C360" s="1"/>
      <c r="D360" s="1"/>
      <c r="E360" s="1"/>
      <c r="F360" s="1"/>
      <c r="G360" s="1"/>
      <c r="H360" s="1"/>
    </row>
    <row r="361" spans="1:8" x14ac:dyDescent="0.3">
      <c r="A361" s="1"/>
      <c r="B361" s="1"/>
      <c r="C361" s="1"/>
      <c r="D361" s="1"/>
      <c r="E361" s="1"/>
      <c r="F361" s="1"/>
      <c r="G361" s="1"/>
      <c r="H361" s="1"/>
    </row>
    <row r="362" spans="1:8" x14ac:dyDescent="0.3">
      <c r="A362" s="1"/>
      <c r="B362" s="1"/>
      <c r="C362" s="1"/>
      <c r="D362" s="1"/>
      <c r="E362" s="1"/>
      <c r="F362" s="1"/>
      <c r="G362" s="1"/>
      <c r="H362" s="1"/>
    </row>
    <row r="363" spans="1:8" x14ac:dyDescent="0.3">
      <c r="A363" s="1"/>
      <c r="B363" s="1"/>
      <c r="C363" s="1"/>
      <c r="D363" s="1"/>
      <c r="E363" s="1"/>
      <c r="F363" s="1"/>
      <c r="G363" s="1"/>
      <c r="H363" s="1"/>
    </row>
    <row r="364" spans="1:8" x14ac:dyDescent="0.3">
      <c r="A364" s="1"/>
      <c r="B364" s="1"/>
      <c r="C364" s="1"/>
      <c r="D364" s="1"/>
      <c r="E364" s="1"/>
      <c r="F364" s="1"/>
      <c r="G364" s="1"/>
      <c r="H364" s="1"/>
    </row>
    <row r="365" spans="1:8" x14ac:dyDescent="0.3">
      <c r="A365" s="1"/>
      <c r="B365" s="1"/>
      <c r="C365" s="1"/>
      <c r="D365" s="1"/>
      <c r="E365" s="1"/>
      <c r="F365" s="1"/>
      <c r="G365" s="1"/>
      <c r="H365" s="1"/>
    </row>
    <row r="366" spans="1:8" x14ac:dyDescent="0.3">
      <c r="A366" s="1"/>
      <c r="B366" s="1"/>
      <c r="C366" s="1"/>
      <c r="D366" s="1"/>
      <c r="E366" s="1"/>
      <c r="F366" s="1"/>
      <c r="G366" s="1"/>
      <c r="H366" s="1"/>
    </row>
    <row r="367" spans="1:8" x14ac:dyDescent="0.3">
      <c r="A367" s="1"/>
      <c r="B367" s="1"/>
      <c r="C367" s="1"/>
      <c r="D367" s="1"/>
      <c r="E367" s="1"/>
      <c r="F367" s="1"/>
      <c r="G367" s="1"/>
      <c r="H367" s="1"/>
    </row>
    <row r="368" spans="1:8" x14ac:dyDescent="0.3">
      <c r="A368" s="1"/>
      <c r="B368" s="1"/>
      <c r="C368" s="1"/>
      <c r="D368" s="1"/>
      <c r="E368" s="1"/>
      <c r="F368" s="1"/>
      <c r="G368" s="1"/>
      <c r="H368" s="1"/>
    </row>
    <row r="369" spans="1:8" x14ac:dyDescent="0.3">
      <c r="A369" s="1"/>
      <c r="B369" s="1"/>
      <c r="C369" s="1"/>
      <c r="D369" s="1"/>
      <c r="E369" s="1"/>
      <c r="F369" s="1"/>
      <c r="G369" s="1"/>
      <c r="H369" s="1"/>
    </row>
    <row r="370" spans="1:8" x14ac:dyDescent="0.3">
      <c r="A370" s="1"/>
      <c r="B370" s="1"/>
      <c r="C370" s="1"/>
      <c r="D370" s="1"/>
      <c r="E370" s="1"/>
      <c r="F370" s="1"/>
      <c r="G370" s="1"/>
      <c r="H370" s="1"/>
    </row>
    <row r="371" spans="1:8" x14ac:dyDescent="0.3">
      <c r="A371" s="1"/>
      <c r="B371" s="1"/>
      <c r="C371" s="1"/>
      <c r="D371" s="1"/>
      <c r="E371" s="1"/>
      <c r="F371" s="1"/>
      <c r="G371" s="1"/>
      <c r="H371" s="1"/>
    </row>
    <row r="372" spans="1:8" x14ac:dyDescent="0.3">
      <c r="A372" s="1"/>
      <c r="B372" s="1"/>
      <c r="C372" s="1"/>
      <c r="D372" s="1"/>
      <c r="E372" s="1"/>
      <c r="F372" s="1"/>
      <c r="G372" s="1"/>
      <c r="H372" s="1"/>
    </row>
    <row r="373" spans="1:8" x14ac:dyDescent="0.3">
      <c r="A373" s="1"/>
      <c r="B373" s="1"/>
      <c r="C373" s="1"/>
      <c r="D373" s="1"/>
      <c r="E373" s="1"/>
      <c r="F373" s="1"/>
      <c r="G373" s="1"/>
      <c r="H373" s="1"/>
    </row>
    <row r="374" spans="1:8" x14ac:dyDescent="0.3">
      <c r="A374" s="1"/>
      <c r="B374" s="1"/>
      <c r="C374" s="1"/>
      <c r="D374" s="1"/>
      <c r="E374" s="1"/>
      <c r="F374" s="1"/>
      <c r="G374" s="1"/>
      <c r="H374" s="1"/>
    </row>
    <row r="375" spans="1:8" x14ac:dyDescent="0.3">
      <c r="A375" s="1"/>
      <c r="B375" s="1"/>
      <c r="C375" s="1"/>
      <c r="D375" s="1"/>
      <c r="E375" s="1"/>
      <c r="F375" s="1"/>
      <c r="G375" s="1"/>
      <c r="H375" s="1"/>
    </row>
    <row r="376" spans="1:8" x14ac:dyDescent="0.3">
      <c r="A376" s="1"/>
      <c r="B376" s="1"/>
      <c r="C376" s="1"/>
      <c r="D376" s="1"/>
      <c r="E376" s="1"/>
      <c r="F376" s="1"/>
      <c r="G376" s="1"/>
      <c r="H376" s="1"/>
    </row>
    <row r="377" spans="1:8" x14ac:dyDescent="0.3">
      <c r="A377" s="1"/>
      <c r="B377" s="1"/>
      <c r="C377" s="1"/>
      <c r="D377" s="1"/>
      <c r="E377" s="1"/>
      <c r="F377" s="1"/>
      <c r="G377" s="1"/>
      <c r="H377" s="1"/>
    </row>
    <row r="378" spans="1:8" x14ac:dyDescent="0.3">
      <c r="A378" s="1"/>
      <c r="B378" s="1"/>
      <c r="C378" s="1"/>
      <c r="D378" s="1"/>
      <c r="E378" s="1"/>
      <c r="F378" s="1"/>
      <c r="G378" s="1"/>
      <c r="H378" s="1"/>
    </row>
    <row r="379" spans="1:8" x14ac:dyDescent="0.3">
      <c r="A379" s="1"/>
      <c r="B379" s="1"/>
      <c r="C379" s="1"/>
      <c r="D379" s="1"/>
      <c r="E379" s="1"/>
      <c r="F379" s="1"/>
      <c r="G379" s="1"/>
      <c r="H379" s="1"/>
    </row>
    <row r="380" spans="1:8" x14ac:dyDescent="0.3">
      <c r="A380" s="1"/>
      <c r="B380" s="1"/>
      <c r="C380" s="1"/>
      <c r="D380" s="1"/>
      <c r="E380" s="1"/>
      <c r="F380" s="1"/>
      <c r="G380" s="1"/>
      <c r="H380" s="1"/>
    </row>
    <row r="381" spans="1:8" x14ac:dyDescent="0.3">
      <c r="A381" s="1"/>
      <c r="B381" s="1"/>
      <c r="C381" s="1"/>
      <c r="D381" s="1"/>
      <c r="E381" s="1"/>
      <c r="F381" s="1"/>
      <c r="G381" s="1"/>
      <c r="H381" s="1"/>
    </row>
    <row r="382" spans="1:8" x14ac:dyDescent="0.3">
      <c r="A382" s="1"/>
      <c r="B382" s="1"/>
      <c r="C382" s="1"/>
      <c r="D382" s="1"/>
      <c r="E382" s="1"/>
      <c r="F382" s="1"/>
      <c r="G382" s="1"/>
      <c r="H382" s="1"/>
    </row>
    <row r="383" spans="1:8" x14ac:dyDescent="0.3">
      <c r="A383" s="1"/>
      <c r="B383" s="1"/>
      <c r="C383" s="1"/>
      <c r="D383" s="1"/>
      <c r="E383" s="1"/>
      <c r="F383" s="1"/>
      <c r="G383" s="1"/>
      <c r="H383" s="1"/>
    </row>
    <row r="384" spans="1:8" x14ac:dyDescent="0.3">
      <c r="A384" s="1"/>
      <c r="B384" s="1"/>
      <c r="C384" s="1"/>
      <c r="D384" s="1"/>
      <c r="E384" s="1"/>
      <c r="F384" s="1"/>
      <c r="G384" s="1"/>
      <c r="H384" s="1"/>
    </row>
    <row r="385" spans="1:8" x14ac:dyDescent="0.3">
      <c r="A385" s="1"/>
      <c r="B385" s="1"/>
      <c r="C385" s="1"/>
      <c r="D385" s="1"/>
      <c r="E385" s="1"/>
      <c r="F385" s="1"/>
      <c r="G385" s="1"/>
      <c r="H385" s="1"/>
    </row>
    <row r="386" spans="1:8" x14ac:dyDescent="0.3">
      <c r="A386" s="1"/>
      <c r="B386" s="1"/>
      <c r="C386" s="1"/>
      <c r="D386" s="1"/>
      <c r="E386" s="1"/>
      <c r="F386" s="1"/>
      <c r="G386" s="1"/>
      <c r="H386" s="1"/>
    </row>
    <row r="387" spans="1:8" x14ac:dyDescent="0.3">
      <c r="A387" s="1"/>
      <c r="B387" s="1"/>
      <c r="C387" s="1"/>
      <c r="D387" s="1"/>
      <c r="E387" s="1"/>
      <c r="F387" s="1"/>
      <c r="G387" s="1"/>
      <c r="H387" s="1"/>
    </row>
    <row r="388" spans="1:8" x14ac:dyDescent="0.3">
      <c r="A388" s="1"/>
      <c r="B388" s="1"/>
      <c r="C388" s="1"/>
      <c r="D388" s="1"/>
      <c r="E388" s="1"/>
      <c r="F388" s="1"/>
      <c r="G388" s="1"/>
      <c r="H388" s="1"/>
    </row>
    <row r="389" spans="1:8" x14ac:dyDescent="0.3">
      <c r="A389" s="1"/>
      <c r="B389" s="1"/>
      <c r="C389" s="1"/>
      <c r="D389" s="1"/>
      <c r="E389" s="1"/>
      <c r="F389" s="1"/>
      <c r="G389" s="1"/>
      <c r="H389" s="1"/>
    </row>
    <row r="390" spans="1:8" x14ac:dyDescent="0.3">
      <c r="A390" s="1"/>
      <c r="B390" s="1"/>
      <c r="C390" s="1"/>
      <c r="D390" s="1"/>
      <c r="E390" s="1"/>
      <c r="F390" s="1"/>
      <c r="G390" s="1"/>
      <c r="H390" s="1"/>
    </row>
    <row r="391" spans="1:8" x14ac:dyDescent="0.3">
      <c r="A391" s="1"/>
      <c r="B391" s="1"/>
      <c r="C391" s="1"/>
      <c r="D391" s="1"/>
      <c r="E391" s="1"/>
      <c r="F391" s="1"/>
      <c r="G391" s="1"/>
      <c r="H391" s="1"/>
    </row>
    <row r="392" spans="1:8" x14ac:dyDescent="0.3">
      <c r="A392" s="1"/>
      <c r="B392" s="1"/>
      <c r="C392" s="1"/>
      <c r="D392" s="1"/>
      <c r="E392" s="1"/>
      <c r="F392" s="1"/>
      <c r="G392" s="1"/>
      <c r="H392" s="1"/>
    </row>
    <row r="393" spans="1:8" x14ac:dyDescent="0.3">
      <c r="A393" s="1"/>
      <c r="B393" s="1"/>
      <c r="C393" s="1"/>
      <c r="D393" s="1"/>
      <c r="E393" s="1"/>
      <c r="F393" s="1"/>
      <c r="G393" s="1"/>
      <c r="H393" s="1"/>
    </row>
    <row r="394" spans="1:8" x14ac:dyDescent="0.3">
      <c r="A394" s="1"/>
      <c r="B394" s="1"/>
      <c r="C394" s="1"/>
      <c r="D394" s="1"/>
      <c r="E394" s="1"/>
      <c r="F394" s="1"/>
      <c r="G394" s="1"/>
      <c r="H394" s="1"/>
    </row>
    <row r="395" spans="1:8" x14ac:dyDescent="0.3">
      <c r="A395" s="1"/>
      <c r="B395" s="1"/>
      <c r="C395" s="1"/>
      <c r="D395" s="1"/>
      <c r="E395" s="1"/>
      <c r="F395" s="1"/>
      <c r="G395" s="1"/>
      <c r="H395" s="1"/>
    </row>
    <row r="396" spans="1:8" x14ac:dyDescent="0.3">
      <c r="B396" s="1"/>
      <c r="C396" s="1"/>
      <c r="D396" s="1"/>
      <c r="E396" s="1"/>
      <c r="F396" s="1"/>
      <c r="G396" s="1"/>
      <c r="H396" s="1"/>
    </row>
    <row r="397" spans="1:8" x14ac:dyDescent="0.3">
      <c r="B397" s="1"/>
      <c r="C397" s="1"/>
      <c r="D397" s="1"/>
      <c r="E397" s="1"/>
      <c r="F397" s="1"/>
      <c r="G397" s="1"/>
      <c r="H397" s="1"/>
    </row>
    <row r="398" spans="1:8" x14ac:dyDescent="0.3">
      <c r="B398" s="1"/>
      <c r="C398" s="1"/>
      <c r="D398" s="1"/>
      <c r="E398" s="1"/>
      <c r="F398" s="1"/>
      <c r="G398" s="1"/>
      <c r="H398" s="1"/>
    </row>
    <row r="399" spans="1:8" x14ac:dyDescent="0.3">
      <c r="B399" s="1"/>
      <c r="C399" s="1"/>
      <c r="D399" s="1"/>
      <c r="E399" s="1"/>
      <c r="F399" s="1"/>
      <c r="G399" s="1"/>
      <c r="H399" s="1"/>
    </row>
    <row r="400" spans="1:8" x14ac:dyDescent="0.3">
      <c r="B400" s="1"/>
      <c r="C400" s="1"/>
      <c r="D400" s="1"/>
      <c r="E400" s="1"/>
      <c r="F400" s="1"/>
      <c r="G400" s="1"/>
      <c r="H400" s="1"/>
    </row>
    <row r="401" spans="2:8" x14ac:dyDescent="0.3">
      <c r="B401" s="1"/>
      <c r="C401" s="1"/>
      <c r="D401" s="1"/>
      <c r="E401" s="1"/>
      <c r="F401" s="1"/>
      <c r="G401" s="1"/>
      <c r="H401" s="1"/>
    </row>
    <row r="402" spans="2:8" x14ac:dyDescent="0.3">
      <c r="B402" s="1"/>
      <c r="C402" s="1"/>
      <c r="D402" s="1"/>
      <c r="E402" s="1"/>
      <c r="F402" s="1"/>
      <c r="G402" s="1"/>
      <c r="H402" s="1"/>
    </row>
    <row r="403" spans="2:8" x14ac:dyDescent="0.3">
      <c r="B403" s="1"/>
      <c r="C403" s="1"/>
      <c r="D403" s="1"/>
      <c r="E403" s="1"/>
      <c r="F403" s="1"/>
      <c r="G403" s="1"/>
      <c r="H403" s="1"/>
    </row>
    <row r="404" spans="2:8" x14ac:dyDescent="0.3">
      <c r="B404" s="1"/>
      <c r="C404" s="1"/>
      <c r="D404" s="1"/>
      <c r="E404" s="1"/>
      <c r="F404" s="1"/>
      <c r="G404" s="1"/>
      <c r="H404" s="1"/>
    </row>
    <row r="405" spans="2:8" x14ac:dyDescent="0.3">
      <c r="B405" s="1"/>
      <c r="C405" s="1"/>
      <c r="D405" s="1"/>
      <c r="E405" s="1"/>
      <c r="F405" s="1"/>
      <c r="G405" s="1"/>
      <c r="H405" s="1"/>
    </row>
    <row r="406" spans="2:8" x14ac:dyDescent="0.3">
      <c r="B406" s="1"/>
      <c r="C406" s="1"/>
      <c r="D406" s="1"/>
      <c r="E406" s="1"/>
      <c r="F406" s="1"/>
      <c r="G406" s="1"/>
      <c r="H406" s="1"/>
    </row>
    <row r="407" spans="2:8" x14ac:dyDescent="0.3">
      <c r="B407" s="1"/>
      <c r="C407" s="1"/>
      <c r="D407" s="1"/>
      <c r="E407" s="1"/>
      <c r="F407" s="1"/>
      <c r="G407" s="1"/>
      <c r="H407" s="1"/>
    </row>
    <row r="408" spans="2:8" x14ac:dyDescent="0.3">
      <c r="B408" s="1"/>
      <c r="C408" s="1"/>
      <c r="D408" s="1"/>
      <c r="E408" s="1"/>
      <c r="F408" s="1"/>
      <c r="G408" s="1"/>
      <c r="H408" s="1"/>
    </row>
    <row r="409" spans="2:8" x14ac:dyDescent="0.3">
      <c r="B409" s="1"/>
      <c r="C409" s="1"/>
      <c r="D409" s="1"/>
      <c r="E409" s="1"/>
      <c r="F409" s="1"/>
      <c r="G409" s="1"/>
      <c r="H409" s="1"/>
    </row>
    <row r="410" spans="2:8" x14ac:dyDescent="0.3">
      <c r="B410" s="1"/>
      <c r="C410" s="1"/>
      <c r="D410" s="1"/>
      <c r="E410" s="1"/>
      <c r="F410" s="1"/>
      <c r="G410" s="1"/>
      <c r="H410" s="1"/>
    </row>
    <row r="411" spans="2:8" x14ac:dyDescent="0.3">
      <c r="B411" s="1"/>
      <c r="C411" s="1"/>
      <c r="D411" s="1"/>
      <c r="E411" s="1"/>
      <c r="F411" s="1"/>
      <c r="G411" s="1"/>
      <c r="H411" s="1"/>
    </row>
    <row r="412" spans="2:8" x14ac:dyDescent="0.3">
      <c r="B412" s="1"/>
      <c r="C412" s="1"/>
      <c r="D412" s="1"/>
      <c r="E412" s="1"/>
      <c r="F412" s="1"/>
      <c r="G412" s="1"/>
      <c r="H412" s="1"/>
    </row>
    <row r="413" spans="2:8" x14ac:dyDescent="0.3">
      <c r="B413" s="1"/>
      <c r="C413" s="1"/>
      <c r="D413" s="1"/>
      <c r="E413" s="1"/>
      <c r="F413" s="1"/>
      <c r="G413" s="1"/>
      <c r="H413" s="1"/>
    </row>
    <row r="414" spans="2:8" x14ac:dyDescent="0.3">
      <c r="B414" s="1"/>
      <c r="C414" s="1"/>
      <c r="D414" s="1"/>
      <c r="E414" s="1"/>
      <c r="F414" s="1"/>
      <c r="G414" s="1"/>
      <c r="H414" s="1"/>
    </row>
    <row r="415" spans="2:8" x14ac:dyDescent="0.3">
      <c r="B415" s="1"/>
      <c r="C415" s="1"/>
      <c r="D415" s="1"/>
      <c r="E415" s="1"/>
      <c r="F415" s="1"/>
      <c r="G415" s="1"/>
      <c r="H415" s="1"/>
    </row>
    <row r="416" spans="2:8" x14ac:dyDescent="0.3">
      <c r="B416" s="1"/>
      <c r="C416" s="1"/>
      <c r="D416" s="1"/>
      <c r="E416" s="1"/>
      <c r="F416" s="1"/>
      <c r="G416" s="1"/>
      <c r="H416" s="1"/>
    </row>
    <row r="417" spans="2:8" x14ac:dyDescent="0.3">
      <c r="B417" s="1"/>
      <c r="C417" s="1"/>
      <c r="D417" s="1"/>
      <c r="E417" s="1"/>
      <c r="F417" s="1"/>
      <c r="G417" s="1"/>
      <c r="H417" s="1"/>
    </row>
    <row r="418" spans="2:8" x14ac:dyDescent="0.3">
      <c r="B418" s="1"/>
      <c r="C418" s="1"/>
      <c r="D418" s="1"/>
      <c r="E418" s="1"/>
      <c r="F418" s="1"/>
      <c r="G418" s="1"/>
      <c r="H418" s="1"/>
    </row>
    <row r="419" spans="2:8" x14ac:dyDescent="0.3">
      <c r="B419" s="1"/>
      <c r="C419" s="1"/>
      <c r="D419" s="1"/>
      <c r="E419" s="1"/>
      <c r="F419" s="1"/>
      <c r="G419" s="1"/>
      <c r="H419" s="1"/>
    </row>
    <row r="420" spans="2:8" x14ac:dyDescent="0.3">
      <c r="B420" s="1"/>
      <c r="C420" s="1"/>
      <c r="D420" s="1"/>
      <c r="E420" s="1"/>
      <c r="F420" s="1"/>
      <c r="G420" s="1"/>
      <c r="H420" s="1"/>
    </row>
    <row r="421" spans="2:8" x14ac:dyDescent="0.3">
      <c r="B421" s="1"/>
      <c r="C421" s="1"/>
      <c r="D421" s="1"/>
      <c r="E421" s="1"/>
      <c r="F421" s="1"/>
      <c r="G421" s="1"/>
      <c r="H421" s="1"/>
    </row>
    <row r="422" spans="2:8" x14ac:dyDescent="0.3">
      <c r="B422" s="1"/>
      <c r="C422" s="1"/>
      <c r="D422" s="1"/>
      <c r="E422" s="1"/>
      <c r="F422" s="1"/>
      <c r="G422" s="1"/>
      <c r="H422" s="1"/>
    </row>
    <row r="423" spans="2:8" x14ac:dyDescent="0.3">
      <c r="B423" s="1"/>
      <c r="C423" s="1"/>
      <c r="D423" s="1"/>
      <c r="E423" s="1"/>
      <c r="F423" s="1"/>
      <c r="G423" s="1"/>
      <c r="H423" s="1"/>
    </row>
    <row r="424" spans="2:8" x14ac:dyDescent="0.3">
      <c r="B424" s="1"/>
      <c r="C424" s="1"/>
      <c r="D424" s="1"/>
      <c r="E424" s="1"/>
      <c r="F424" s="1"/>
      <c r="G424" s="1"/>
      <c r="H424" s="1"/>
    </row>
    <row r="425" spans="2:8" x14ac:dyDescent="0.3">
      <c r="B425" s="1"/>
      <c r="C425" s="1"/>
      <c r="D425" s="1"/>
      <c r="E425" s="1"/>
      <c r="F425" s="1"/>
      <c r="G425" s="1"/>
      <c r="H425" s="1"/>
    </row>
    <row r="426" spans="2:8" x14ac:dyDescent="0.3">
      <c r="B426" s="1"/>
      <c r="C426" s="1"/>
      <c r="D426" s="1"/>
      <c r="E426" s="1"/>
      <c r="F426" s="1"/>
      <c r="G426" s="1"/>
      <c r="H426" s="1"/>
    </row>
    <row r="427" spans="2:8" x14ac:dyDescent="0.3">
      <c r="B427" s="1"/>
      <c r="C427" s="1"/>
      <c r="D427" s="1"/>
      <c r="E427" s="1"/>
      <c r="F427" s="1"/>
      <c r="G427" s="1"/>
      <c r="H427" s="1"/>
    </row>
    <row r="428" spans="2:8" x14ac:dyDescent="0.3">
      <c r="B428" s="1"/>
      <c r="C428" s="1"/>
      <c r="D428" s="1"/>
      <c r="E428" s="1"/>
      <c r="F428" s="1"/>
      <c r="G428" s="1"/>
      <c r="H428" s="1"/>
    </row>
    <row r="429" spans="2:8" x14ac:dyDescent="0.3">
      <c r="B429" s="1"/>
      <c r="C429" s="1"/>
      <c r="D429" s="1"/>
      <c r="E429" s="1"/>
      <c r="F429" s="1"/>
      <c r="G429" s="1"/>
      <c r="H429" s="1"/>
    </row>
    <row r="430" spans="2:8" x14ac:dyDescent="0.3">
      <c r="B430" s="1"/>
      <c r="C430" s="1"/>
      <c r="D430" s="1"/>
      <c r="E430" s="1"/>
      <c r="F430" s="1"/>
      <c r="G430" s="1"/>
      <c r="H430" s="1"/>
    </row>
    <row r="431" spans="2:8" x14ac:dyDescent="0.3">
      <c r="B431" s="1"/>
      <c r="C431" s="1"/>
      <c r="D431" s="1"/>
      <c r="E431" s="1"/>
      <c r="F431" s="1"/>
      <c r="G431" s="1"/>
      <c r="H431" s="1"/>
    </row>
    <row r="432" spans="2:8" x14ac:dyDescent="0.3">
      <c r="B432" s="1"/>
      <c r="C432" s="1"/>
      <c r="D432" s="1"/>
      <c r="E432" s="1"/>
      <c r="F432" s="1"/>
      <c r="G432" s="1"/>
      <c r="H432" s="1"/>
    </row>
    <row r="433" spans="2:8" x14ac:dyDescent="0.3">
      <c r="B433" s="1"/>
      <c r="C433" s="1"/>
      <c r="D433" s="1"/>
      <c r="E433" s="1"/>
      <c r="F433" s="1"/>
      <c r="G433" s="1"/>
      <c r="H433" s="1"/>
    </row>
    <row r="434" spans="2:8" x14ac:dyDescent="0.3">
      <c r="B434" s="1"/>
      <c r="C434" s="1"/>
      <c r="D434" s="1"/>
      <c r="E434" s="1"/>
      <c r="F434" s="1"/>
      <c r="G434" s="1"/>
      <c r="H434" s="1"/>
    </row>
  </sheetData>
  <mergeCells count="3">
    <mergeCell ref="C2:H2"/>
    <mergeCell ref="B1:C1"/>
    <mergeCell ref="D49:H4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C971-A60A-4E09-8ADD-B5C8969DBE9A}">
  <dimension ref="A1:L41"/>
  <sheetViews>
    <sheetView topLeftCell="A19" workbookViewId="0">
      <selection activeCell="L41" sqref="L41"/>
    </sheetView>
  </sheetViews>
  <sheetFormatPr defaultRowHeight="14.4" x14ac:dyDescent="0.3"/>
  <cols>
    <col min="1" max="1" width="2.44140625" customWidth="1"/>
    <col min="2" max="2" width="50.6640625" bestFit="1" customWidth="1"/>
    <col min="4" max="7" width="14.33203125" bestFit="1" customWidth="1"/>
  </cols>
  <sheetData>
    <row r="1" spans="1:12" ht="27" customHeight="1" x14ac:dyDescent="0.5">
      <c r="A1" s="259"/>
      <c r="B1" s="260" t="s">
        <v>373</v>
      </c>
      <c r="C1" s="261"/>
      <c r="D1" s="262"/>
      <c r="E1" s="262"/>
      <c r="F1" s="262"/>
      <c r="G1" s="263"/>
    </row>
    <row r="2" spans="1:12" x14ac:dyDescent="0.3">
      <c r="A2" s="264"/>
      <c r="B2" s="257"/>
      <c r="C2" s="64"/>
      <c r="D2" s="552" t="s">
        <v>163</v>
      </c>
      <c r="E2" s="552"/>
      <c r="F2" s="552"/>
      <c r="G2" s="553"/>
    </row>
    <row r="3" spans="1:12" ht="18" customHeight="1" x14ac:dyDescent="0.3">
      <c r="A3" s="265"/>
      <c r="B3" s="258"/>
      <c r="C3" s="130" t="s">
        <v>1</v>
      </c>
      <c r="D3" s="117">
        <v>42735</v>
      </c>
      <c r="E3" s="117">
        <v>43100</v>
      </c>
      <c r="F3" s="117">
        <v>43465</v>
      </c>
      <c r="G3" s="266">
        <v>43830</v>
      </c>
    </row>
    <row r="4" spans="1:12" x14ac:dyDescent="0.3">
      <c r="A4" s="267"/>
      <c r="B4" s="5"/>
      <c r="C4" s="5"/>
      <c r="D4" s="31"/>
      <c r="E4" s="29"/>
      <c r="F4" s="29"/>
      <c r="G4" s="268"/>
    </row>
    <row r="5" spans="1:12" x14ac:dyDescent="0.3">
      <c r="A5" s="267"/>
      <c r="B5" s="8" t="s">
        <v>303</v>
      </c>
      <c r="C5" s="5"/>
      <c r="D5" s="188">
        <v>443</v>
      </c>
      <c r="E5" s="189">
        <v>710</v>
      </c>
      <c r="F5" s="189">
        <v>588</v>
      </c>
      <c r="G5" s="269">
        <v>687</v>
      </c>
    </row>
    <row r="6" spans="1:12" x14ac:dyDescent="0.3">
      <c r="A6" s="267"/>
      <c r="B6" s="5" t="s">
        <v>374</v>
      </c>
      <c r="C6" s="5"/>
      <c r="D6" s="190">
        <v>-122</v>
      </c>
      <c r="E6" s="191">
        <v>-192</v>
      </c>
      <c r="F6" s="191">
        <v>-157</v>
      </c>
      <c r="G6" s="270">
        <v>-189</v>
      </c>
    </row>
    <row r="7" spans="1:12" x14ac:dyDescent="0.3">
      <c r="A7" s="267"/>
      <c r="B7" s="5" t="s">
        <v>403</v>
      </c>
      <c r="C7" s="5"/>
      <c r="D7" s="255">
        <f>-'Reorganised Statements'!E99*('Reorganised Statements'!E109/'Reorganised Statements'!E101)</f>
        <v>-39.814371257485028</v>
      </c>
      <c r="E7" s="256">
        <f>-'Reorganised Statements'!F99*('Reorganised Statements'!F109/'Reorganised Statements'!F101)</f>
        <v>-44.666666666666664</v>
      </c>
      <c r="F7" s="256">
        <f>-'Reorganised Statements'!G99*('Reorganised Statements'!G109/'Reorganised Statements'!G101)</f>
        <v>-31.400000000000002</v>
      </c>
      <c r="G7" s="271">
        <f>-'Reorganised Statements'!H99*('Reorganised Statements'!H109/'Reorganised Statements'!H101)</f>
        <v>-34.481927710843372</v>
      </c>
    </row>
    <row r="8" spans="1:12" x14ac:dyDescent="0.3">
      <c r="A8" s="267"/>
      <c r="B8" s="24" t="s">
        <v>375</v>
      </c>
      <c r="C8" s="25"/>
      <c r="D8" s="192">
        <f>SUM(D5:D7)</f>
        <v>281.18562874251495</v>
      </c>
      <c r="E8" s="193">
        <f t="shared" ref="E8:G8" si="0">SUM(E5:E7)</f>
        <v>473.33333333333331</v>
      </c>
      <c r="F8" s="193">
        <f t="shared" si="0"/>
        <v>399.6</v>
      </c>
      <c r="G8" s="272">
        <f t="shared" si="0"/>
        <v>463.51807228915663</v>
      </c>
    </row>
    <row r="9" spans="1:12" x14ac:dyDescent="0.3">
      <c r="A9" s="267"/>
      <c r="B9" s="5"/>
      <c r="C9" s="5"/>
      <c r="D9" s="190"/>
      <c r="E9" s="191"/>
      <c r="F9" s="191"/>
      <c r="G9" s="270"/>
    </row>
    <row r="10" spans="1:12" x14ac:dyDescent="0.3">
      <c r="A10" s="267"/>
      <c r="B10" s="5" t="s">
        <v>397</v>
      </c>
      <c r="C10" s="5"/>
      <c r="D10" s="190">
        <f>'Reorganised Statements'!D10-'Reorganised Statements'!E10</f>
        <v>25</v>
      </c>
      <c r="E10" s="191">
        <f>'Reorganised Statements'!E10-'Reorganised Statements'!F10</f>
        <v>12</v>
      </c>
      <c r="F10" s="191">
        <f>'Reorganised Statements'!F10-'Reorganised Statements'!G10</f>
        <v>-40</v>
      </c>
      <c r="G10" s="270">
        <f>'Reorganised Statements'!G10-'Reorganised Statements'!H10</f>
        <v>3</v>
      </c>
    </row>
    <row r="11" spans="1:12" x14ac:dyDescent="0.3">
      <c r="A11" s="267"/>
      <c r="B11" s="5" t="s">
        <v>376</v>
      </c>
      <c r="C11" s="5"/>
      <c r="D11" s="190">
        <f>'Reorganised Statements'!D11-'Reorganised Statements'!E11</f>
        <v>-336</v>
      </c>
      <c r="E11" s="191">
        <f>'Reorganised Statements'!E11-'Reorganised Statements'!F11</f>
        <v>150</v>
      </c>
      <c r="F11" s="191">
        <f>'Reorganised Statements'!F11-'Reorganised Statements'!G11</f>
        <v>-110</v>
      </c>
      <c r="G11" s="270">
        <f>'Reorganised Statements'!G11-'Reorganised Statements'!H11</f>
        <v>-71</v>
      </c>
    </row>
    <row r="12" spans="1:12" x14ac:dyDescent="0.3">
      <c r="A12" s="267"/>
      <c r="B12" s="5" t="s">
        <v>396</v>
      </c>
      <c r="C12" s="5"/>
      <c r="D12" s="190">
        <f>'Reorganised Statements'!D12-'Reorganised Statements'!E12</f>
        <v>214</v>
      </c>
      <c r="E12" s="191">
        <f>'Reorganised Statements'!E12-'Reorganised Statements'!F12</f>
        <v>-3</v>
      </c>
      <c r="F12" s="191">
        <f>'Reorganised Statements'!F12-'Reorganised Statements'!G12</f>
        <v>32</v>
      </c>
      <c r="G12" s="270">
        <f>'Reorganised Statements'!G12-'Reorganised Statements'!H12</f>
        <v>68</v>
      </c>
    </row>
    <row r="13" spans="1:12" x14ac:dyDescent="0.3">
      <c r="A13" s="267"/>
      <c r="B13" s="24" t="s">
        <v>398</v>
      </c>
      <c r="C13" s="25"/>
      <c r="D13" s="192">
        <f>SUM(D10:D12)</f>
        <v>-97</v>
      </c>
      <c r="E13" s="193">
        <f t="shared" ref="E13:F13" si="1">SUM(E10:E12)</f>
        <v>159</v>
      </c>
      <c r="F13" s="193">
        <f t="shared" si="1"/>
        <v>-118</v>
      </c>
      <c r="G13" s="272">
        <f>SUM(G10:G12)</f>
        <v>0</v>
      </c>
      <c r="H13" s="254"/>
      <c r="I13" s="254"/>
      <c r="J13" s="254"/>
      <c r="K13" s="254"/>
      <c r="L13" s="254"/>
    </row>
    <row r="14" spans="1:12" x14ac:dyDescent="0.3">
      <c r="A14" s="267"/>
      <c r="B14" s="5"/>
      <c r="C14" s="5"/>
      <c r="D14" s="190"/>
      <c r="E14" s="191"/>
      <c r="F14" s="191"/>
      <c r="G14" s="270"/>
    </row>
    <row r="15" spans="1:12" x14ac:dyDescent="0.3">
      <c r="A15" s="267"/>
      <c r="B15" s="5" t="s">
        <v>377</v>
      </c>
      <c r="C15" s="5"/>
      <c r="D15" s="190">
        <f>'Reorganised Statements'!D15-'Reorganised Statements'!E15</f>
        <v>-59</v>
      </c>
      <c r="E15" s="191">
        <f>'Reorganised Statements'!E15-'Reorganised Statements'!F15</f>
        <v>132</v>
      </c>
      <c r="F15" s="191">
        <f>'Reorganised Statements'!F15-'Reorganised Statements'!G15</f>
        <v>53</v>
      </c>
      <c r="G15" s="270">
        <f>'Reorganised Statements'!G15-'Reorganised Statements'!H15</f>
        <v>-155</v>
      </c>
    </row>
    <row r="16" spans="1:12" x14ac:dyDescent="0.3">
      <c r="A16" s="267"/>
      <c r="B16" s="5" t="s">
        <v>378</v>
      </c>
      <c r="C16" s="5"/>
      <c r="D16" s="190">
        <f>'Reorganised Statements'!D21-'Reorganised Statements'!E21</f>
        <v>210</v>
      </c>
      <c r="E16" s="191">
        <f>'Reorganised Statements'!E21-'Reorganised Statements'!F21</f>
        <v>-220</v>
      </c>
      <c r="F16" s="191">
        <f>'Reorganised Statements'!F21-'Reorganised Statements'!G21</f>
        <v>90</v>
      </c>
      <c r="G16" s="270">
        <f>'Reorganised Statements'!G21-'Reorganised Statements'!H21</f>
        <v>236</v>
      </c>
    </row>
    <row r="17" spans="1:8" x14ac:dyDescent="0.3">
      <c r="A17" s="267"/>
      <c r="B17" s="24" t="s">
        <v>399</v>
      </c>
      <c r="C17" s="25"/>
      <c r="D17" s="192">
        <f>SUM(D13,D15:D16)</f>
        <v>54</v>
      </c>
      <c r="E17" s="193">
        <f t="shared" ref="E17:G17" si="2">SUM(E13,E15:E16)</f>
        <v>71</v>
      </c>
      <c r="F17" s="193">
        <f t="shared" si="2"/>
        <v>25</v>
      </c>
      <c r="G17" s="272">
        <f t="shared" si="2"/>
        <v>81</v>
      </c>
    </row>
    <row r="18" spans="1:8" x14ac:dyDescent="0.3">
      <c r="A18" s="267"/>
      <c r="B18" s="5"/>
      <c r="C18" s="5"/>
      <c r="D18" s="190"/>
      <c r="E18" s="191"/>
      <c r="F18" s="191"/>
      <c r="G18" s="270"/>
    </row>
    <row r="19" spans="1:8" x14ac:dyDescent="0.3">
      <c r="A19" s="267"/>
      <c r="B19" s="5" t="s">
        <v>379</v>
      </c>
      <c r="C19" s="5"/>
      <c r="D19" s="190">
        <f>('Reorganised Statements'!D5+'Reorganised Statements'!D6)-('Reorganised Statements'!E5+'Reorganised Statements'!E6)+'Reorganised Statements'!E72</f>
        <v>-1066</v>
      </c>
      <c r="E19" s="191">
        <f>('Reorganised Statements'!E5+'Reorganised Statements'!E6)-('Reorganised Statements'!F5+'Reorganised Statements'!F6)+'Reorganised Statements'!F72</f>
        <v>-80</v>
      </c>
      <c r="F19" s="191">
        <f>('Reorganised Statements'!F5+'Reorganised Statements'!F6)-('Reorganised Statements'!G5+'Reorganised Statements'!G6)+'Reorganised Statements'!G72</f>
        <v>-1076</v>
      </c>
      <c r="G19" s="270">
        <f>('Reorganised Statements'!G5+'Reorganised Statements'!G6)-('Reorganised Statements'!H5+'Reorganised Statements'!H6)+'Reorganised Statements'!H72</f>
        <v>-837</v>
      </c>
    </row>
    <row r="20" spans="1:8" x14ac:dyDescent="0.3">
      <c r="A20" s="267"/>
      <c r="B20" s="5" t="s">
        <v>380</v>
      </c>
      <c r="C20" s="5"/>
      <c r="D20" s="190">
        <v>648</v>
      </c>
      <c r="E20" s="191">
        <v>444</v>
      </c>
      <c r="F20" s="191">
        <v>623</v>
      </c>
      <c r="G20" s="270">
        <v>511</v>
      </c>
    </row>
    <row r="21" spans="1:8" x14ac:dyDescent="0.3">
      <c r="A21" s="267"/>
      <c r="B21" s="5" t="s">
        <v>381</v>
      </c>
      <c r="C21" s="5"/>
      <c r="D21" s="190">
        <f>'Reorganised Statements'!D30-'Reorganised Statements'!E30</f>
        <v>95</v>
      </c>
      <c r="E21" s="190">
        <f>'Reorganised Statements'!E30-'Reorganised Statements'!F30</f>
        <v>-46</v>
      </c>
      <c r="F21" s="190">
        <f>'Reorganised Statements'!F30-'Reorganised Statements'!G30</f>
        <v>17</v>
      </c>
      <c r="G21" s="273">
        <f>'Reorganised Statements'!G30-'Reorganised Statements'!H30</f>
        <v>34</v>
      </c>
      <c r="H21" s="254"/>
    </row>
    <row r="22" spans="1:8" x14ac:dyDescent="0.3">
      <c r="A22" s="267"/>
      <c r="B22" s="5" t="s">
        <v>382</v>
      </c>
      <c r="C22" s="5"/>
      <c r="D22" s="190">
        <f>'Reorganised Statements'!D29-'Reorganised Statements'!E29</f>
        <v>33</v>
      </c>
      <c r="E22" s="190">
        <f>'Reorganised Statements'!E29-'Reorganised Statements'!F29</f>
        <v>-46</v>
      </c>
      <c r="F22" s="190">
        <f>'Reorganised Statements'!F29-'Reorganised Statements'!G29</f>
        <v>-5</v>
      </c>
      <c r="G22" s="273">
        <f>'Reorganised Statements'!G29-'Reorganised Statements'!H29</f>
        <v>-7</v>
      </c>
      <c r="H22" s="254"/>
    </row>
    <row r="23" spans="1:8" x14ac:dyDescent="0.3">
      <c r="A23" s="267"/>
      <c r="B23" s="5" t="s">
        <v>395</v>
      </c>
      <c r="C23" s="5"/>
      <c r="D23" s="190">
        <f>'Reorganised Statements'!D28-'Reorganised Statements'!E28</f>
        <v>-33</v>
      </c>
      <c r="E23" s="190">
        <f>'Reorganised Statements'!E28-'Reorganised Statements'!F28</f>
        <v>40</v>
      </c>
      <c r="F23" s="190">
        <f>'Reorganised Statements'!F28-'Reorganised Statements'!G28</f>
        <v>37</v>
      </c>
      <c r="G23" s="273">
        <f>'Reorganised Statements'!G28-'Reorganised Statements'!H28</f>
        <v>-13</v>
      </c>
    </row>
    <row r="24" spans="1:8" x14ac:dyDescent="0.3">
      <c r="A24" s="267"/>
      <c r="B24" s="5" t="s">
        <v>383</v>
      </c>
      <c r="C24" s="5"/>
      <c r="D24" s="190">
        <v>20</v>
      </c>
      <c r="E24" s="191">
        <v>-91</v>
      </c>
      <c r="F24" s="191">
        <v>11</v>
      </c>
      <c r="G24" s="270">
        <v>-3</v>
      </c>
    </row>
    <row r="25" spans="1:8" x14ac:dyDescent="0.3">
      <c r="A25" s="267"/>
      <c r="B25" s="18" t="s">
        <v>384</v>
      </c>
      <c r="C25" s="20"/>
      <c r="D25" s="194">
        <f>D8+D17+SUM(D19:D24)</f>
        <v>32.18562874251495</v>
      </c>
      <c r="E25" s="194">
        <f t="shared" ref="E25:G25" si="3">E8+E17+SUM(E19:E24)</f>
        <v>765.33333333333326</v>
      </c>
      <c r="F25" s="194">
        <f t="shared" si="3"/>
        <v>31.600000000000023</v>
      </c>
      <c r="G25" s="274">
        <f t="shared" si="3"/>
        <v>229.51807228915663</v>
      </c>
    </row>
    <row r="26" spans="1:8" x14ac:dyDescent="0.3">
      <c r="A26" s="267"/>
      <c r="B26" s="5" t="s">
        <v>385</v>
      </c>
      <c r="C26" s="5"/>
      <c r="D26" s="198">
        <f>-D25/D5</f>
        <v>-7.2653789486489734E-2</v>
      </c>
      <c r="E26" s="198">
        <f t="shared" ref="E26:G26" si="4">E25/E5</f>
        <v>1.0779342723004695</v>
      </c>
      <c r="F26" s="198">
        <f t="shared" si="4"/>
        <v>5.3741496598639492E-2</v>
      </c>
      <c r="G26" s="275">
        <f t="shared" si="4"/>
        <v>0.33408744146893249</v>
      </c>
    </row>
    <row r="27" spans="1:8" x14ac:dyDescent="0.3">
      <c r="A27" s="267"/>
      <c r="B27" s="5"/>
      <c r="C27" s="5"/>
      <c r="D27" s="190"/>
      <c r="E27" s="191"/>
      <c r="F27" s="191"/>
      <c r="G27" s="270"/>
    </row>
    <row r="28" spans="1:8" x14ac:dyDescent="0.3">
      <c r="A28" s="267"/>
      <c r="B28" s="5" t="s">
        <v>386</v>
      </c>
      <c r="C28" s="5"/>
      <c r="D28" s="190">
        <f>('Reorganised Statements'!D7-'Reorganised Statements'!E7)+'Reorganised Statements'!E99</f>
        <v>-108</v>
      </c>
      <c r="E28" s="190">
        <f>('Reorganised Statements'!E7-'Reorganised Statements'!F7)+'Reorganised Statements'!F99</f>
        <v>-105</v>
      </c>
      <c r="F28" s="190">
        <f>('Reorganised Statements'!F7-'Reorganised Statements'!G7)+'Reorganised Statements'!G99</f>
        <v>-36</v>
      </c>
      <c r="G28" s="190">
        <f>('Reorganised Statements'!G7-'Reorganised Statements'!H7)+'Reorganised Statements'!H99</f>
        <v>-126</v>
      </c>
    </row>
    <row r="29" spans="1:8" x14ac:dyDescent="0.3">
      <c r="A29" s="267"/>
      <c r="B29" s="5" t="s">
        <v>387</v>
      </c>
      <c r="C29" s="5"/>
      <c r="D29" s="190">
        <f>'Reorganised Statements'!D39-'Reorganised Statements'!E39</f>
        <v>14</v>
      </c>
      <c r="E29" s="190">
        <f>'Reorganised Statements'!E39-'Reorganised Statements'!F39</f>
        <v>143</v>
      </c>
      <c r="F29" s="190">
        <f>'Reorganised Statements'!F39-'Reorganised Statements'!G39</f>
        <v>-260</v>
      </c>
      <c r="G29" s="273">
        <f>'Reorganised Statements'!G39-'Reorganised Statements'!H39</f>
        <v>-67</v>
      </c>
    </row>
    <row r="30" spans="1:8" x14ac:dyDescent="0.3">
      <c r="A30" s="267"/>
      <c r="B30" s="5" t="s">
        <v>404</v>
      </c>
      <c r="C30" s="5"/>
      <c r="D30" s="190">
        <f>-D7</f>
        <v>39.814371257485028</v>
      </c>
      <c r="E30" s="190">
        <f t="shared" ref="E30:G30" si="5">-E7</f>
        <v>44.666666666666664</v>
      </c>
      <c r="F30" s="190">
        <f t="shared" si="5"/>
        <v>31.400000000000002</v>
      </c>
      <c r="G30" s="273">
        <f t="shared" si="5"/>
        <v>34.481927710843372</v>
      </c>
    </row>
    <row r="31" spans="1:8" x14ac:dyDescent="0.3">
      <c r="A31" s="267"/>
      <c r="B31" s="18" t="s">
        <v>388</v>
      </c>
      <c r="C31" s="20"/>
      <c r="D31" s="194">
        <f>D25+D28+D29+D30</f>
        <v>-22.000000000000021</v>
      </c>
      <c r="E31" s="195">
        <f t="shared" ref="E31:G31" si="6">E25+E28+E29+E30</f>
        <v>847.99999999999989</v>
      </c>
      <c r="F31" s="195">
        <f t="shared" si="6"/>
        <v>-232.99999999999997</v>
      </c>
      <c r="G31" s="276">
        <f t="shared" si="6"/>
        <v>71</v>
      </c>
    </row>
    <row r="32" spans="1:8" x14ac:dyDescent="0.3">
      <c r="A32" s="267"/>
      <c r="B32" s="5" t="s">
        <v>389</v>
      </c>
      <c r="C32" s="5"/>
      <c r="D32" s="190"/>
      <c r="E32" s="191"/>
      <c r="F32" s="191"/>
      <c r="G32" s="270"/>
    </row>
    <row r="33" spans="1:8" x14ac:dyDescent="0.3">
      <c r="A33" s="267"/>
      <c r="B33" s="5"/>
      <c r="C33" s="5"/>
      <c r="D33" s="196"/>
      <c r="E33" s="197"/>
      <c r="F33" s="197"/>
      <c r="G33" s="277"/>
    </row>
    <row r="34" spans="1:8" x14ac:dyDescent="0.3">
      <c r="A34" s="267"/>
      <c r="B34" s="5" t="s">
        <v>390</v>
      </c>
      <c r="C34" s="5"/>
      <c r="D34" s="197">
        <f>('Reorganised Statements'!D35-'Reorganised Statements'!E35)-'Reorganised Statements'!E114</f>
        <v>-212</v>
      </c>
      <c r="E34" s="197">
        <f>('Reorganised Statements'!E35-'Reorganised Statements'!F35)-'Reorganised Statements'!F114</f>
        <v>-559</v>
      </c>
      <c r="F34" s="197">
        <f>('Reorganised Statements'!F35-'Reorganised Statements'!G35)-'Reorganised Statements'!G114</f>
        <v>166</v>
      </c>
      <c r="G34" s="277">
        <f>('Reorganised Statements'!G35-'Reorganised Statements'!H35)-'Reorganised Statements'!H114</f>
        <v>-261</v>
      </c>
    </row>
    <row r="35" spans="1:8" x14ac:dyDescent="0.3">
      <c r="A35" s="267"/>
      <c r="B35" s="8" t="s">
        <v>391</v>
      </c>
      <c r="C35" s="5"/>
      <c r="D35" s="196">
        <f>D31+D34</f>
        <v>-234.00000000000003</v>
      </c>
      <c r="E35" s="196">
        <f t="shared" ref="E35:G35" si="7">E31+E34</f>
        <v>288.99999999999989</v>
      </c>
      <c r="F35" s="196">
        <f t="shared" si="7"/>
        <v>-66.999999999999972</v>
      </c>
      <c r="G35" s="278">
        <f t="shared" si="7"/>
        <v>-190</v>
      </c>
    </row>
    <row r="36" spans="1:8" x14ac:dyDescent="0.3">
      <c r="A36" s="267"/>
      <c r="B36" s="5"/>
      <c r="C36" s="5"/>
      <c r="D36" s="196"/>
      <c r="E36" s="197"/>
      <c r="F36" s="197"/>
      <c r="G36" s="277"/>
    </row>
    <row r="37" spans="1:8" x14ac:dyDescent="0.3">
      <c r="A37" s="267"/>
      <c r="B37" s="185" t="s">
        <v>392</v>
      </c>
      <c r="C37" s="5"/>
      <c r="D37" s="196">
        <v>636</v>
      </c>
      <c r="E37" s="197">
        <v>402</v>
      </c>
      <c r="F37" s="197">
        <v>691</v>
      </c>
      <c r="G37" s="277">
        <v>624</v>
      </c>
      <c r="H37" s="254"/>
    </row>
    <row r="38" spans="1:8" x14ac:dyDescent="0.3">
      <c r="A38" s="267"/>
      <c r="B38" s="185" t="s">
        <v>393</v>
      </c>
      <c r="C38" s="5"/>
      <c r="D38" s="196">
        <v>402</v>
      </c>
      <c r="E38" s="197">
        <v>691</v>
      </c>
      <c r="F38" s="197">
        <v>624</v>
      </c>
      <c r="G38" s="277">
        <v>434</v>
      </c>
      <c r="H38" s="254"/>
    </row>
    <row r="39" spans="1:8" ht="15" thickBot="1" x14ac:dyDescent="0.35">
      <c r="A39" s="279"/>
      <c r="B39" s="280" t="s">
        <v>394</v>
      </c>
      <c r="C39" s="280"/>
      <c r="D39" s="281">
        <f>D38-D37</f>
        <v>-234</v>
      </c>
      <c r="E39" s="281">
        <f t="shared" ref="E39:G39" si="8">E38-E37</f>
        <v>289</v>
      </c>
      <c r="F39" s="281">
        <f t="shared" si="8"/>
        <v>-67</v>
      </c>
      <c r="G39" s="282">
        <f t="shared" si="8"/>
        <v>-190</v>
      </c>
      <c r="H39" s="254"/>
    </row>
    <row r="40" spans="1:8" ht="15" thickBot="1" x14ac:dyDescent="0.35">
      <c r="A40" s="1"/>
      <c r="B40" s="1"/>
      <c r="C40" s="1"/>
      <c r="D40" s="1"/>
      <c r="E40" s="1"/>
      <c r="F40" s="1"/>
      <c r="G40" s="1"/>
    </row>
    <row r="41" spans="1:8" ht="15" thickBot="1" x14ac:dyDescent="0.35">
      <c r="A41" s="1"/>
      <c r="B41" s="283" t="s">
        <v>405</v>
      </c>
      <c r="C41" s="284"/>
      <c r="D41" s="284" t="str">
        <f>IF(D35=D39,"Correct","Incorrect")</f>
        <v>Correct</v>
      </c>
      <c r="E41" s="284" t="str">
        <f t="shared" ref="E41:G41" si="9">IF(E35=E39,"Correct","Incorrect")</f>
        <v>Correct</v>
      </c>
      <c r="F41" s="284" t="str">
        <f t="shared" si="9"/>
        <v>Correct</v>
      </c>
      <c r="G41" s="285" t="str">
        <f t="shared" si="9"/>
        <v>Correct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4B2C-8398-479F-9B39-083013074D33}">
  <dimension ref="A1:L168"/>
  <sheetViews>
    <sheetView topLeftCell="A100" workbookViewId="0">
      <selection activeCell="B173" sqref="B173"/>
    </sheetView>
  </sheetViews>
  <sheetFormatPr defaultRowHeight="14.4" x14ac:dyDescent="0.3"/>
  <cols>
    <col min="1" max="1" width="53.5546875" customWidth="1"/>
    <col min="3" max="3" width="15.6640625" customWidth="1"/>
    <col min="4" max="4" width="18.44140625" customWidth="1"/>
    <col min="5" max="5" width="12.88671875" customWidth="1"/>
    <col min="6" max="6" width="15.109375" customWidth="1"/>
    <col min="7" max="7" width="13.109375" customWidth="1"/>
  </cols>
  <sheetData>
    <row r="1" spans="1:12" ht="25.8" x14ac:dyDescent="0.5">
      <c r="A1" s="548" t="s">
        <v>340</v>
      </c>
      <c r="B1" s="549"/>
      <c r="C1" s="134"/>
      <c r="D1" s="134"/>
      <c r="E1" s="134"/>
      <c r="F1" s="134"/>
      <c r="G1" s="323"/>
      <c r="H1" s="1"/>
      <c r="I1" s="1"/>
      <c r="J1" s="1"/>
      <c r="K1" s="1"/>
      <c r="L1" s="1"/>
    </row>
    <row r="2" spans="1:12" x14ac:dyDescent="0.3">
      <c r="A2" s="324"/>
      <c r="B2" s="546" t="s">
        <v>158</v>
      </c>
      <c r="C2" s="546"/>
      <c r="D2" s="546"/>
      <c r="E2" s="546"/>
      <c r="F2" s="546"/>
      <c r="G2" s="547"/>
      <c r="H2" s="1"/>
      <c r="I2" s="1"/>
      <c r="J2" s="1"/>
      <c r="K2" s="1"/>
      <c r="L2" s="1"/>
    </row>
    <row r="3" spans="1:12" x14ac:dyDescent="0.3">
      <c r="A3" s="265"/>
      <c r="B3" s="131" t="s">
        <v>1</v>
      </c>
      <c r="C3" s="133">
        <v>42369</v>
      </c>
      <c r="D3" s="133">
        <v>42735</v>
      </c>
      <c r="E3" s="133">
        <v>43100</v>
      </c>
      <c r="F3" s="133">
        <v>43465</v>
      </c>
      <c r="G3" s="325">
        <v>43830</v>
      </c>
      <c r="H3" s="1"/>
      <c r="I3" s="1"/>
      <c r="J3" s="1"/>
      <c r="K3" s="1"/>
      <c r="L3" s="1"/>
    </row>
    <row r="4" spans="1:12" x14ac:dyDescent="0.3">
      <c r="A4" s="326"/>
      <c r="B4" s="5"/>
      <c r="C4" s="31"/>
      <c r="D4" s="29"/>
      <c r="E4" s="29"/>
      <c r="F4" s="29"/>
      <c r="G4" s="268"/>
      <c r="H4" s="1"/>
      <c r="I4" s="1"/>
      <c r="J4" s="1"/>
      <c r="K4" s="1"/>
      <c r="L4" s="1"/>
    </row>
    <row r="5" spans="1:12" x14ac:dyDescent="0.3">
      <c r="A5" s="327" t="s">
        <v>353</v>
      </c>
      <c r="B5" s="146"/>
      <c r="C5" s="156">
        <v>5067</v>
      </c>
      <c r="D5" s="148">
        <v>5129</v>
      </c>
      <c r="E5" s="148">
        <v>4606</v>
      </c>
      <c r="F5" s="148">
        <v>4620</v>
      </c>
      <c r="G5" s="328">
        <v>4869</v>
      </c>
      <c r="H5" s="1"/>
      <c r="I5" s="1"/>
      <c r="J5" s="1"/>
      <c r="K5" s="1"/>
      <c r="L5" s="1"/>
    </row>
    <row r="6" spans="1:12" x14ac:dyDescent="0.3">
      <c r="A6" s="327" t="s">
        <v>354</v>
      </c>
      <c r="B6" s="146"/>
      <c r="C6" s="156">
        <v>1348</v>
      </c>
      <c r="D6" s="148">
        <v>1704</v>
      </c>
      <c r="E6" s="148">
        <v>1863</v>
      </c>
      <c r="F6" s="148">
        <v>2302</v>
      </c>
      <c r="G6" s="328">
        <v>2379</v>
      </c>
      <c r="H6" s="1"/>
      <c r="I6" s="1"/>
      <c r="J6" s="1"/>
      <c r="K6" s="1"/>
      <c r="L6" s="1"/>
    </row>
    <row r="7" spans="1:12" x14ac:dyDescent="0.3">
      <c r="A7" s="327" t="s">
        <v>349</v>
      </c>
      <c r="B7" s="146"/>
      <c r="C7" s="156">
        <v>137</v>
      </c>
      <c r="D7" s="148">
        <v>136</v>
      </c>
      <c r="E7" s="148">
        <v>107</v>
      </c>
      <c r="F7" s="148">
        <v>45</v>
      </c>
      <c r="G7" s="328">
        <v>65</v>
      </c>
      <c r="H7" s="1"/>
      <c r="I7" s="1"/>
      <c r="J7" s="1"/>
      <c r="K7" s="1"/>
      <c r="L7" s="1"/>
    </row>
    <row r="8" spans="1:12" x14ac:dyDescent="0.3">
      <c r="A8" s="337" t="s">
        <v>554</v>
      </c>
      <c r="B8" s="147"/>
      <c r="C8" s="157">
        <v>-57</v>
      </c>
      <c r="D8" s="149">
        <v>-56</v>
      </c>
      <c r="E8" s="149">
        <v>-36</v>
      </c>
      <c r="F8" s="149">
        <v>-22</v>
      </c>
      <c r="G8" s="349">
        <v>-20</v>
      </c>
      <c r="H8" s="1"/>
      <c r="I8" s="1"/>
      <c r="J8" s="1"/>
      <c r="K8" s="1"/>
      <c r="L8" s="1"/>
    </row>
    <row r="9" spans="1:12" x14ac:dyDescent="0.3">
      <c r="A9" s="329" t="s">
        <v>355</v>
      </c>
      <c r="B9" s="330"/>
      <c r="C9" s="151">
        <f>SUM(C5:C8)</f>
        <v>6495</v>
      </c>
      <c r="D9" s="151">
        <f t="shared" ref="D9:G9" si="0">SUM(D5:D8)</f>
        <v>6913</v>
      </c>
      <c r="E9" s="151">
        <f t="shared" si="0"/>
        <v>6540</v>
      </c>
      <c r="F9" s="151">
        <f t="shared" si="0"/>
        <v>6945</v>
      </c>
      <c r="G9" s="331">
        <f t="shared" si="0"/>
        <v>7293</v>
      </c>
      <c r="H9" s="1"/>
      <c r="I9" s="1"/>
      <c r="J9" s="1"/>
      <c r="K9" s="1"/>
      <c r="L9" s="1"/>
    </row>
    <row r="10" spans="1:12" x14ac:dyDescent="0.3">
      <c r="A10" s="327"/>
      <c r="B10" s="146"/>
      <c r="C10" s="156"/>
      <c r="D10" s="148"/>
      <c r="E10" s="148"/>
      <c r="F10" s="148"/>
      <c r="G10" s="328"/>
      <c r="H10" s="1"/>
      <c r="I10" s="1"/>
      <c r="J10" s="1"/>
      <c r="K10" s="1"/>
      <c r="L10" s="1"/>
    </row>
    <row r="11" spans="1:12" x14ac:dyDescent="0.3">
      <c r="A11" s="327" t="s">
        <v>344</v>
      </c>
      <c r="B11" s="146"/>
      <c r="C11" s="156">
        <v>184</v>
      </c>
      <c r="D11" s="148">
        <v>159</v>
      </c>
      <c r="E11" s="148">
        <v>147</v>
      </c>
      <c r="F11" s="148">
        <v>187</v>
      </c>
      <c r="G11" s="328">
        <v>184</v>
      </c>
      <c r="H11" s="1"/>
      <c r="I11" s="1"/>
      <c r="J11" s="1"/>
      <c r="K11" s="1"/>
      <c r="L11" s="1"/>
    </row>
    <row r="12" spans="1:12" x14ac:dyDescent="0.3">
      <c r="A12" s="327" t="s">
        <v>345</v>
      </c>
      <c r="B12" s="146"/>
      <c r="C12" s="156">
        <v>1485</v>
      </c>
      <c r="D12" s="148">
        <v>1821</v>
      </c>
      <c r="E12" s="148">
        <v>1671</v>
      </c>
      <c r="F12" s="148">
        <v>1781</v>
      </c>
      <c r="G12" s="328">
        <v>1852</v>
      </c>
      <c r="H12" s="1"/>
      <c r="I12" s="1"/>
      <c r="J12" s="1"/>
      <c r="K12" s="1"/>
      <c r="L12" s="1"/>
    </row>
    <row r="13" spans="1:12" x14ac:dyDescent="0.3">
      <c r="A13" s="327" t="s">
        <v>350</v>
      </c>
      <c r="B13" s="146"/>
      <c r="C13" s="156">
        <v>-1170</v>
      </c>
      <c r="D13" s="148">
        <v>-1384</v>
      </c>
      <c r="E13" s="148">
        <v>-1381</v>
      </c>
      <c r="F13" s="148">
        <v>-1413</v>
      </c>
      <c r="G13" s="328">
        <v>-1481</v>
      </c>
      <c r="H13" s="1"/>
      <c r="I13" s="1"/>
      <c r="J13" s="1"/>
      <c r="K13" s="1"/>
      <c r="L13" s="1"/>
    </row>
    <row r="14" spans="1:12" x14ac:dyDescent="0.3">
      <c r="A14" s="332" t="s">
        <v>356</v>
      </c>
      <c r="B14" s="333"/>
      <c r="C14" s="164">
        <f>SUM(C11:C13)</f>
        <v>499</v>
      </c>
      <c r="D14" s="164">
        <f t="shared" ref="D14:G14" si="1">SUM(D11:D13)</f>
        <v>596</v>
      </c>
      <c r="E14" s="164">
        <f t="shared" si="1"/>
        <v>437</v>
      </c>
      <c r="F14" s="164">
        <f t="shared" si="1"/>
        <v>555</v>
      </c>
      <c r="G14" s="496">
        <f t="shared" si="1"/>
        <v>555</v>
      </c>
      <c r="H14" s="1"/>
      <c r="I14" s="1"/>
      <c r="J14" s="1"/>
      <c r="K14" s="1"/>
      <c r="L14" s="1"/>
    </row>
    <row r="15" spans="1:12" x14ac:dyDescent="0.3">
      <c r="A15" s="335"/>
      <c r="B15" s="145"/>
      <c r="C15" s="155"/>
      <c r="D15" s="150"/>
      <c r="E15" s="150"/>
      <c r="F15" s="150"/>
      <c r="G15" s="336"/>
      <c r="H15" s="1"/>
      <c r="I15" s="1"/>
      <c r="J15" s="1"/>
      <c r="K15" s="1"/>
      <c r="L15" s="1"/>
    </row>
    <row r="16" spans="1:12" x14ac:dyDescent="0.3">
      <c r="A16" s="327" t="s">
        <v>11</v>
      </c>
      <c r="B16" s="146"/>
      <c r="C16" s="148">
        <f>SUM(C17:C23)</f>
        <v>465</v>
      </c>
      <c r="D16" s="148">
        <f t="shared" ref="D16:G16" si="2">SUM(D17:D23)</f>
        <v>473</v>
      </c>
      <c r="E16" s="148">
        <f t="shared" si="2"/>
        <v>555</v>
      </c>
      <c r="F16" s="148">
        <f t="shared" si="2"/>
        <v>486</v>
      </c>
      <c r="G16" s="328">
        <f t="shared" si="2"/>
        <v>653</v>
      </c>
      <c r="H16" s="1"/>
      <c r="I16" s="1"/>
      <c r="J16" s="1"/>
      <c r="K16" s="1"/>
      <c r="L16" s="1"/>
    </row>
    <row r="17" spans="1:12" x14ac:dyDescent="0.3">
      <c r="A17" s="327" t="s">
        <v>346</v>
      </c>
      <c r="B17" s="146"/>
      <c r="C17" s="156">
        <v>183</v>
      </c>
      <c r="D17" s="148">
        <v>389</v>
      </c>
      <c r="E17" s="148">
        <v>216</v>
      </c>
      <c r="F17" s="148">
        <v>313</v>
      </c>
      <c r="G17" s="328">
        <v>567</v>
      </c>
      <c r="H17" s="1"/>
      <c r="I17" s="1"/>
      <c r="J17" s="1"/>
      <c r="K17" s="1"/>
      <c r="L17" s="1"/>
    </row>
    <row r="18" spans="1:12" x14ac:dyDescent="0.3">
      <c r="A18" s="327" t="s">
        <v>347</v>
      </c>
      <c r="B18" s="146"/>
      <c r="C18" s="156">
        <v>171</v>
      </c>
      <c r="D18" s="148">
        <v>218</v>
      </c>
      <c r="E18" s="148">
        <v>8</v>
      </c>
      <c r="F18" s="148">
        <v>16</v>
      </c>
      <c r="G18" s="328">
        <v>10</v>
      </c>
      <c r="H18" s="1"/>
      <c r="I18" s="1"/>
      <c r="J18" s="1"/>
      <c r="K18" s="1"/>
      <c r="L18" s="1"/>
    </row>
    <row r="19" spans="1:12" x14ac:dyDescent="0.3">
      <c r="A19" s="337" t="s">
        <v>554</v>
      </c>
      <c r="B19" s="147"/>
      <c r="C19" s="157">
        <v>-171</v>
      </c>
      <c r="D19" s="149">
        <v>-218</v>
      </c>
      <c r="E19" s="149">
        <v>-8</v>
      </c>
      <c r="F19" s="149">
        <v>-16</v>
      </c>
      <c r="G19" s="349">
        <v>-10</v>
      </c>
      <c r="H19" s="1"/>
      <c r="I19" s="1"/>
      <c r="J19" s="1"/>
      <c r="K19" s="1"/>
      <c r="L19" s="1"/>
    </row>
    <row r="20" spans="1:12" ht="15.6" customHeight="1" x14ac:dyDescent="0.3">
      <c r="A20" s="338" t="s">
        <v>31</v>
      </c>
      <c r="B20" s="158"/>
      <c r="C20" s="156">
        <v>6</v>
      </c>
      <c r="D20" s="148">
        <v>12</v>
      </c>
      <c r="E20" s="148">
        <v>8</v>
      </c>
      <c r="F20" s="148">
        <v>20</v>
      </c>
      <c r="G20" s="328">
        <v>25</v>
      </c>
      <c r="H20" s="1"/>
      <c r="I20" s="1"/>
      <c r="J20" s="1"/>
      <c r="K20" s="1"/>
      <c r="L20" s="1"/>
    </row>
    <row r="21" spans="1:12" ht="19.2" customHeight="1" x14ac:dyDescent="0.3">
      <c r="A21" s="497" t="s">
        <v>554</v>
      </c>
      <c r="B21" s="498"/>
      <c r="C21" s="157">
        <v>0</v>
      </c>
      <c r="D21" s="149">
        <v>-4</v>
      </c>
      <c r="E21" s="149">
        <v>0</v>
      </c>
      <c r="F21" s="149">
        <v>-8</v>
      </c>
      <c r="G21" s="349">
        <v>-2</v>
      </c>
      <c r="H21" s="1"/>
      <c r="I21" s="1"/>
      <c r="J21" s="1"/>
      <c r="K21" s="1"/>
      <c r="L21" s="1"/>
    </row>
    <row r="22" spans="1:12" x14ac:dyDescent="0.3">
      <c r="A22" s="327" t="s">
        <v>75</v>
      </c>
      <c r="B22" s="146"/>
      <c r="C22" s="156">
        <v>71</v>
      </c>
      <c r="D22" s="148">
        <v>70</v>
      </c>
      <c r="E22" s="148">
        <v>107</v>
      </c>
      <c r="F22" s="148">
        <v>49</v>
      </c>
      <c r="G22" s="328">
        <v>63</v>
      </c>
      <c r="H22" s="1"/>
      <c r="I22" s="1"/>
      <c r="J22" s="1"/>
      <c r="K22" s="1"/>
      <c r="L22" s="1"/>
    </row>
    <row r="23" spans="1:12" ht="17.399999999999999" customHeight="1" x14ac:dyDescent="0.3">
      <c r="A23" s="338" t="s">
        <v>348</v>
      </c>
      <c r="B23" s="146"/>
      <c r="C23" s="156">
        <v>205</v>
      </c>
      <c r="D23" s="148">
        <v>6</v>
      </c>
      <c r="E23" s="148">
        <v>224</v>
      </c>
      <c r="F23" s="148">
        <v>112</v>
      </c>
      <c r="G23" s="328">
        <v>0</v>
      </c>
      <c r="H23" s="1"/>
      <c r="I23" s="1"/>
      <c r="J23" s="1"/>
      <c r="K23" s="1"/>
      <c r="L23" s="1"/>
    </row>
    <row r="24" spans="1:12" x14ac:dyDescent="0.3">
      <c r="A24" s="327" t="s">
        <v>368</v>
      </c>
      <c r="B24" s="146"/>
      <c r="C24" s="156">
        <f>SUM(C25:C28)</f>
        <v>-656</v>
      </c>
      <c r="D24" s="156">
        <f t="shared" ref="D24:G24" si="3">SUM(D25:D28)</f>
        <v>-874</v>
      </c>
      <c r="E24" s="156">
        <f t="shared" si="3"/>
        <v>-650</v>
      </c>
      <c r="F24" s="156">
        <f t="shared" si="3"/>
        <v>-749</v>
      </c>
      <c r="G24" s="339">
        <f t="shared" si="3"/>
        <v>-990</v>
      </c>
      <c r="H24" s="1"/>
      <c r="I24" s="1"/>
      <c r="J24" s="1"/>
      <c r="K24" s="1"/>
      <c r="L24" s="1"/>
    </row>
    <row r="25" spans="1:12" x14ac:dyDescent="0.3">
      <c r="A25" s="327" t="s">
        <v>120</v>
      </c>
      <c r="B25" s="146"/>
      <c r="C25" s="156">
        <v>-72</v>
      </c>
      <c r="D25" s="148">
        <v>-90</v>
      </c>
      <c r="E25" s="148">
        <v>-125</v>
      </c>
      <c r="F25" s="148">
        <v>-134</v>
      </c>
      <c r="G25" s="328">
        <v>-140</v>
      </c>
      <c r="H25" s="1"/>
      <c r="I25" s="1"/>
      <c r="J25" s="1"/>
      <c r="K25" s="1"/>
      <c r="L25" s="1"/>
    </row>
    <row r="26" spans="1:12" x14ac:dyDescent="0.3">
      <c r="A26" s="327" t="s">
        <v>153</v>
      </c>
      <c r="B26" s="146"/>
      <c r="C26" s="156">
        <v>-43</v>
      </c>
      <c r="D26" s="148">
        <v>-33</v>
      </c>
      <c r="E26" s="148">
        <v>-4</v>
      </c>
      <c r="F26" s="148">
        <v>-34</v>
      </c>
      <c r="G26" s="328">
        <v>-6</v>
      </c>
      <c r="H26" s="1"/>
      <c r="I26" s="1"/>
      <c r="J26" s="1"/>
      <c r="K26" s="1"/>
      <c r="L26" s="1"/>
    </row>
    <row r="27" spans="1:12" x14ac:dyDescent="0.3">
      <c r="A27" s="327" t="s">
        <v>351</v>
      </c>
      <c r="B27" s="146"/>
      <c r="C27" s="156">
        <v>-521</v>
      </c>
      <c r="D27" s="148">
        <v>-744</v>
      </c>
      <c r="E27" s="148">
        <v>-521</v>
      </c>
      <c r="F27" s="148">
        <v>-581</v>
      </c>
      <c r="G27" s="328">
        <v>-844</v>
      </c>
      <c r="H27" s="1"/>
      <c r="I27" s="1"/>
      <c r="J27" s="1"/>
      <c r="K27" s="1"/>
      <c r="L27" s="1"/>
    </row>
    <row r="28" spans="1:12" x14ac:dyDescent="0.3">
      <c r="A28" s="327" t="s">
        <v>402</v>
      </c>
      <c r="B28" s="146"/>
      <c r="C28" s="156">
        <v>-20</v>
      </c>
      <c r="D28" s="148">
        <v>-7</v>
      </c>
      <c r="E28" s="148">
        <v>0</v>
      </c>
      <c r="F28" s="148">
        <v>0</v>
      </c>
      <c r="G28" s="328">
        <v>0</v>
      </c>
      <c r="H28" s="1"/>
      <c r="I28" s="1"/>
      <c r="J28" s="1"/>
      <c r="K28" s="1"/>
      <c r="L28" s="1"/>
    </row>
    <row r="29" spans="1:12" x14ac:dyDescent="0.3">
      <c r="A29" s="329" t="s">
        <v>357</v>
      </c>
      <c r="B29" s="330"/>
      <c r="C29" s="161">
        <f>C14+C16+C24</f>
        <v>308</v>
      </c>
      <c r="D29" s="161">
        <f t="shared" ref="D29:G29" si="4">D14+D16+D24</f>
        <v>195</v>
      </c>
      <c r="E29" s="161">
        <f t="shared" si="4"/>
        <v>342</v>
      </c>
      <c r="F29" s="161">
        <f t="shared" si="4"/>
        <v>292</v>
      </c>
      <c r="G29" s="340">
        <f t="shared" si="4"/>
        <v>218</v>
      </c>
      <c r="H29" s="1"/>
      <c r="I29" s="1"/>
      <c r="J29" s="1"/>
      <c r="K29" s="1"/>
      <c r="L29" s="1"/>
    </row>
    <row r="30" spans="1:12" x14ac:dyDescent="0.3">
      <c r="A30" s="327"/>
      <c r="B30" s="146"/>
      <c r="C30" s="156"/>
      <c r="D30" s="148"/>
      <c r="E30" s="148"/>
      <c r="F30" s="148"/>
      <c r="G30" s="328"/>
      <c r="H30" s="1"/>
      <c r="I30" s="1"/>
      <c r="J30" s="1"/>
      <c r="K30" s="1"/>
      <c r="L30" s="1"/>
    </row>
    <row r="31" spans="1:12" x14ac:dyDescent="0.3">
      <c r="A31" s="327" t="s">
        <v>401</v>
      </c>
      <c r="B31" s="146"/>
      <c r="C31" s="156">
        <v>308</v>
      </c>
      <c r="D31" s="148">
        <v>341</v>
      </c>
      <c r="E31" s="148">
        <v>301</v>
      </c>
      <c r="F31" s="148">
        <v>264</v>
      </c>
      <c r="G31" s="328">
        <v>277</v>
      </c>
      <c r="H31" s="1"/>
      <c r="I31" s="1"/>
      <c r="J31" s="1"/>
      <c r="K31" s="1"/>
      <c r="L31" s="1"/>
    </row>
    <row r="32" spans="1:12" x14ac:dyDescent="0.3">
      <c r="A32" s="327" t="s">
        <v>113</v>
      </c>
      <c r="B32" s="146"/>
      <c r="C32" s="156">
        <v>-332</v>
      </c>
      <c r="D32" s="148">
        <v>-365</v>
      </c>
      <c r="E32" s="148">
        <v>-319</v>
      </c>
      <c r="F32" s="148">
        <v>-314</v>
      </c>
      <c r="G32" s="328">
        <v>-307</v>
      </c>
      <c r="H32" s="1"/>
      <c r="I32" s="1"/>
      <c r="J32" s="1"/>
      <c r="K32" s="1"/>
      <c r="L32" s="1"/>
    </row>
    <row r="33" spans="1:12" x14ac:dyDescent="0.3">
      <c r="A33" s="327" t="s">
        <v>352</v>
      </c>
      <c r="B33" s="146"/>
      <c r="C33" s="156">
        <v>-576</v>
      </c>
      <c r="D33" s="148">
        <v>-671</v>
      </c>
      <c r="E33" s="148">
        <v>-625</v>
      </c>
      <c r="F33" s="148">
        <v>-642</v>
      </c>
      <c r="G33" s="328">
        <v>-676</v>
      </c>
      <c r="H33" s="1"/>
      <c r="I33" s="1"/>
      <c r="J33" s="1"/>
      <c r="K33" s="1"/>
      <c r="L33" s="1"/>
    </row>
    <row r="34" spans="1:12" x14ac:dyDescent="0.3">
      <c r="A34" s="341" t="s">
        <v>358</v>
      </c>
      <c r="B34" s="342"/>
      <c r="C34" s="160">
        <f>C9+C29+C31+C32+C33</f>
        <v>6203</v>
      </c>
      <c r="D34" s="160">
        <f t="shared" ref="D34:G34" si="5">D9+D29+D31+D32+D33</f>
        <v>6413</v>
      </c>
      <c r="E34" s="160">
        <f t="shared" si="5"/>
        <v>6239</v>
      </c>
      <c r="F34" s="160">
        <f t="shared" si="5"/>
        <v>6545</v>
      </c>
      <c r="G34" s="343">
        <f t="shared" si="5"/>
        <v>6805</v>
      </c>
      <c r="H34" s="1"/>
      <c r="I34" s="1"/>
      <c r="J34" s="1"/>
      <c r="K34" s="1"/>
      <c r="L34" s="1"/>
    </row>
    <row r="35" spans="1:12" x14ac:dyDescent="0.3">
      <c r="A35" s="327"/>
      <c r="B35" s="146"/>
      <c r="C35" s="156"/>
      <c r="D35" s="148"/>
      <c r="E35" s="148"/>
      <c r="F35" s="148"/>
      <c r="G35" s="328"/>
      <c r="H35" s="1"/>
      <c r="I35" s="1"/>
      <c r="J35" s="1"/>
      <c r="K35" s="1"/>
      <c r="L35" s="1"/>
    </row>
    <row r="36" spans="1:12" x14ac:dyDescent="0.3">
      <c r="A36" s="327"/>
      <c r="B36" s="146"/>
      <c r="C36" s="156"/>
      <c r="D36" s="148"/>
      <c r="E36" s="148"/>
      <c r="F36" s="148"/>
      <c r="G36" s="328"/>
      <c r="H36" s="1"/>
      <c r="I36" s="1"/>
      <c r="J36" s="1"/>
      <c r="K36" s="1"/>
      <c r="L36" s="1"/>
    </row>
    <row r="37" spans="1:12" x14ac:dyDescent="0.3">
      <c r="A37" s="327"/>
      <c r="B37" s="146"/>
      <c r="C37" s="156"/>
      <c r="D37" s="148"/>
      <c r="E37" s="148"/>
      <c r="F37" s="148"/>
      <c r="G37" s="328"/>
      <c r="H37" s="1"/>
      <c r="I37" s="1"/>
      <c r="J37" s="1"/>
      <c r="K37" s="1"/>
      <c r="L37" s="1"/>
    </row>
    <row r="38" spans="1:12" x14ac:dyDescent="0.3">
      <c r="A38" s="344" t="s">
        <v>365</v>
      </c>
      <c r="B38" s="345"/>
      <c r="C38" s="162">
        <v>-3259</v>
      </c>
      <c r="D38" s="163">
        <v>-3279</v>
      </c>
      <c r="E38" s="163">
        <v>-3013</v>
      </c>
      <c r="F38" s="163">
        <v>-3523</v>
      </c>
      <c r="G38" s="368">
        <v>-3651</v>
      </c>
      <c r="H38" s="1"/>
      <c r="I38" s="1"/>
      <c r="J38" s="1"/>
      <c r="K38" s="1"/>
      <c r="L38" s="1"/>
    </row>
    <row r="39" spans="1:12" x14ac:dyDescent="0.3">
      <c r="A39" s="327"/>
      <c r="B39" s="146"/>
      <c r="C39" s="156"/>
      <c r="D39" s="148"/>
      <c r="E39" s="148"/>
      <c r="F39" s="148"/>
      <c r="G39" s="328"/>
      <c r="H39" s="1"/>
      <c r="I39" s="1"/>
      <c r="J39" s="1"/>
      <c r="K39" s="1"/>
      <c r="L39" s="1"/>
    </row>
    <row r="40" spans="1:12" x14ac:dyDescent="0.3">
      <c r="A40" s="327" t="s">
        <v>105</v>
      </c>
      <c r="B40" s="146"/>
      <c r="C40" s="156">
        <v>-3089</v>
      </c>
      <c r="D40" s="148">
        <v>-3436</v>
      </c>
      <c r="E40" s="148">
        <v>-3501</v>
      </c>
      <c r="F40" s="148">
        <v>-2984</v>
      </c>
      <c r="G40" s="328">
        <v>-3307</v>
      </c>
      <c r="H40" s="1"/>
      <c r="I40" s="1"/>
      <c r="J40" s="1"/>
      <c r="K40" s="1"/>
      <c r="L40" s="1"/>
    </row>
    <row r="41" spans="1:12" x14ac:dyDescent="0.3">
      <c r="A41" s="327" t="s">
        <v>555</v>
      </c>
      <c r="B41" s="146"/>
      <c r="C41" s="156">
        <v>-27</v>
      </c>
      <c r="D41" s="148">
        <v>-19</v>
      </c>
      <c r="E41" s="148">
        <v>-23</v>
      </c>
      <c r="F41" s="148">
        <v>-14</v>
      </c>
      <c r="G41" s="328">
        <v>-9</v>
      </c>
      <c r="H41" s="1"/>
      <c r="I41" s="1"/>
      <c r="J41" s="1"/>
      <c r="K41" s="1"/>
      <c r="L41" s="1"/>
    </row>
    <row r="42" spans="1:12" x14ac:dyDescent="0.3">
      <c r="A42" s="327" t="s">
        <v>556</v>
      </c>
      <c r="B42" s="146"/>
      <c r="C42" s="148">
        <v>57</v>
      </c>
      <c r="D42" s="148">
        <v>60</v>
      </c>
      <c r="E42" s="148">
        <v>36</v>
      </c>
      <c r="F42" s="148">
        <v>30</v>
      </c>
      <c r="G42" s="328">
        <v>22</v>
      </c>
      <c r="H42" s="1"/>
      <c r="I42" s="1"/>
      <c r="J42" s="1"/>
      <c r="K42" s="1"/>
      <c r="L42" s="1"/>
    </row>
    <row r="43" spans="1:12" x14ac:dyDescent="0.3">
      <c r="A43" s="327" t="s">
        <v>150</v>
      </c>
      <c r="B43" s="146"/>
      <c r="C43" s="156">
        <v>-692</v>
      </c>
      <c r="D43" s="148">
        <v>-359</v>
      </c>
      <c r="E43" s="148">
        <v>-437</v>
      </c>
      <c r="F43" s="148">
        <v>-694</v>
      </c>
      <c r="G43" s="328">
        <v>-304</v>
      </c>
      <c r="H43" s="1"/>
      <c r="I43" s="1"/>
      <c r="J43" s="1"/>
      <c r="K43" s="1"/>
      <c r="L43" s="1"/>
    </row>
    <row r="44" spans="1:12" x14ac:dyDescent="0.3">
      <c r="A44" s="346" t="s">
        <v>364</v>
      </c>
      <c r="B44" s="347"/>
      <c r="C44" s="167">
        <f>C40+C41+C42+C43</f>
        <v>-3751</v>
      </c>
      <c r="D44" s="167">
        <v>-3754</v>
      </c>
      <c r="E44" s="167">
        <v>-3925</v>
      </c>
      <c r="F44" s="167">
        <v>-3662</v>
      </c>
      <c r="G44" s="499">
        <v>-3598</v>
      </c>
      <c r="H44" s="1"/>
      <c r="I44" s="1"/>
      <c r="J44" s="1"/>
      <c r="K44" s="1"/>
      <c r="L44" s="1"/>
    </row>
    <row r="45" spans="1:12" x14ac:dyDescent="0.3">
      <c r="A45" s="337"/>
      <c r="B45" s="147"/>
      <c r="C45" s="157"/>
      <c r="D45" s="149"/>
      <c r="E45" s="149"/>
      <c r="F45" s="149"/>
      <c r="G45" s="349"/>
      <c r="H45" s="1"/>
      <c r="I45" s="1"/>
      <c r="J45" s="1"/>
      <c r="K45" s="1"/>
      <c r="L45" s="1"/>
    </row>
    <row r="46" spans="1:12" x14ac:dyDescent="0.3">
      <c r="A46" s="337" t="s">
        <v>557</v>
      </c>
      <c r="B46" s="147"/>
      <c r="C46" s="149">
        <v>171</v>
      </c>
      <c r="D46" s="149">
        <v>218</v>
      </c>
      <c r="E46" s="149">
        <v>8</v>
      </c>
      <c r="F46" s="149">
        <v>16</v>
      </c>
      <c r="G46" s="349">
        <v>10</v>
      </c>
      <c r="H46" s="1"/>
      <c r="I46" s="1"/>
      <c r="J46" s="1"/>
      <c r="K46" s="1"/>
      <c r="L46" s="1"/>
    </row>
    <row r="47" spans="1:12" x14ac:dyDescent="0.3">
      <c r="A47" s="327" t="s">
        <v>77</v>
      </c>
      <c r="B47" s="146"/>
      <c r="C47" s="156">
        <v>636</v>
      </c>
      <c r="D47" s="148">
        <v>402</v>
      </c>
      <c r="E47" s="148">
        <v>691</v>
      </c>
      <c r="F47" s="148">
        <v>624</v>
      </c>
      <c r="G47" s="328">
        <v>434</v>
      </c>
      <c r="H47" s="1"/>
      <c r="I47" s="1"/>
      <c r="J47" s="1"/>
      <c r="K47" s="1"/>
      <c r="L47" s="1"/>
    </row>
    <row r="48" spans="1:12" x14ac:dyDescent="0.3">
      <c r="A48" s="329" t="s">
        <v>359</v>
      </c>
      <c r="B48" s="330"/>
      <c r="C48" s="151">
        <f>C44+C46+C47</f>
        <v>-2944</v>
      </c>
      <c r="D48" s="151">
        <f t="shared" ref="D48:G48" si="6">D44+D46+D47</f>
        <v>-3134</v>
      </c>
      <c r="E48" s="151">
        <f t="shared" si="6"/>
        <v>-3226</v>
      </c>
      <c r="F48" s="151">
        <f t="shared" si="6"/>
        <v>-3022</v>
      </c>
      <c r="G48" s="331">
        <f t="shared" si="6"/>
        <v>-3154</v>
      </c>
      <c r="H48" s="1"/>
      <c r="I48" s="1"/>
      <c r="J48" s="1"/>
      <c r="K48" s="1"/>
      <c r="L48" s="1"/>
    </row>
    <row r="49" spans="1:12" x14ac:dyDescent="0.3">
      <c r="A49" s="327"/>
      <c r="B49" s="146"/>
      <c r="C49" s="156"/>
      <c r="D49" s="148"/>
      <c r="E49" s="148"/>
      <c r="F49" s="148"/>
      <c r="G49" s="328"/>
      <c r="H49" s="1"/>
      <c r="I49" s="1"/>
      <c r="J49" s="1"/>
      <c r="K49" s="1"/>
      <c r="L49" s="1"/>
    </row>
    <row r="50" spans="1:12" x14ac:dyDescent="0.3">
      <c r="A50" s="341" t="s">
        <v>358</v>
      </c>
      <c r="B50" s="342"/>
      <c r="C50" s="160">
        <f>C38+C48</f>
        <v>-6203</v>
      </c>
      <c r="D50" s="160">
        <f t="shared" ref="D50:G50" si="7">D38+D48</f>
        <v>-6413</v>
      </c>
      <c r="E50" s="160">
        <f t="shared" si="7"/>
        <v>-6239</v>
      </c>
      <c r="F50" s="160">
        <f t="shared" si="7"/>
        <v>-6545</v>
      </c>
      <c r="G50" s="343">
        <f t="shared" si="7"/>
        <v>-6805</v>
      </c>
      <c r="H50" s="1"/>
      <c r="I50" s="1"/>
      <c r="J50" s="1"/>
      <c r="K50" s="1"/>
      <c r="L50" s="1"/>
    </row>
    <row r="51" spans="1:12" ht="15" thickBot="1" x14ac:dyDescent="0.35">
      <c r="A51" s="500" t="s">
        <v>371</v>
      </c>
      <c r="B51" s="501"/>
      <c r="C51" s="502">
        <f>C34+C50</f>
        <v>0</v>
      </c>
      <c r="D51" s="502">
        <f t="shared" ref="D51:G51" si="8">D34+D50</f>
        <v>0</v>
      </c>
      <c r="E51" s="502">
        <f t="shared" si="8"/>
        <v>0</v>
      </c>
      <c r="F51" s="502">
        <f t="shared" si="8"/>
        <v>0</v>
      </c>
      <c r="G51" s="503">
        <f t="shared" si="8"/>
        <v>0</v>
      </c>
      <c r="H51" s="1"/>
      <c r="I51" s="1"/>
      <c r="J51" s="1"/>
      <c r="K51" s="1"/>
      <c r="L51" s="1"/>
    </row>
    <row r="52" spans="1:12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 thickBot="1" x14ac:dyDescent="0.35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24.6" x14ac:dyDescent="0.5">
      <c r="A54" s="354" t="s">
        <v>302</v>
      </c>
      <c r="B54" s="355"/>
      <c r="C54" s="355"/>
      <c r="D54" s="355"/>
      <c r="E54" s="355"/>
      <c r="F54" s="355"/>
      <c r="G54" s="356"/>
      <c r="H54" s="1"/>
      <c r="I54" s="1"/>
      <c r="J54" s="1"/>
      <c r="K54" s="1"/>
      <c r="L54" s="1"/>
    </row>
    <row r="55" spans="1:12" x14ac:dyDescent="0.3">
      <c r="A55" s="357"/>
      <c r="B55" s="116"/>
      <c r="C55" s="550" t="s">
        <v>163</v>
      </c>
      <c r="D55" s="550"/>
      <c r="E55" s="550"/>
      <c r="F55" s="550"/>
      <c r="G55" s="551"/>
      <c r="H55" s="1"/>
      <c r="I55" s="1"/>
      <c r="J55" s="1"/>
      <c r="K55" s="1"/>
      <c r="L55" s="1"/>
    </row>
    <row r="56" spans="1:12" x14ac:dyDescent="0.3">
      <c r="A56" s="265"/>
      <c r="B56" s="130" t="s">
        <v>1</v>
      </c>
      <c r="C56" s="117">
        <v>42369</v>
      </c>
      <c r="D56" s="117">
        <v>42735</v>
      </c>
      <c r="E56" s="117">
        <v>43100</v>
      </c>
      <c r="F56" s="117">
        <v>43465</v>
      </c>
      <c r="G56" s="266">
        <v>43830</v>
      </c>
      <c r="H56" s="1"/>
      <c r="I56" s="1"/>
      <c r="J56" s="1"/>
      <c r="K56" s="1"/>
      <c r="L56" s="1"/>
    </row>
    <row r="57" spans="1:12" x14ac:dyDescent="0.3">
      <c r="A57" s="267"/>
      <c r="B57" s="55"/>
      <c r="C57" s="48"/>
      <c r="D57" s="49"/>
      <c r="E57" s="49"/>
      <c r="F57" s="49"/>
      <c r="G57" s="504"/>
      <c r="H57" s="1"/>
      <c r="I57" s="1"/>
      <c r="J57" s="1"/>
      <c r="K57" s="1"/>
      <c r="L57" s="1"/>
    </row>
    <row r="58" spans="1:12" x14ac:dyDescent="0.3">
      <c r="A58" s="326" t="s">
        <v>370</v>
      </c>
      <c r="B58" s="55"/>
      <c r="C58" s="155">
        <f>SUM(C61:C62)</f>
        <v>4921</v>
      </c>
      <c r="D58" s="150">
        <f t="shared" ref="D58:G58" si="9">SUM(D61:D62)</f>
        <v>4860</v>
      </c>
      <c r="E58" s="150">
        <f t="shared" si="9"/>
        <v>5796</v>
      </c>
      <c r="F58" s="150">
        <f t="shared" si="9"/>
        <v>6494</v>
      </c>
      <c r="G58" s="336">
        <f t="shared" si="9"/>
        <v>7324</v>
      </c>
      <c r="H58" s="1"/>
      <c r="I58" s="1"/>
      <c r="J58" s="1"/>
      <c r="K58" s="1"/>
      <c r="L58" s="1"/>
    </row>
    <row r="59" spans="1:12" x14ac:dyDescent="0.3">
      <c r="A59" s="185" t="s">
        <v>167</v>
      </c>
      <c r="B59" s="55"/>
      <c r="C59" s="156">
        <v>3947</v>
      </c>
      <c r="D59" s="148">
        <v>3734</v>
      </c>
      <c r="E59" s="148">
        <v>4633</v>
      </c>
      <c r="F59" s="148">
        <v>5268</v>
      </c>
      <c r="G59" s="328">
        <v>6046</v>
      </c>
      <c r="H59" s="1"/>
      <c r="I59" s="1"/>
      <c r="J59" s="1"/>
      <c r="K59" s="1"/>
      <c r="L59" s="1"/>
    </row>
    <row r="60" spans="1:12" x14ac:dyDescent="0.3">
      <c r="A60" s="185" t="s">
        <v>169</v>
      </c>
      <c r="B60" s="55"/>
      <c r="C60" s="156">
        <v>785</v>
      </c>
      <c r="D60" s="148">
        <v>847</v>
      </c>
      <c r="E60" s="148">
        <v>957</v>
      </c>
      <c r="F60" s="148">
        <v>1003</v>
      </c>
      <c r="G60" s="328">
        <v>1076</v>
      </c>
      <c r="H60" s="1"/>
      <c r="I60" s="1"/>
      <c r="J60" s="1"/>
      <c r="K60" s="1"/>
      <c r="L60" s="1"/>
    </row>
    <row r="61" spans="1:12" x14ac:dyDescent="0.3">
      <c r="A61" s="505" t="s">
        <v>171</v>
      </c>
      <c r="B61" s="55"/>
      <c r="C61" s="157">
        <f>SUM(C59:C60)</f>
        <v>4732</v>
      </c>
      <c r="D61" s="149">
        <f>SUM(D59:D60)</f>
        <v>4581</v>
      </c>
      <c r="E61" s="149">
        <f>SUM(E59:E60)</f>
        <v>5590</v>
      </c>
      <c r="F61" s="149">
        <f>SUM(F59:F60)</f>
        <v>6271</v>
      </c>
      <c r="G61" s="349">
        <f>SUM(G59:G60)</f>
        <v>7122</v>
      </c>
      <c r="H61" s="1"/>
      <c r="I61" s="1"/>
      <c r="J61" s="1"/>
      <c r="K61" s="1"/>
      <c r="L61" s="1"/>
    </row>
    <row r="62" spans="1:12" x14ac:dyDescent="0.3">
      <c r="A62" s="185" t="s">
        <v>173</v>
      </c>
      <c r="B62" s="55"/>
      <c r="C62" s="156">
        <v>189</v>
      </c>
      <c r="D62" s="148">
        <v>279</v>
      </c>
      <c r="E62" s="148">
        <v>206</v>
      </c>
      <c r="F62" s="148">
        <v>223</v>
      </c>
      <c r="G62" s="328">
        <v>202</v>
      </c>
      <c r="H62" s="1"/>
      <c r="I62" s="1"/>
      <c r="J62" s="1"/>
      <c r="K62" s="1"/>
      <c r="L62" s="1"/>
    </row>
    <row r="63" spans="1:12" x14ac:dyDescent="0.3">
      <c r="A63" s="185"/>
      <c r="B63" s="55"/>
      <c r="C63" s="156"/>
      <c r="D63" s="156"/>
      <c r="E63" s="148"/>
      <c r="F63" s="148"/>
      <c r="G63" s="328"/>
      <c r="H63" s="1"/>
      <c r="I63" s="1"/>
      <c r="J63" s="1"/>
      <c r="K63" s="1"/>
      <c r="L63" s="1"/>
    </row>
    <row r="64" spans="1:12" x14ac:dyDescent="0.3">
      <c r="A64" s="185" t="s">
        <v>177</v>
      </c>
      <c r="B64" s="55"/>
      <c r="C64" s="156">
        <v>-2286</v>
      </c>
      <c r="D64" s="156">
        <v>-2101</v>
      </c>
      <c r="E64" s="148">
        <v>-2831</v>
      </c>
      <c r="F64" s="148">
        <v>-3346</v>
      </c>
      <c r="G64" s="328">
        <v>-4004</v>
      </c>
      <c r="H64" s="1"/>
      <c r="I64" s="1"/>
      <c r="J64" s="1"/>
      <c r="K64" s="1"/>
      <c r="L64" s="1"/>
    </row>
    <row r="65" spans="1:12" x14ac:dyDescent="0.3">
      <c r="A65" s="185" t="s">
        <v>179</v>
      </c>
      <c r="B65" s="55"/>
      <c r="C65" s="156">
        <v>-706</v>
      </c>
      <c r="D65" s="156">
        <v>-758</v>
      </c>
      <c r="E65" s="148">
        <v>-850</v>
      </c>
      <c r="F65" s="148">
        <v>-986</v>
      </c>
      <c r="G65" s="328">
        <v>-1152</v>
      </c>
      <c r="H65" s="1"/>
      <c r="I65" s="1"/>
      <c r="J65" s="1"/>
      <c r="K65" s="1"/>
      <c r="L65" s="1"/>
    </row>
    <row r="66" spans="1:12" x14ac:dyDescent="0.3">
      <c r="A66" s="185" t="s">
        <v>183</v>
      </c>
      <c r="B66" s="55"/>
      <c r="C66" s="156">
        <v>-252</v>
      </c>
      <c r="D66" s="156">
        <v>-243</v>
      </c>
      <c r="E66" s="148">
        <v>-281</v>
      </c>
      <c r="F66" s="148">
        <v>-266</v>
      </c>
      <c r="G66" s="328">
        <v>-234</v>
      </c>
      <c r="H66" s="1"/>
      <c r="I66" s="1"/>
      <c r="J66" s="1"/>
      <c r="K66" s="1"/>
      <c r="L66" s="1"/>
    </row>
    <row r="67" spans="1:12" x14ac:dyDescent="0.3">
      <c r="A67" s="185" t="s">
        <v>360</v>
      </c>
      <c r="B67" s="55"/>
      <c r="C67" s="156">
        <f>-SUM(C72:C73)</f>
        <v>-629</v>
      </c>
      <c r="D67" s="156">
        <f>-SUM(D72:D73)</f>
        <v>-596</v>
      </c>
      <c r="E67" s="148">
        <f>-SUM(E72:E73)</f>
        <v>-635</v>
      </c>
      <c r="F67" s="148">
        <f>-SUM(F72:F73)</f>
        <v>-665</v>
      </c>
      <c r="G67" s="328">
        <f>-SUM(G72:G73)</f>
        <v>-700</v>
      </c>
      <c r="H67" s="1"/>
      <c r="I67" s="1"/>
      <c r="J67" s="1"/>
      <c r="K67" s="1"/>
      <c r="L67" s="1"/>
    </row>
    <row r="68" spans="1:12" x14ac:dyDescent="0.3">
      <c r="A68" s="185" t="s">
        <v>187</v>
      </c>
      <c r="B68" s="55"/>
      <c r="C68" s="156">
        <v>441</v>
      </c>
      <c r="D68" s="156">
        <v>433</v>
      </c>
      <c r="E68" s="148">
        <v>471</v>
      </c>
      <c r="F68" s="148">
        <v>494</v>
      </c>
      <c r="G68" s="328">
        <v>527</v>
      </c>
      <c r="H68" s="1"/>
      <c r="I68" s="1"/>
      <c r="J68" s="1"/>
      <c r="K68" s="1"/>
      <c r="L68" s="1"/>
    </row>
    <row r="69" spans="1:12" x14ac:dyDescent="0.3">
      <c r="A69" s="185" t="s">
        <v>189</v>
      </c>
      <c r="B69" s="55"/>
      <c r="C69" s="156">
        <v>163</v>
      </c>
      <c r="D69" s="156">
        <v>146</v>
      </c>
      <c r="E69" s="148">
        <v>160</v>
      </c>
      <c r="F69" s="148">
        <v>173</v>
      </c>
      <c r="G69" s="328">
        <v>179</v>
      </c>
      <c r="H69" s="1"/>
      <c r="I69" s="1"/>
      <c r="J69" s="1"/>
      <c r="K69" s="1"/>
      <c r="L69" s="1"/>
    </row>
    <row r="70" spans="1:12" x14ac:dyDescent="0.3">
      <c r="A70" s="185" t="s">
        <v>191</v>
      </c>
      <c r="B70" s="55"/>
      <c r="C70" s="156">
        <v>25</v>
      </c>
      <c r="D70" s="156">
        <v>26</v>
      </c>
      <c r="E70" s="148">
        <v>29</v>
      </c>
      <c r="F70" s="148">
        <v>31</v>
      </c>
      <c r="G70" s="328">
        <v>31</v>
      </c>
      <c r="H70" s="1"/>
      <c r="I70" s="1"/>
      <c r="J70" s="1"/>
      <c r="K70" s="1"/>
      <c r="L70" s="1"/>
    </row>
    <row r="71" spans="1:12" x14ac:dyDescent="0.3">
      <c r="A71" s="185" t="s">
        <v>192</v>
      </c>
      <c r="B71" s="55"/>
      <c r="C71" s="156">
        <v>27</v>
      </c>
      <c r="D71" s="156">
        <v>36</v>
      </c>
      <c r="E71" s="148">
        <v>27</v>
      </c>
      <c r="F71" s="148">
        <v>33</v>
      </c>
      <c r="G71" s="328">
        <v>42</v>
      </c>
      <c r="H71" s="1"/>
      <c r="I71" s="1"/>
      <c r="J71" s="1"/>
      <c r="K71" s="1"/>
      <c r="L71" s="1"/>
    </row>
    <row r="72" spans="1:12" x14ac:dyDescent="0.3">
      <c r="A72" s="505" t="s">
        <v>194</v>
      </c>
      <c r="B72" s="55"/>
      <c r="C72" s="157">
        <f>SUM(C68:C71)</f>
        <v>656</v>
      </c>
      <c r="D72" s="157">
        <f>SUM(D68:D71)</f>
        <v>641</v>
      </c>
      <c r="E72" s="149">
        <f>SUM(E68:E71)</f>
        <v>687</v>
      </c>
      <c r="F72" s="149">
        <f t="shared" ref="F72" si="10">SUM(F68:F71)</f>
        <v>731</v>
      </c>
      <c r="G72" s="349">
        <f>SUM(G68:G71)</f>
        <v>779</v>
      </c>
      <c r="H72" s="1"/>
      <c r="I72" s="1"/>
      <c r="J72" s="1"/>
      <c r="K72" s="1"/>
      <c r="L72" s="1"/>
    </row>
    <row r="73" spans="1:12" x14ac:dyDescent="0.3">
      <c r="A73" s="185" t="s">
        <v>196</v>
      </c>
      <c r="B73" s="55"/>
      <c r="C73" s="156">
        <v>-27</v>
      </c>
      <c r="D73" s="156">
        <v>-45</v>
      </c>
      <c r="E73" s="148">
        <v>-52</v>
      </c>
      <c r="F73" s="148">
        <v>-66</v>
      </c>
      <c r="G73" s="328">
        <v>-79</v>
      </c>
      <c r="H73" s="1"/>
      <c r="I73" s="1"/>
      <c r="J73" s="1"/>
      <c r="K73" s="1"/>
      <c r="L73" s="1"/>
    </row>
    <row r="74" spans="1:12" x14ac:dyDescent="0.3">
      <c r="A74" s="506" t="s">
        <v>369</v>
      </c>
      <c r="B74" s="316"/>
      <c r="C74" s="164">
        <f>SUM(C64:C67)</f>
        <v>-3873</v>
      </c>
      <c r="D74" s="164">
        <f>SUM(D64:D67)</f>
        <v>-3698</v>
      </c>
      <c r="E74" s="165">
        <f>SUM(E64:E67)</f>
        <v>-4597</v>
      </c>
      <c r="F74" s="165">
        <f>SUM(F64:F67)</f>
        <v>-5263</v>
      </c>
      <c r="G74" s="334">
        <f>SUM(G64:G67)</f>
        <v>-6090</v>
      </c>
      <c r="H74" s="1"/>
      <c r="I74" s="1"/>
      <c r="J74" s="1"/>
      <c r="K74" s="1"/>
      <c r="L74" s="1"/>
    </row>
    <row r="75" spans="1:12" x14ac:dyDescent="0.3">
      <c r="A75" s="326"/>
      <c r="B75" s="55"/>
      <c r="C75" s="156"/>
      <c r="D75" s="156"/>
      <c r="E75" s="148"/>
      <c r="F75" s="148"/>
      <c r="G75" s="328"/>
      <c r="H75" s="1"/>
      <c r="I75" s="1"/>
      <c r="J75" s="1"/>
      <c r="K75" s="1"/>
      <c r="L75" s="1"/>
    </row>
    <row r="76" spans="1:12" x14ac:dyDescent="0.3">
      <c r="A76" s="362" t="s">
        <v>306</v>
      </c>
      <c r="B76" s="507"/>
      <c r="C76" s="161">
        <f>SUM(C58,C74)</f>
        <v>1048</v>
      </c>
      <c r="D76" s="161">
        <f>SUM(D58,D74)</f>
        <v>1162</v>
      </c>
      <c r="E76" s="151">
        <f>SUM(E58,E74)</f>
        <v>1199</v>
      </c>
      <c r="F76" s="151">
        <f>SUM(F58,F74)</f>
        <v>1231</v>
      </c>
      <c r="G76" s="331">
        <f>SUM(G58,G74)</f>
        <v>1234</v>
      </c>
      <c r="H76" s="1"/>
      <c r="I76" s="1"/>
      <c r="J76" s="1"/>
      <c r="K76" s="1"/>
      <c r="L76" s="1"/>
    </row>
    <row r="77" spans="1:12" x14ac:dyDescent="0.3">
      <c r="A77" s="185"/>
      <c r="B77" s="55"/>
      <c r="C77" s="248"/>
      <c r="D77" s="248"/>
      <c r="E77" s="152"/>
      <c r="F77" s="152"/>
      <c r="G77" s="508"/>
      <c r="H77" s="1"/>
      <c r="I77" s="1"/>
      <c r="J77" s="1"/>
      <c r="K77" s="1"/>
      <c r="L77" s="1"/>
    </row>
    <row r="78" spans="1:12" x14ac:dyDescent="0.3">
      <c r="A78" s="185" t="s">
        <v>361</v>
      </c>
      <c r="B78" s="55"/>
      <c r="C78" s="156">
        <f>-SUM(C79:C81)</f>
        <v>-754</v>
      </c>
      <c r="D78" s="156">
        <f t="shared" ref="D78:G78" si="11">-SUM(D79:D81)</f>
        <v>-648</v>
      </c>
      <c r="E78" s="148">
        <f t="shared" si="11"/>
        <v>-444</v>
      </c>
      <c r="F78" s="148">
        <f t="shared" si="11"/>
        <v>-623</v>
      </c>
      <c r="G78" s="328">
        <f t="shared" si="11"/>
        <v>-511</v>
      </c>
      <c r="H78" s="1"/>
      <c r="I78" s="1"/>
      <c r="J78" s="1"/>
      <c r="K78" s="1"/>
      <c r="L78" s="1"/>
    </row>
    <row r="79" spans="1:12" x14ac:dyDescent="0.3">
      <c r="A79" s="185" t="s">
        <v>202</v>
      </c>
      <c r="B79" s="55"/>
      <c r="C79" s="156">
        <v>54</v>
      </c>
      <c r="D79" s="156">
        <v>55</v>
      </c>
      <c r="E79" s="148">
        <v>72</v>
      </c>
      <c r="F79" s="148">
        <v>91</v>
      </c>
      <c r="G79" s="328">
        <v>123</v>
      </c>
      <c r="H79" s="1"/>
      <c r="I79" s="1"/>
      <c r="J79" s="1"/>
      <c r="K79" s="1"/>
      <c r="L79" s="1"/>
    </row>
    <row r="80" spans="1:12" x14ac:dyDescent="0.3">
      <c r="A80" s="185" t="s">
        <v>204</v>
      </c>
      <c r="B80" s="55"/>
      <c r="C80" s="156">
        <v>341</v>
      </c>
      <c r="D80" s="156">
        <v>348</v>
      </c>
      <c r="E80" s="148">
        <v>338</v>
      </c>
      <c r="F80" s="148">
        <v>372</v>
      </c>
      <c r="G80" s="328">
        <v>379</v>
      </c>
      <c r="H80" s="1"/>
      <c r="I80" s="1"/>
      <c r="J80" s="1"/>
      <c r="K80" s="1"/>
      <c r="L80" s="1"/>
    </row>
    <row r="81" spans="1:12" x14ac:dyDescent="0.3">
      <c r="A81" s="185" t="s">
        <v>206</v>
      </c>
      <c r="B81" s="55"/>
      <c r="C81" s="156">
        <v>359</v>
      </c>
      <c r="D81" s="156">
        <v>245</v>
      </c>
      <c r="E81" s="148">
        <v>34</v>
      </c>
      <c r="F81" s="148">
        <v>160</v>
      </c>
      <c r="G81" s="328">
        <v>9</v>
      </c>
      <c r="H81" s="1"/>
      <c r="I81" s="1"/>
      <c r="J81" s="1"/>
      <c r="K81" s="1"/>
      <c r="L81" s="1"/>
    </row>
    <row r="82" spans="1:12" x14ac:dyDescent="0.3">
      <c r="A82" s="185" t="s">
        <v>486</v>
      </c>
      <c r="B82" s="55"/>
      <c r="C82" s="157">
        <f>-SUM(C83:C84)</f>
        <v>-79</v>
      </c>
      <c r="D82" s="157">
        <f t="shared" ref="D82:G82" si="12">-SUM(D83:D84)</f>
        <v>-71</v>
      </c>
      <c r="E82" s="149">
        <f t="shared" si="12"/>
        <v>-45</v>
      </c>
      <c r="F82" s="149">
        <f t="shared" si="12"/>
        <v>-20</v>
      </c>
      <c r="G82" s="349">
        <f t="shared" si="12"/>
        <v>-36</v>
      </c>
      <c r="H82" s="1"/>
      <c r="I82" s="1"/>
      <c r="J82" s="1"/>
      <c r="K82" s="1"/>
      <c r="L82" s="1"/>
    </row>
    <row r="83" spans="1:12" x14ac:dyDescent="0.3">
      <c r="A83" s="185" t="s">
        <v>210</v>
      </c>
      <c r="B83" s="55"/>
      <c r="C83" s="156">
        <v>57</v>
      </c>
      <c r="D83" s="156">
        <v>50</v>
      </c>
      <c r="E83" s="148">
        <v>10</v>
      </c>
      <c r="F83" s="148">
        <v>-5</v>
      </c>
      <c r="G83" s="328">
        <v>21</v>
      </c>
      <c r="H83" s="1"/>
      <c r="I83" s="1"/>
      <c r="J83" s="1"/>
      <c r="K83" s="1"/>
      <c r="L83" s="1"/>
    </row>
    <row r="84" spans="1:12" ht="14.4" customHeight="1" x14ac:dyDescent="0.3">
      <c r="A84" s="509" t="s">
        <v>212</v>
      </c>
      <c r="B84" s="55"/>
      <c r="C84" s="156">
        <v>22</v>
      </c>
      <c r="D84" s="156">
        <v>21</v>
      </c>
      <c r="E84" s="148">
        <v>35</v>
      </c>
      <c r="F84" s="148">
        <v>25</v>
      </c>
      <c r="G84" s="328">
        <v>15</v>
      </c>
      <c r="H84" s="1"/>
      <c r="I84" s="1"/>
      <c r="J84" s="1"/>
      <c r="K84" s="1"/>
      <c r="L84" s="1"/>
    </row>
    <row r="85" spans="1:12" x14ac:dyDescent="0.3">
      <c r="A85" s="326"/>
      <c r="B85" s="55"/>
      <c r="C85" s="155"/>
      <c r="D85" s="156"/>
      <c r="E85" s="150"/>
      <c r="F85" s="150"/>
      <c r="G85" s="336"/>
      <c r="H85" s="1"/>
      <c r="I85" s="1"/>
      <c r="J85" s="1"/>
      <c r="K85" s="1"/>
      <c r="L85" s="1"/>
    </row>
    <row r="86" spans="1:12" x14ac:dyDescent="0.3">
      <c r="A86" s="362" t="s">
        <v>303</v>
      </c>
      <c r="B86" s="507"/>
      <c r="C86" s="161">
        <f>SUM(C76,C78,C82)</f>
        <v>215</v>
      </c>
      <c r="D86" s="161">
        <f>SUM(D76,D78,D82)</f>
        <v>443</v>
      </c>
      <c r="E86" s="151">
        <f>SUM(E76,E78,E82)</f>
        <v>710</v>
      </c>
      <c r="F86" s="151">
        <f>SUM(F76,F78,F82)</f>
        <v>588</v>
      </c>
      <c r="G86" s="331">
        <f>SUM(G76,G78,G82)</f>
        <v>687</v>
      </c>
      <c r="H86" s="1"/>
      <c r="I86" s="1"/>
      <c r="J86" s="1"/>
      <c r="K86" s="1"/>
      <c r="L86" s="1"/>
    </row>
    <row r="87" spans="1:12" x14ac:dyDescent="0.3">
      <c r="A87" s="326"/>
      <c r="B87" s="55"/>
      <c r="C87" s="155"/>
      <c r="D87" s="156"/>
      <c r="E87" s="150"/>
      <c r="F87" s="150"/>
      <c r="G87" s="336"/>
      <c r="H87" s="1"/>
      <c r="I87" s="1"/>
      <c r="J87" s="1"/>
      <c r="K87" s="1"/>
      <c r="L87" s="1"/>
    </row>
    <row r="88" spans="1:12" x14ac:dyDescent="0.3">
      <c r="A88" s="185" t="s">
        <v>217</v>
      </c>
      <c r="B88" s="55"/>
      <c r="C88" s="156">
        <v>1</v>
      </c>
      <c r="D88" s="156">
        <v>52</v>
      </c>
      <c r="E88" s="148">
        <v>0</v>
      </c>
      <c r="F88" s="148">
        <v>14</v>
      </c>
      <c r="G88" s="328">
        <v>4</v>
      </c>
      <c r="H88" s="1"/>
      <c r="I88" s="1"/>
      <c r="J88" s="1"/>
      <c r="K88" s="1"/>
      <c r="L88" s="1"/>
    </row>
    <row r="89" spans="1:12" x14ac:dyDescent="0.3">
      <c r="A89" s="185" t="s">
        <v>219</v>
      </c>
      <c r="B89" s="55"/>
      <c r="C89" s="156">
        <f>SUM(C93,-C102,C103)</f>
        <v>-138</v>
      </c>
      <c r="D89" s="156">
        <f t="shared" ref="D89:G89" si="13">SUM(D93,-D102,D103)</f>
        <v>-161</v>
      </c>
      <c r="E89" s="148">
        <f t="shared" si="13"/>
        <v>-134</v>
      </c>
      <c r="F89" s="148">
        <f t="shared" si="13"/>
        <v>-112</v>
      </c>
      <c r="G89" s="328">
        <f t="shared" si="13"/>
        <v>-110</v>
      </c>
      <c r="H89" s="1"/>
      <c r="I89" s="1"/>
      <c r="J89" s="1"/>
      <c r="K89" s="1"/>
      <c r="L89" s="1"/>
    </row>
    <row r="90" spans="1:12" x14ac:dyDescent="0.3">
      <c r="A90" s="185" t="s">
        <v>221</v>
      </c>
      <c r="B90" s="55"/>
      <c r="C90" s="156"/>
      <c r="D90" s="156"/>
      <c r="E90" s="148"/>
      <c r="F90" s="148"/>
      <c r="G90" s="328"/>
      <c r="H90" s="1"/>
      <c r="I90" s="1"/>
      <c r="J90" s="1"/>
      <c r="K90" s="1"/>
      <c r="L90" s="1"/>
    </row>
    <row r="91" spans="1:12" x14ac:dyDescent="0.3">
      <c r="A91" s="185" t="s">
        <v>223</v>
      </c>
      <c r="B91" s="55"/>
      <c r="C91" s="156"/>
      <c r="D91" s="156"/>
      <c r="E91" s="148"/>
      <c r="F91" s="148">
        <v>0</v>
      </c>
      <c r="G91" s="328">
        <v>4</v>
      </c>
      <c r="H91" s="1"/>
      <c r="I91" s="1"/>
      <c r="J91" s="1"/>
      <c r="K91" s="1"/>
      <c r="L91" s="1"/>
    </row>
    <row r="92" spans="1:12" x14ac:dyDescent="0.3">
      <c r="A92" s="185" t="s">
        <v>224</v>
      </c>
      <c r="B92" s="55"/>
      <c r="C92" s="156"/>
      <c r="D92" s="156"/>
      <c r="E92" s="148"/>
      <c r="F92" s="148">
        <v>16</v>
      </c>
      <c r="G92" s="328">
        <v>12</v>
      </c>
      <c r="H92" s="1"/>
      <c r="I92" s="1"/>
      <c r="J92" s="1"/>
      <c r="K92" s="1"/>
      <c r="L92" s="1"/>
    </row>
    <row r="93" spans="1:12" x14ac:dyDescent="0.3">
      <c r="A93" s="185" t="s">
        <v>225</v>
      </c>
      <c r="B93" s="55"/>
      <c r="C93" s="156">
        <v>28</v>
      </c>
      <c r="D93" s="156">
        <v>34</v>
      </c>
      <c r="E93" s="148">
        <v>19</v>
      </c>
      <c r="F93" s="148">
        <f t="shared" ref="F93" si="14">SUM(F91:F92)</f>
        <v>16</v>
      </c>
      <c r="G93" s="328">
        <f>SUM(G91:G92)</f>
        <v>16</v>
      </c>
      <c r="H93" s="1"/>
      <c r="I93" s="1"/>
      <c r="J93" s="1"/>
      <c r="K93" s="1"/>
      <c r="L93" s="1"/>
    </row>
    <row r="94" spans="1:12" x14ac:dyDescent="0.3">
      <c r="A94" s="185" t="s">
        <v>226</v>
      </c>
      <c r="B94" s="55"/>
      <c r="C94" s="156"/>
      <c r="D94" s="156"/>
      <c r="E94" s="148"/>
      <c r="F94" s="148"/>
      <c r="G94" s="328"/>
      <c r="H94" s="1"/>
      <c r="I94" s="1"/>
      <c r="J94" s="1"/>
      <c r="K94" s="1"/>
      <c r="L94" s="1"/>
    </row>
    <row r="95" spans="1:12" x14ac:dyDescent="0.3">
      <c r="A95" s="185" t="s">
        <v>228</v>
      </c>
      <c r="B95" s="55"/>
      <c r="C95" s="156">
        <v>125</v>
      </c>
      <c r="D95" s="156">
        <v>125</v>
      </c>
      <c r="E95" s="148">
        <v>104</v>
      </c>
      <c r="F95" s="148">
        <v>102</v>
      </c>
      <c r="G95" s="328">
        <v>94</v>
      </c>
      <c r="H95" s="1"/>
      <c r="I95" s="1"/>
      <c r="J95" s="1"/>
      <c r="K95" s="1"/>
      <c r="L95" s="1"/>
    </row>
    <row r="96" spans="1:12" x14ac:dyDescent="0.3">
      <c r="A96" s="185" t="s">
        <v>230</v>
      </c>
      <c r="B96" s="55"/>
      <c r="C96" s="156">
        <v>15</v>
      </c>
      <c r="D96" s="156">
        <v>9</v>
      </c>
      <c r="E96" s="148">
        <v>9</v>
      </c>
      <c r="F96" s="148">
        <v>6</v>
      </c>
      <c r="G96" s="328">
        <v>4</v>
      </c>
      <c r="H96" s="1"/>
      <c r="I96" s="1"/>
      <c r="J96" s="1"/>
      <c r="K96" s="1"/>
      <c r="L96" s="1"/>
    </row>
    <row r="97" spans="1:12" x14ac:dyDescent="0.3">
      <c r="A97" s="185" t="s">
        <v>232</v>
      </c>
      <c r="B97" s="55"/>
      <c r="C97" s="156">
        <v>5</v>
      </c>
      <c r="D97" s="156">
        <v>6</v>
      </c>
      <c r="E97" s="148">
        <v>8</v>
      </c>
      <c r="F97" s="148">
        <v>8</v>
      </c>
      <c r="G97" s="328">
        <v>7</v>
      </c>
      <c r="H97" s="1"/>
      <c r="I97" s="1"/>
      <c r="J97" s="1"/>
      <c r="K97" s="1"/>
      <c r="L97" s="1"/>
    </row>
    <row r="98" spans="1:12" x14ac:dyDescent="0.3">
      <c r="A98" s="185" t="s">
        <v>234</v>
      </c>
      <c r="B98" s="55"/>
      <c r="C98" s="156">
        <v>0</v>
      </c>
      <c r="D98" s="156">
        <v>1</v>
      </c>
      <c r="E98" s="148">
        <v>2</v>
      </c>
      <c r="F98" s="148">
        <v>2</v>
      </c>
      <c r="G98" s="328">
        <v>1</v>
      </c>
      <c r="H98" s="1"/>
      <c r="I98" s="1"/>
      <c r="J98" s="1"/>
      <c r="K98" s="1"/>
      <c r="L98" s="1"/>
    </row>
    <row r="99" spans="1:12" x14ac:dyDescent="0.3">
      <c r="A99" s="185" t="s">
        <v>236</v>
      </c>
      <c r="B99" s="55"/>
      <c r="C99" s="156">
        <v>17</v>
      </c>
      <c r="D99" s="156">
        <v>51</v>
      </c>
      <c r="E99" s="148">
        <v>35</v>
      </c>
      <c r="F99" s="148">
        <v>14</v>
      </c>
      <c r="G99" s="328">
        <v>24</v>
      </c>
      <c r="H99" s="1"/>
      <c r="I99" s="1"/>
      <c r="J99" s="1"/>
      <c r="K99" s="1"/>
      <c r="L99" s="1"/>
    </row>
    <row r="100" spans="1:12" x14ac:dyDescent="0.3">
      <c r="A100" s="185" t="s">
        <v>238</v>
      </c>
      <c r="B100" s="55"/>
      <c r="C100" s="156">
        <v>162</v>
      </c>
      <c r="D100" s="156">
        <f>SUM(D95:D99)</f>
        <v>192</v>
      </c>
      <c r="E100" s="148">
        <f>SUM(E95:E99)</f>
        <v>158</v>
      </c>
      <c r="F100" s="148">
        <f>SUM(F95:F99)</f>
        <v>132</v>
      </c>
      <c r="G100" s="328">
        <f>SUM(G95:G99)</f>
        <v>130</v>
      </c>
      <c r="H100" s="1"/>
      <c r="I100" s="1"/>
      <c r="J100" s="1"/>
      <c r="K100" s="1"/>
      <c r="L100" s="1"/>
    </row>
    <row r="101" spans="1:12" x14ac:dyDescent="0.3">
      <c r="A101" s="185" t="s">
        <v>240</v>
      </c>
      <c r="B101" s="55"/>
      <c r="C101" s="156">
        <v>0</v>
      </c>
      <c r="D101" s="156">
        <v>0</v>
      </c>
      <c r="E101" s="148">
        <v>0</v>
      </c>
      <c r="F101" s="148">
        <v>0</v>
      </c>
      <c r="G101" s="328">
        <v>0</v>
      </c>
      <c r="H101" s="1"/>
      <c r="I101" s="1"/>
      <c r="J101" s="1"/>
      <c r="K101" s="1"/>
      <c r="L101" s="1"/>
    </row>
    <row r="102" spans="1:12" x14ac:dyDescent="0.3">
      <c r="A102" s="185" t="s">
        <v>242</v>
      </c>
      <c r="B102" s="55"/>
      <c r="C102" s="156">
        <f>SUM(C100:C101)</f>
        <v>162</v>
      </c>
      <c r="D102" s="156">
        <f>SUM(D100:D101)</f>
        <v>192</v>
      </c>
      <c r="E102" s="148">
        <f>SUM(E100:E101)</f>
        <v>158</v>
      </c>
      <c r="F102" s="148">
        <f>SUM(F100:F101)</f>
        <v>132</v>
      </c>
      <c r="G102" s="328">
        <f>SUM(G100:G101)</f>
        <v>130</v>
      </c>
      <c r="H102" s="1"/>
      <c r="I102" s="1"/>
      <c r="J102" s="1"/>
      <c r="K102" s="1"/>
      <c r="L102" s="1"/>
    </row>
    <row r="103" spans="1:12" x14ac:dyDescent="0.3">
      <c r="A103" s="185" t="s">
        <v>244</v>
      </c>
      <c r="B103" s="55"/>
      <c r="C103" s="156">
        <v>-4</v>
      </c>
      <c r="D103" s="156">
        <v>-3</v>
      </c>
      <c r="E103" s="148">
        <v>5</v>
      </c>
      <c r="F103" s="148">
        <v>4</v>
      </c>
      <c r="G103" s="328">
        <v>4</v>
      </c>
      <c r="H103" s="1"/>
      <c r="I103" s="1"/>
      <c r="J103" s="1"/>
      <c r="K103" s="1"/>
      <c r="L103" s="1"/>
    </row>
    <row r="104" spans="1:12" x14ac:dyDescent="0.3">
      <c r="A104" s="185" t="s">
        <v>246</v>
      </c>
      <c r="B104" s="55"/>
      <c r="C104" s="156"/>
      <c r="D104" s="156">
        <v>0</v>
      </c>
      <c r="E104" s="148">
        <v>0</v>
      </c>
      <c r="F104" s="148">
        <v>0</v>
      </c>
      <c r="G104" s="328">
        <v>0</v>
      </c>
      <c r="H104" s="1"/>
      <c r="I104" s="1"/>
      <c r="J104" s="1"/>
      <c r="K104" s="1"/>
      <c r="L104" s="1"/>
    </row>
    <row r="105" spans="1:12" x14ac:dyDescent="0.3">
      <c r="A105" s="505" t="s">
        <v>400</v>
      </c>
      <c r="B105" s="55"/>
      <c r="C105" s="156">
        <f>SUM(C88:C89)</f>
        <v>-137</v>
      </c>
      <c r="D105" s="156">
        <f t="shared" ref="D105:G105" si="15">SUM(D88:D89)</f>
        <v>-109</v>
      </c>
      <c r="E105" s="148">
        <f t="shared" si="15"/>
        <v>-134</v>
      </c>
      <c r="F105" s="148">
        <f t="shared" si="15"/>
        <v>-98</v>
      </c>
      <c r="G105" s="328">
        <f t="shared" si="15"/>
        <v>-106</v>
      </c>
      <c r="H105" s="1"/>
      <c r="I105" s="1"/>
      <c r="J105" s="1"/>
      <c r="K105" s="1"/>
      <c r="L105" s="1"/>
    </row>
    <row r="106" spans="1:12" x14ac:dyDescent="0.3">
      <c r="A106" s="101"/>
      <c r="B106" s="55"/>
      <c r="C106" s="494"/>
      <c r="D106" s="494"/>
      <c r="E106" s="495"/>
      <c r="F106" s="495"/>
      <c r="G106" s="510"/>
      <c r="H106" s="1"/>
      <c r="I106" s="1"/>
      <c r="J106" s="1"/>
      <c r="K106" s="1"/>
      <c r="L106" s="1"/>
    </row>
    <row r="107" spans="1:12" x14ac:dyDescent="0.3">
      <c r="A107" s="362" t="s">
        <v>304</v>
      </c>
      <c r="B107" s="507"/>
      <c r="C107" s="161">
        <f>SUM(C86,C88,C89)</f>
        <v>78</v>
      </c>
      <c r="D107" s="161">
        <f>SUM(D86,D88,D89)</f>
        <v>334</v>
      </c>
      <c r="E107" s="151">
        <f>SUM(E86,E88,E89)</f>
        <v>576</v>
      </c>
      <c r="F107" s="151">
        <f>SUM(F86,F88,F89)</f>
        <v>490</v>
      </c>
      <c r="G107" s="331">
        <f>SUM(G86,G88,G89)</f>
        <v>581</v>
      </c>
      <c r="H107" s="1"/>
      <c r="I107" s="1"/>
      <c r="J107" s="1"/>
      <c r="K107" s="1"/>
      <c r="L107" s="1"/>
    </row>
    <row r="108" spans="1:12" x14ac:dyDescent="0.3">
      <c r="A108" s="101"/>
      <c r="B108" s="55"/>
      <c r="C108" s="494"/>
      <c r="D108" s="494"/>
      <c r="E108" s="495"/>
      <c r="F108" s="495"/>
      <c r="G108" s="510"/>
      <c r="H108" s="1"/>
      <c r="I108" s="1"/>
      <c r="J108" s="1"/>
      <c r="K108" s="1"/>
      <c r="L108" s="1"/>
    </row>
    <row r="109" spans="1:12" x14ac:dyDescent="0.3">
      <c r="A109" s="185" t="s">
        <v>254</v>
      </c>
      <c r="B109" s="55"/>
      <c r="C109" s="156">
        <v>105</v>
      </c>
      <c r="D109" s="156">
        <v>138</v>
      </c>
      <c r="E109" s="148">
        <v>107</v>
      </c>
      <c r="F109" s="148">
        <v>146</v>
      </c>
      <c r="G109" s="328">
        <v>147</v>
      </c>
      <c r="H109" s="1"/>
      <c r="I109" s="1"/>
      <c r="J109" s="1"/>
      <c r="K109" s="1"/>
      <c r="L109" s="1"/>
    </row>
    <row r="110" spans="1:12" x14ac:dyDescent="0.3">
      <c r="A110" s="185" t="s">
        <v>256</v>
      </c>
      <c r="B110" s="55"/>
      <c r="C110" s="156">
        <v>23</v>
      </c>
      <c r="D110" s="156">
        <v>25</v>
      </c>
      <c r="E110" s="148">
        <v>26</v>
      </c>
      <c r="F110" s="148">
        <v>30</v>
      </c>
      <c r="G110" s="328">
        <v>30</v>
      </c>
      <c r="H110" s="1"/>
      <c r="I110" s="1"/>
      <c r="J110" s="1"/>
      <c r="K110" s="1"/>
      <c r="L110" s="1"/>
    </row>
    <row r="111" spans="1:12" x14ac:dyDescent="0.3">
      <c r="A111" s="185" t="s">
        <v>258</v>
      </c>
      <c r="B111" s="55"/>
      <c r="C111" s="156">
        <v>-17</v>
      </c>
      <c r="D111" s="156">
        <v>4</v>
      </c>
      <c r="E111" s="148">
        <v>-1</v>
      </c>
      <c r="F111" s="148">
        <v>2</v>
      </c>
      <c r="G111" s="328">
        <v>5</v>
      </c>
      <c r="H111" s="1"/>
      <c r="I111" s="1"/>
      <c r="J111" s="1"/>
      <c r="K111" s="1"/>
      <c r="L111" s="1"/>
    </row>
    <row r="112" spans="1:12" x14ac:dyDescent="0.3">
      <c r="A112" s="505" t="s">
        <v>260</v>
      </c>
      <c r="B112" s="55"/>
      <c r="C112" s="157">
        <f>SUM(C109:C111)</f>
        <v>111</v>
      </c>
      <c r="D112" s="157">
        <f>SUM(D109:D111)</f>
        <v>167</v>
      </c>
      <c r="E112" s="149">
        <f>SUM(E109:E111)</f>
        <v>132</v>
      </c>
      <c r="F112" s="149">
        <f>SUM(F109:F111)</f>
        <v>178</v>
      </c>
      <c r="G112" s="349">
        <f>SUM(G109:G111)</f>
        <v>182</v>
      </c>
      <c r="H112" s="1"/>
      <c r="I112" s="1"/>
      <c r="J112" s="1"/>
      <c r="K112" s="1"/>
      <c r="L112" s="1"/>
    </row>
    <row r="113" spans="1:12" x14ac:dyDescent="0.3">
      <c r="A113" s="185" t="s">
        <v>366</v>
      </c>
      <c r="B113" s="55"/>
      <c r="C113" s="156">
        <v>142</v>
      </c>
      <c r="D113" s="156">
        <v>44</v>
      </c>
      <c r="E113" s="148">
        <v>88</v>
      </c>
      <c r="F113" s="148">
        <v>33</v>
      </c>
      <c r="G113" s="328">
        <v>71</v>
      </c>
      <c r="H113" s="1"/>
      <c r="I113" s="1"/>
      <c r="J113" s="1"/>
      <c r="K113" s="1"/>
      <c r="L113" s="1"/>
    </row>
    <row r="114" spans="1:12" x14ac:dyDescent="0.3">
      <c r="A114" s="185" t="s">
        <v>367</v>
      </c>
      <c r="B114" s="55"/>
      <c r="C114" s="156">
        <v>-120</v>
      </c>
      <c r="D114" s="156">
        <v>-89</v>
      </c>
      <c r="E114" s="148">
        <v>-28</v>
      </c>
      <c r="F114" s="148">
        <v>-54</v>
      </c>
      <c r="G114" s="328">
        <v>-64</v>
      </c>
      <c r="H114" s="1"/>
      <c r="I114" s="1"/>
      <c r="J114" s="1"/>
      <c r="K114" s="1"/>
      <c r="L114" s="1"/>
    </row>
    <row r="115" spans="1:12" x14ac:dyDescent="0.3">
      <c r="A115" s="185" t="s">
        <v>305</v>
      </c>
      <c r="B115" s="55"/>
      <c r="C115" s="156">
        <f>-SUM(C112:C114)</f>
        <v>-133</v>
      </c>
      <c r="D115" s="156">
        <f t="shared" ref="D115:G115" si="16">-SUM(D112:D114)</f>
        <v>-122</v>
      </c>
      <c r="E115" s="148">
        <f t="shared" si="16"/>
        <v>-192</v>
      </c>
      <c r="F115" s="148">
        <f t="shared" si="16"/>
        <v>-157</v>
      </c>
      <c r="G115" s="328">
        <f t="shared" si="16"/>
        <v>-189</v>
      </c>
      <c r="H115" s="1"/>
      <c r="I115" s="1"/>
      <c r="J115" s="1"/>
      <c r="K115" s="1"/>
      <c r="L115" s="1"/>
    </row>
    <row r="116" spans="1:12" x14ac:dyDescent="0.3">
      <c r="A116" s="185" t="s">
        <v>362</v>
      </c>
      <c r="B116" s="55"/>
      <c r="C116" s="156">
        <f>SUM(C117:C118)</f>
        <v>130</v>
      </c>
      <c r="D116" s="156">
        <f t="shared" ref="D116:G116" si="17">SUM(D117:D118)</f>
        <v>20</v>
      </c>
      <c r="E116" s="148">
        <f t="shared" si="17"/>
        <v>-91</v>
      </c>
      <c r="F116" s="148">
        <f t="shared" si="17"/>
        <v>11</v>
      </c>
      <c r="G116" s="328">
        <f t="shared" si="17"/>
        <v>-3</v>
      </c>
      <c r="H116" s="1"/>
      <c r="I116" s="1"/>
      <c r="J116" s="1"/>
      <c r="K116" s="1"/>
      <c r="L116" s="1"/>
    </row>
    <row r="117" spans="1:12" x14ac:dyDescent="0.3">
      <c r="A117" s="185" t="s">
        <v>269</v>
      </c>
      <c r="B117" s="55"/>
      <c r="C117" s="156">
        <v>0</v>
      </c>
      <c r="D117" s="156">
        <v>19</v>
      </c>
      <c r="E117" s="148">
        <v>-85</v>
      </c>
      <c r="F117" s="148">
        <v>21</v>
      </c>
      <c r="G117" s="328">
        <v>1</v>
      </c>
      <c r="H117" s="1"/>
      <c r="I117" s="1"/>
      <c r="J117" s="1"/>
      <c r="K117" s="1"/>
      <c r="L117" s="1"/>
    </row>
    <row r="118" spans="1:12" x14ac:dyDescent="0.3">
      <c r="A118" s="185" t="s">
        <v>273</v>
      </c>
      <c r="B118" s="55"/>
      <c r="C118" s="156">
        <v>130</v>
      </c>
      <c r="D118" s="156">
        <v>1</v>
      </c>
      <c r="E118" s="148">
        <v>-6</v>
      </c>
      <c r="F118" s="148">
        <v>-10</v>
      </c>
      <c r="G118" s="328">
        <v>-4</v>
      </c>
      <c r="H118" s="1"/>
      <c r="I118" s="1"/>
      <c r="J118" s="1"/>
      <c r="K118" s="1"/>
      <c r="L118" s="1"/>
    </row>
    <row r="119" spans="1:12" x14ac:dyDescent="0.3">
      <c r="A119" s="185"/>
      <c r="B119" s="55"/>
      <c r="C119" s="156"/>
      <c r="D119" s="156"/>
      <c r="E119" s="148"/>
      <c r="F119" s="148"/>
      <c r="G119" s="328"/>
      <c r="H119" s="1"/>
      <c r="I119" s="1"/>
      <c r="J119" s="1"/>
      <c r="K119" s="1"/>
      <c r="L119" s="1"/>
    </row>
    <row r="120" spans="1:12" ht="15" thickBot="1" x14ac:dyDescent="0.35">
      <c r="A120" s="369" t="s">
        <v>363</v>
      </c>
      <c r="B120" s="511"/>
      <c r="C120" s="352">
        <f>SUM(C107,C115:C116)</f>
        <v>75</v>
      </c>
      <c r="D120" s="352">
        <f>SUM(D107,D115:D116)</f>
        <v>232</v>
      </c>
      <c r="E120" s="512">
        <f>SUM(E107,E115:E116)</f>
        <v>293</v>
      </c>
      <c r="F120" s="512">
        <f>SUM(F107,F115:F116)</f>
        <v>344</v>
      </c>
      <c r="G120" s="353">
        <f>SUM(G107,G115:G116)</f>
        <v>389</v>
      </c>
      <c r="H120" s="1"/>
      <c r="I120" s="1"/>
      <c r="J120" s="1"/>
      <c r="K120" s="1"/>
      <c r="L120" s="1"/>
    </row>
    <row r="121" spans="1:12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24.6" x14ac:dyDescent="0.5">
      <c r="A123" s="372" t="s">
        <v>373</v>
      </c>
      <c r="B123" s="261"/>
      <c r="C123" s="262"/>
      <c r="D123" s="262"/>
      <c r="E123" s="262"/>
      <c r="F123" s="263"/>
      <c r="G123" s="1"/>
      <c r="H123" s="1"/>
      <c r="I123" s="1"/>
      <c r="J123" s="1"/>
      <c r="K123" s="1"/>
      <c r="L123" s="1"/>
    </row>
    <row r="124" spans="1:12" x14ac:dyDescent="0.3">
      <c r="A124" s="264"/>
      <c r="B124" s="64"/>
      <c r="C124" s="552" t="s">
        <v>163</v>
      </c>
      <c r="D124" s="552"/>
      <c r="E124" s="552"/>
      <c r="F124" s="553"/>
      <c r="G124" s="1"/>
      <c r="H124" s="1"/>
      <c r="I124" s="1"/>
      <c r="J124" s="1"/>
      <c r="K124" s="1"/>
      <c r="L124" s="1"/>
    </row>
    <row r="125" spans="1:12" x14ac:dyDescent="0.3">
      <c r="A125" s="265"/>
      <c r="B125" s="130" t="s">
        <v>1</v>
      </c>
      <c r="C125" s="117">
        <v>42735</v>
      </c>
      <c r="D125" s="117">
        <v>43100</v>
      </c>
      <c r="E125" s="117">
        <v>43465</v>
      </c>
      <c r="F125" s="266">
        <v>43830</v>
      </c>
      <c r="G125" s="1"/>
      <c r="H125" s="1"/>
      <c r="I125" s="1"/>
      <c r="J125" s="1"/>
      <c r="K125" s="1"/>
      <c r="L125" s="1"/>
    </row>
    <row r="126" spans="1:12" x14ac:dyDescent="0.3">
      <c r="A126" s="185"/>
      <c r="B126" s="5"/>
      <c r="C126" s="31"/>
      <c r="D126" s="29"/>
      <c r="E126" s="29"/>
      <c r="F126" s="268"/>
      <c r="G126" s="1"/>
      <c r="H126" s="1"/>
      <c r="I126" s="1"/>
      <c r="J126" s="1"/>
      <c r="K126" s="1"/>
      <c r="L126" s="1"/>
    </row>
    <row r="127" spans="1:12" x14ac:dyDescent="0.3">
      <c r="A127" s="326" t="s">
        <v>303</v>
      </c>
      <c r="B127" s="5"/>
      <c r="C127" s="188">
        <v>443</v>
      </c>
      <c r="D127" s="189">
        <v>710</v>
      </c>
      <c r="E127" s="189">
        <v>588</v>
      </c>
      <c r="F127" s="269">
        <v>687</v>
      </c>
      <c r="G127" s="1"/>
      <c r="H127" s="1"/>
      <c r="I127" s="1"/>
      <c r="J127" s="1"/>
      <c r="K127" s="1"/>
      <c r="L127" s="1"/>
    </row>
    <row r="128" spans="1:12" x14ac:dyDescent="0.3">
      <c r="A128" s="185" t="s">
        <v>374</v>
      </c>
      <c r="B128" s="5"/>
      <c r="C128" s="190">
        <v>-122</v>
      </c>
      <c r="D128" s="191">
        <v>-192</v>
      </c>
      <c r="E128" s="191">
        <v>-157</v>
      </c>
      <c r="F128" s="270">
        <v>-189</v>
      </c>
      <c r="G128" s="1"/>
      <c r="H128" s="1"/>
      <c r="I128" s="1"/>
      <c r="J128" s="1"/>
      <c r="K128" s="1"/>
      <c r="L128" s="1"/>
    </row>
    <row r="129" spans="1:12" x14ac:dyDescent="0.3">
      <c r="A129" s="185" t="s">
        <v>403</v>
      </c>
      <c r="B129" s="5"/>
      <c r="C129" s="186">
        <v>-39.814371257485028</v>
      </c>
      <c r="D129" s="187">
        <v>-44.666666666666664</v>
      </c>
      <c r="E129" s="187">
        <v>-31.400000000000002</v>
      </c>
      <c r="F129" s="513">
        <v>-34.481927710843372</v>
      </c>
      <c r="G129" s="1"/>
      <c r="H129" s="1"/>
      <c r="I129" s="1"/>
      <c r="J129" s="1"/>
      <c r="K129" s="1"/>
      <c r="L129" s="1"/>
    </row>
    <row r="130" spans="1:12" x14ac:dyDescent="0.3">
      <c r="A130" s="362" t="s">
        <v>375</v>
      </c>
      <c r="B130" s="25"/>
      <c r="C130" s="192">
        <f>C127+C128+C129</f>
        <v>281.18562874251495</v>
      </c>
      <c r="D130" s="192">
        <f t="shared" ref="D130:F130" si="18">D127+D128+D129</f>
        <v>473.33333333333331</v>
      </c>
      <c r="E130" s="192">
        <f t="shared" si="18"/>
        <v>399.6</v>
      </c>
      <c r="F130" s="516">
        <f t="shared" si="18"/>
        <v>463.51807228915663</v>
      </c>
      <c r="G130" s="1"/>
      <c r="H130" s="1"/>
      <c r="I130" s="1"/>
      <c r="J130" s="1"/>
      <c r="K130" s="1"/>
      <c r="L130" s="1"/>
    </row>
    <row r="131" spans="1:12" x14ac:dyDescent="0.3">
      <c r="A131" s="185"/>
      <c r="B131" s="5"/>
      <c r="C131" s="190"/>
      <c r="D131" s="191"/>
      <c r="E131" s="191"/>
      <c r="F131" s="270"/>
      <c r="G131" s="1"/>
      <c r="H131" s="1"/>
      <c r="I131" s="1"/>
      <c r="J131" s="1"/>
      <c r="K131" s="1"/>
      <c r="L131" s="1"/>
    </row>
    <row r="132" spans="1:12" x14ac:dyDescent="0.3">
      <c r="A132" s="185" t="s">
        <v>397</v>
      </c>
      <c r="B132" s="5"/>
      <c r="C132" s="190">
        <v>25</v>
      </c>
      <c r="D132" s="191">
        <v>12</v>
      </c>
      <c r="E132" s="191">
        <v>-40</v>
      </c>
      <c r="F132" s="270">
        <v>3</v>
      </c>
      <c r="G132" s="1"/>
      <c r="H132" s="1"/>
      <c r="I132" s="1"/>
      <c r="J132" s="1"/>
      <c r="K132" s="1"/>
      <c r="L132" s="1"/>
    </row>
    <row r="133" spans="1:12" x14ac:dyDescent="0.3">
      <c r="A133" s="185" t="s">
        <v>376</v>
      </c>
      <c r="B133" s="5"/>
      <c r="C133" s="190">
        <v>-336</v>
      </c>
      <c r="D133" s="191">
        <v>150</v>
      </c>
      <c r="E133" s="191">
        <v>-110</v>
      </c>
      <c r="F133" s="270">
        <v>-71</v>
      </c>
      <c r="G133" s="1"/>
      <c r="H133" s="1"/>
      <c r="I133" s="1"/>
      <c r="J133" s="1"/>
      <c r="K133" s="1"/>
      <c r="L133" s="1"/>
    </row>
    <row r="134" spans="1:12" x14ac:dyDescent="0.3">
      <c r="A134" s="185" t="s">
        <v>396</v>
      </c>
      <c r="B134" s="5"/>
      <c r="C134" s="190">
        <v>214</v>
      </c>
      <c r="D134" s="191">
        <v>-3</v>
      </c>
      <c r="E134" s="191">
        <v>32</v>
      </c>
      <c r="F134" s="270">
        <v>68</v>
      </c>
      <c r="G134" s="1"/>
      <c r="H134" s="1"/>
      <c r="I134" s="1"/>
      <c r="J134" s="1"/>
      <c r="K134" s="1"/>
      <c r="L134" s="1"/>
    </row>
    <row r="135" spans="1:12" x14ac:dyDescent="0.3">
      <c r="A135" s="362" t="s">
        <v>398</v>
      </c>
      <c r="B135" s="25"/>
      <c r="C135" s="192">
        <f>C132+C133+C134</f>
        <v>-97</v>
      </c>
      <c r="D135" s="192">
        <f t="shared" ref="D135:F135" si="19">D132+D133+D134</f>
        <v>159</v>
      </c>
      <c r="E135" s="192">
        <f t="shared" si="19"/>
        <v>-118</v>
      </c>
      <c r="F135" s="516">
        <f t="shared" si="19"/>
        <v>0</v>
      </c>
      <c r="G135" s="1"/>
      <c r="H135" s="1"/>
      <c r="I135" s="1"/>
      <c r="J135" s="1"/>
      <c r="K135" s="1"/>
      <c r="L135" s="1"/>
    </row>
    <row r="136" spans="1:12" x14ac:dyDescent="0.3">
      <c r="A136" s="185"/>
      <c r="B136" s="5"/>
      <c r="C136" s="190"/>
      <c r="D136" s="191"/>
      <c r="E136" s="191"/>
      <c r="F136" s="270"/>
      <c r="G136" s="1"/>
      <c r="H136" s="1"/>
      <c r="I136" s="1"/>
      <c r="J136" s="1"/>
      <c r="K136" s="1"/>
      <c r="L136" s="1"/>
    </row>
    <row r="137" spans="1:12" x14ac:dyDescent="0.3">
      <c r="A137" s="185" t="s">
        <v>377</v>
      </c>
      <c r="B137" s="5"/>
      <c r="C137" s="190">
        <v>-8</v>
      </c>
      <c r="D137" s="191">
        <v>-82</v>
      </c>
      <c r="E137" s="191">
        <v>69</v>
      </c>
      <c r="F137" s="270">
        <v>-167</v>
      </c>
      <c r="G137" s="1"/>
      <c r="H137" s="1"/>
      <c r="I137" s="1"/>
      <c r="J137" s="1"/>
      <c r="K137" s="1"/>
      <c r="L137" s="1"/>
    </row>
    <row r="138" spans="1:12" x14ac:dyDescent="0.3">
      <c r="A138" s="185" t="s">
        <v>378</v>
      </c>
      <c r="B138" s="5"/>
      <c r="C138" s="190">
        <v>218</v>
      </c>
      <c r="D138" s="191">
        <v>-224</v>
      </c>
      <c r="E138" s="191">
        <v>99</v>
      </c>
      <c r="F138" s="270">
        <v>241</v>
      </c>
      <c r="G138" s="1"/>
      <c r="H138" s="1"/>
      <c r="I138" s="1"/>
      <c r="J138" s="1"/>
      <c r="K138" s="1"/>
      <c r="L138" s="1"/>
    </row>
    <row r="139" spans="1:12" x14ac:dyDescent="0.3">
      <c r="A139" s="362" t="s">
        <v>399</v>
      </c>
      <c r="B139" s="25"/>
      <c r="C139" s="192">
        <f>C135+C137+C138</f>
        <v>113</v>
      </c>
      <c r="D139" s="192">
        <f t="shared" ref="D139:F139" si="20">D135+D137+D138</f>
        <v>-147</v>
      </c>
      <c r="E139" s="192">
        <f t="shared" si="20"/>
        <v>50</v>
      </c>
      <c r="F139" s="516">
        <f t="shared" si="20"/>
        <v>74</v>
      </c>
      <c r="G139" s="1"/>
      <c r="H139" s="1"/>
      <c r="I139" s="1"/>
      <c r="J139" s="1"/>
      <c r="K139" s="1"/>
      <c r="L139" s="1"/>
    </row>
    <row r="140" spans="1:12" x14ac:dyDescent="0.3">
      <c r="A140" s="185"/>
      <c r="B140" s="5"/>
      <c r="C140" s="190"/>
      <c r="D140" s="191"/>
      <c r="E140" s="191"/>
      <c r="F140" s="270"/>
      <c r="G140" s="1"/>
      <c r="H140" s="1"/>
      <c r="I140" s="1"/>
      <c r="J140" s="1"/>
      <c r="K140" s="1"/>
      <c r="L140" s="1"/>
    </row>
    <row r="141" spans="1:12" x14ac:dyDescent="0.3">
      <c r="A141" s="185" t="s">
        <v>379</v>
      </c>
      <c r="B141" s="5"/>
      <c r="C141" s="190">
        <v>-1066</v>
      </c>
      <c r="D141" s="191">
        <v>-80</v>
      </c>
      <c r="E141" s="191">
        <v>-1076</v>
      </c>
      <c r="F141" s="270">
        <v>-837</v>
      </c>
      <c r="G141" s="1"/>
      <c r="H141" s="1"/>
      <c r="I141" s="1"/>
      <c r="J141" s="1"/>
      <c r="K141" s="1"/>
      <c r="L141" s="1"/>
    </row>
    <row r="142" spans="1:12" x14ac:dyDescent="0.3">
      <c r="A142" s="185" t="s">
        <v>380</v>
      </c>
      <c r="B142" s="5"/>
      <c r="C142" s="190">
        <v>648</v>
      </c>
      <c r="D142" s="191">
        <v>444</v>
      </c>
      <c r="E142" s="191">
        <v>623</v>
      </c>
      <c r="F142" s="270">
        <v>511</v>
      </c>
      <c r="G142" s="1"/>
      <c r="H142" s="1"/>
      <c r="I142" s="1"/>
      <c r="J142" s="1"/>
      <c r="K142" s="1"/>
      <c r="L142" s="1"/>
    </row>
    <row r="143" spans="1:12" x14ac:dyDescent="0.3">
      <c r="A143" s="185" t="s">
        <v>381</v>
      </c>
      <c r="B143" s="5"/>
      <c r="C143" s="190">
        <v>95</v>
      </c>
      <c r="D143" s="190">
        <v>-46</v>
      </c>
      <c r="E143" s="190">
        <v>17</v>
      </c>
      <c r="F143" s="273">
        <v>34</v>
      </c>
      <c r="G143" s="1"/>
      <c r="H143" s="1"/>
      <c r="I143" s="1"/>
      <c r="J143" s="1"/>
      <c r="K143" s="1"/>
      <c r="L143" s="1"/>
    </row>
    <row r="144" spans="1:12" x14ac:dyDescent="0.3">
      <c r="A144" s="185" t="s">
        <v>382</v>
      </c>
      <c r="B144" s="5"/>
      <c r="C144" s="190">
        <v>33</v>
      </c>
      <c r="D144" s="190">
        <v>-46</v>
      </c>
      <c r="E144" s="190">
        <v>-5</v>
      </c>
      <c r="F144" s="273">
        <v>-7</v>
      </c>
      <c r="G144" s="1"/>
      <c r="H144" s="1"/>
      <c r="I144" s="1"/>
      <c r="J144" s="1"/>
      <c r="K144" s="1"/>
      <c r="L144" s="1"/>
    </row>
    <row r="145" spans="1:12" x14ac:dyDescent="0.3">
      <c r="A145" s="185" t="s">
        <v>395</v>
      </c>
      <c r="B145" s="5"/>
      <c r="C145" s="190">
        <v>-33</v>
      </c>
      <c r="D145" s="190">
        <v>40</v>
      </c>
      <c r="E145" s="190">
        <v>37</v>
      </c>
      <c r="F145" s="273">
        <v>-13</v>
      </c>
      <c r="G145" s="1"/>
      <c r="H145" s="1"/>
      <c r="I145" s="1"/>
      <c r="J145" s="1"/>
      <c r="K145" s="1"/>
      <c r="L145" s="1"/>
    </row>
    <row r="146" spans="1:12" x14ac:dyDescent="0.3">
      <c r="A146" s="185" t="s">
        <v>383</v>
      </c>
      <c r="B146" s="5"/>
      <c r="C146" s="190">
        <v>20</v>
      </c>
      <c r="D146" s="191">
        <v>-91</v>
      </c>
      <c r="E146" s="191">
        <v>11</v>
      </c>
      <c r="F146" s="270">
        <v>-3</v>
      </c>
      <c r="G146" s="1"/>
      <c r="H146" s="1"/>
      <c r="I146" s="1"/>
      <c r="J146" s="1"/>
      <c r="K146" s="1"/>
      <c r="L146" s="1"/>
    </row>
    <row r="147" spans="1:12" x14ac:dyDescent="0.3">
      <c r="A147" s="373" t="s">
        <v>384</v>
      </c>
      <c r="B147" s="20"/>
      <c r="C147" s="194">
        <f>C130+C139+SUM(C141:C146)</f>
        <v>91.18562874251495</v>
      </c>
      <c r="D147" s="194">
        <f t="shared" ref="D147:F147" si="21">D130+D139+SUM(D141:D146)</f>
        <v>547.33333333333326</v>
      </c>
      <c r="E147" s="194">
        <f t="shared" si="21"/>
        <v>56.600000000000023</v>
      </c>
      <c r="F147" s="274">
        <f t="shared" si="21"/>
        <v>222.51807228915663</v>
      </c>
      <c r="G147" s="1"/>
      <c r="H147" s="1"/>
      <c r="I147" s="1"/>
      <c r="J147" s="1"/>
      <c r="K147" s="1"/>
      <c r="L147" s="1"/>
    </row>
    <row r="148" spans="1:12" x14ac:dyDescent="0.3">
      <c r="A148" s="185" t="s">
        <v>385</v>
      </c>
      <c r="B148" s="5"/>
      <c r="C148" s="198">
        <f>C147/C127</f>
        <v>0.20583663373028205</v>
      </c>
      <c r="D148" s="198">
        <f t="shared" ref="D148:F148" si="22">D147/D127</f>
        <v>0.77089201877934266</v>
      </c>
      <c r="E148" s="198">
        <f t="shared" si="22"/>
        <v>9.6258503401360579E-2</v>
      </c>
      <c r="F148" s="275">
        <f t="shared" si="22"/>
        <v>0.3238982129390926</v>
      </c>
      <c r="G148" s="1"/>
      <c r="H148" s="1"/>
      <c r="I148" s="1"/>
      <c r="J148" s="1"/>
      <c r="K148" s="1"/>
      <c r="L148" s="1"/>
    </row>
    <row r="149" spans="1:12" x14ac:dyDescent="0.3">
      <c r="A149" s="185"/>
      <c r="B149" s="5"/>
      <c r="C149" s="190"/>
      <c r="D149" s="191"/>
      <c r="E149" s="191"/>
      <c r="F149" s="270"/>
      <c r="G149" s="1"/>
      <c r="H149" s="1"/>
      <c r="I149" s="1"/>
      <c r="J149" s="1"/>
      <c r="K149" s="1"/>
      <c r="L149" s="1"/>
    </row>
    <row r="150" spans="1:12" x14ac:dyDescent="0.3">
      <c r="A150" s="185" t="s">
        <v>386</v>
      </c>
      <c r="B150" s="5"/>
      <c r="C150" s="190">
        <f>C7+C8-D7-D8 +D105</f>
        <v>-109</v>
      </c>
      <c r="D150" s="190">
        <f t="shared" ref="D150:F150" si="23">D7+D8-E7-E8 +E105</f>
        <v>-125</v>
      </c>
      <c r="E150" s="190">
        <f t="shared" si="23"/>
        <v>-50</v>
      </c>
      <c r="F150" s="273">
        <f t="shared" si="23"/>
        <v>-128</v>
      </c>
      <c r="G150" s="1"/>
      <c r="H150" s="1"/>
      <c r="I150" s="1"/>
      <c r="J150" s="1"/>
      <c r="K150" s="1"/>
      <c r="L150" s="1"/>
    </row>
    <row r="151" spans="1:12" x14ac:dyDescent="0.3">
      <c r="A151" s="185" t="s">
        <v>387</v>
      </c>
      <c r="B151" s="5"/>
      <c r="C151" s="190">
        <f>C44-D44</f>
        <v>3</v>
      </c>
      <c r="D151" s="190">
        <f t="shared" ref="D151:F151" si="24">D44-E44</f>
        <v>171</v>
      </c>
      <c r="E151" s="190">
        <f t="shared" si="24"/>
        <v>-263</v>
      </c>
      <c r="F151" s="273">
        <f t="shared" si="24"/>
        <v>-64</v>
      </c>
      <c r="G151" s="1"/>
      <c r="H151" s="1"/>
      <c r="I151" s="1"/>
      <c r="J151" s="1"/>
      <c r="K151" s="1"/>
      <c r="L151" s="1"/>
    </row>
    <row r="152" spans="1:12" x14ac:dyDescent="0.3">
      <c r="A152" s="185" t="s">
        <v>404</v>
      </c>
      <c r="B152" s="5"/>
      <c r="C152" s="255">
        <f>-C129</f>
        <v>39.814371257485028</v>
      </c>
      <c r="D152" s="255">
        <f t="shared" ref="D152:F152" si="25">-D129</f>
        <v>44.666666666666664</v>
      </c>
      <c r="E152" s="255">
        <f t="shared" si="25"/>
        <v>31.400000000000002</v>
      </c>
      <c r="F152" s="517">
        <f t="shared" si="25"/>
        <v>34.481927710843372</v>
      </c>
      <c r="G152" s="1"/>
      <c r="H152" s="1"/>
      <c r="I152" s="1"/>
      <c r="J152" s="1"/>
      <c r="K152" s="1"/>
      <c r="L152" s="1"/>
    </row>
    <row r="153" spans="1:12" x14ac:dyDescent="0.3">
      <c r="A153" s="373" t="s">
        <v>388</v>
      </c>
      <c r="B153" s="20"/>
      <c r="C153" s="514">
        <f>C147+C150+C151+C152</f>
        <v>24.999999999999979</v>
      </c>
      <c r="D153" s="514">
        <f t="shared" ref="D153:F153" si="26">D147+D150+D151+D152</f>
        <v>637.99999999999989</v>
      </c>
      <c r="E153" s="514">
        <f t="shared" si="26"/>
        <v>-224.99999999999997</v>
      </c>
      <c r="F153" s="518">
        <f t="shared" si="26"/>
        <v>65</v>
      </c>
      <c r="G153" s="1"/>
      <c r="H153" s="1"/>
      <c r="I153" s="1"/>
      <c r="J153" s="1"/>
      <c r="K153" s="1"/>
      <c r="L153" s="1"/>
    </row>
    <row r="154" spans="1:12" x14ac:dyDescent="0.3">
      <c r="A154" s="185" t="s">
        <v>389</v>
      </c>
      <c r="B154" s="5"/>
      <c r="C154" s="515">
        <f>C153/C127</f>
        <v>5.6433408577878055E-2</v>
      </c>
      <c r="D154" s="515">
        <f t="shared" ref="D154:F154" si="27">D153/D127</f>
        <v>0.89859154929577445</v>
      </c>
      <c r="E154" s="515">
        <f t="shared" si="27"/>
        <v>-0.38265306122448972</v>
      </c>
      <c r="F154" s="519">
        <f t="shared" si="27"/>
        <v>9.4614264919941779E-2</v>
      </c>
      <c r="G154" s="1"/>
      <c r="H154" s="1"/>
      <c r="I154" s="1"/>
      <c r="J154" s="1"/>
      <c r="K154" s="1"/>
      <c r="L154" s="1"/>
    </row>
    <row r="155" spans="1:12" x14ac:dyDescent="0.3">
      <c r="A155" s="185"/>
      <c r="B155" s="5"/>
      <c r="C155" s="196"/>
      <c r="D155" s="197"/>
      <c r="E155" s="197"/>
      <c r="F155" s="277"/>
      <c r="G155" s="1"/>
      <c r="H155" s="1"/>
      <c r="I155" s="1"/>
      <c r="J155" s="1"/>
      <c r="K155" s="1"/>
      <c r="L155" s="1"/>
    </row>
    <row r="156" spans="1:12" x14ac:dyDescent="0.3">
      <c r="A156" s="185" t="s">
        <v>390</v>
      </c>
      <c r="B156" s="5"/>
      <c r="C156" s="197">
        <f>C38-D38-D120</f>
        <v>-212</v>
      </c>
      <c r="D156" s="197">
        <f t="shared" ref="D156:F156" si="28">D38-E38-E120</f>
        <v>-559</v>
      </c>
      <c r="E156" s="197">
        <f t="shared" si="28"/>
        <v>166</v>
      </c>
      <c r="F156" s="277">
        <f t="shared" si="28"/>
        <v>-261</v>
      </c>
      <c r="G156" s="1"/>
      <c r="H156" s="1"/>
      <c r="I156" s="1"/>
      <c r="J156" s="1"/>
      <c r="K156" s="1"/>
      <c r="L156" s="1"/>
    </row>
    <row r="157" spans="1:12" x14ac:dyDescent="0.3">
      <c r="A157" s="326" t="s">
        <v>391</v>
      </c>
      <c r="B157" s="5"/>
      <c r="C157" s="196">
        <f>C153+C156</f>
        <v>-187.00000000000003</v>
      </c>
      <c r="D157" s="196">
        <f t="shared" ref="D157:F157" si="29">D153+D156</f>
        <v>78.999999999999886</v>
      </c>
      <c r="E157" s="196">
        <f t="shared" si="29"/>
        <v>-58.999999999999972</v>
      </c>
      <c r="F157" s="278">
        <f t="shared" si="29"/>
        <v>-196</v>
      </c>
      <c r="G157" s="1"/>
      <c r="H157" s="1"/>
      <c r="I157" s="1"/>
      <c r="J157" s="1"/>
      <c r="K157" s="1"/>
      <c r="L157" s="1"/>
    </row>
    <row r="158" spans="1:12" x14ac:dyDescent="0.3">
      <c r="A158" s="326" t="s">
        <v>558</v>
      </c>
      <c r="B158" s="5"/>
      <c r="C158" s="196">
        <f>C46-D46</f>
        <v>-47</v>
      </c>
      <c r="D158" s="196">
        <f t="shared" ref="D158:F158" si="30">D46-E46</f>
        <v>210</v>
      </c>
      <c r="E158" s="196">
        <f t="shared" si="30"/>
        <v>-8</v>
      </c>
      <c r="F158" s="278">
        <f t="shared" si="30"/>
        <v>6</v>
      </c>
      <c r="G158" s="1"/>
      <c r="H158" s="1"/>
      <c r="I158" s="1"/>
      <c r="J158" s="1"/>
      <c r="K158" s="1"/>
      <c r="L158" s="1"/>
    </row>
    <row r="159" spans="1:12" x14ac:dyDescent="0.3">
      <c r="A159" s="185"/>
      <c r="B159" s="5"/>
      <c r="C159" s="196"/>
      <c r="D159" s="196"/>
      <c r="E159" s="196"/>
      <c r="F159" s="278"/>
      <c r="G159" s="1"/>
      <c r="H159" s="1"/>
      <c r="I159" s="1"/>
      <c r="J159" s="1"/>
      <c r="K159" s="1"/>
      <c r="L159" s="1"/>
    </row>
    <row r="160" spans="1:12" x14ac:dyDescent="0.3">
      <c r="A160" s="185" t="s">
        <v>392</v>
      </c>
      <c r="B160" s="5"/>
      <c r="C160" s="196">
        <v>636</v>
      </c>
      <c r="D160" s="197">
        <v>402</v>
      </c>
      <c r="E160" s="197">
        <v>691</v>
      </c>
      <c r="F160" s="277">
        <v>624</v>
      </c>
      <c r="G160" s="1"/>
      <c r="H160" s="1"/>
      <c r="I160" s="1"/>
      <c r="J160" s="1"/>
      <c r="K160" s="1"/>
      <c r="L160" s="1"/>
    </row>
    <row r="161" spans="1:12" x14ac:dyDescent="0.3">
      <c r="A161" s="185" t="s">
        <v>393</v>
      </c>
      <c r="B161" s="5"/>
      <c r="C161" s="196">
        <v>402</v>
      </c>
      <c r="D161" s="197">
        <v>691</v>
      </c>
      <c r="E161" s="197">
        <v>624</v>
      </c>
      <c r="F161" s="277">
        <v>434</v>
      </c>
      <c r="G161" s="1"/>
      <c r="H161" s="1"/>
      <c r="I161" s="1"/>
      <c r="J161" s="1"/>
      <c r="K161" s="1"/>
      <c r="L161" s="1"/>
    </row>
    <row r="162" spans="1:12" ht="15" thickBot="1" x14ac:dyDescent="0.35">
      <c r="A162" s="374" t="s">
        <v>394</v>
      </c>
      <c r="B162" s="280"/>
      <c r="C162" s="281">
        <v>-234</v>
      </c>
      <c r="D162" s="281">
        <v>289</v>
      </c>
      <c r="E162" s="281">
        <v>-67</v>
      </c>
      <c r="F162" s="282">
        <v>-190</v>
      </c>
      <c r="G162" s="1"/>
      <c r="H162" s="1"/>
      <c r="I162" s="1"/>
      <c r="J162" s="1"/>
      <c r="K162" s="1"/>
      <c r="L162" s="1"/>
    </row>
    <row r="163" spans="1:12" ht="15" thickBot="1" x14ac:dyDescent="0.35">
      <c r="A163" s="267"/>
      <c r="B163" s="55"/>
      <c r="C163" s="55"/>
      <c r="D163" s="55"/>
      <c r="E163" s="55"/>
      <c r="F163" s="300"/>
      <c r="G163" s="1"/>
      <c r="H163" s="1"/>
      <c r="I163" s="1"/>
      <c r="J163" s="1"/>
      <c r="K163" s="1"/>
      <c r="L163" s="1"/>
    </row>
    <row r="164" spans="1:12" ht="15" thickBot="1" x14ac:dyDescent="0.35">
      <c r="A164" s="283" t="s">
        <v>405</v>
      </c>
      <c r="B164" s="284"/>
      <c r="C164" s="284">
        <f>IF(C157+C158=C162,0,"differentfrom0")</f>
        <v>0</v>
      </c>
      <c r="D164" s="284">
        <f t="shared" ref="D164:F164" si="31">IF(D157+D158=D162,0,"differentfrom0")</f>
        <v>0</v>
      </c>
      <c r="E164" s="284">
        <f t="shared" si="31"/>
        <v>0</v>
      </c>
      <c r="F164" s="285">
        <f t="shared" si="31"/>
        <v>0</v>
      </c>
      <c r="G164" s="1"/>
      <c r="H164" s="1"/>
      <c r="I164" s="1"/>
      <c r="J164" s="1"/>
      <c r="K164" s="1"/>
      <c r="L164" s="1"/>
    </row>
    <row r="165" spans="1:12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</sheetData>
  <mergeCells count="4">
    <mergeCell ref="C124:F124"/>
    <mergeCell ref="A1:B1"/>
    <mergeCell ref="B2:G2"/>
    <mergeCell ref="C55:G5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19F-90E1-4FDA-9AEB-E44D11AA75F5}">
  <dimension ref="A1:V153"/>
  <sheetViews>
    <sheetView topLeftCell="A91" zoomScale="80" zoomScaleNormal="80" workbookViewId="0">
      <selection activeCell="C54" sqref="C54"/>
    </sheetView>
  </sheetViews>
  <sheetFormatPr defaultRowHeight="14.4" x14ac:dyDescent="0.3"/>
  <cols>
    <col min="1" max="1" width="61.109375" customWidth="1"/>
    <col min="2" max="2" width="9.21875" customWidth="1"/>
    <col min="3" max="3" width="21.77734375" customWidth="1"/>
    <col min="4" max="4" width="19" customWidth="1"/>
    <col min="5" max="5" width="15.6640625" customWidth="1"/>
    <col min="6" max="6" width="14.33203125" customWidth="1"/>
    <col min="7" max="8" width="15.77734375" customWidth="1"/>
    <col min="9" max="9" width="14.109375" customWidth="1"/>
  </cols>
  <sheetData>
    <row r="1" spans="1:20" ht="25.8" x14ac:dyDescent="0.5">
      <c r="A1" s="548" t="s">
        <v>483</v>
      </c>
      <c r="B1" s="549"/>
      <c r="C1" s="134"/>
      <c r="D1" s="134"/>
      <c r="E1" s="134"/>
      <c r="F1" s="134"/>
      <c r="G1" s="323"/>
    </row>
    <row r="2" spans="1:20" x14ac:dyDescent="0.3">
      <c r="A2" s="324"/>
      <c r="B2" s="546" t="s">
        <v>158</v>
      </c>
      <c r="C2" s="546"/>
      <c r="D2" s="546"/>
      <c r="E2" s="546"/>
      <c r="F2" s="546"/>
      <c r="G2" s="547"/>
    </row>
    <row r="3" spans="1:20" x14ac:dyDescent="0.3">
      <c r="A3" s="265"/>
      <c r="B3" s="131" t="s">
        <v>1</v>
      </c>
      <c r="C3" s="133">
        <v>42461</v>
      </c>
      <c r="D3" s="133">
        <v>42826</v>
      </c>
      <c r="E3" s="133">
        <v>43191</v>
      </c>
      <c r="F3" s="133">
        <v>43556</v>
      </c>
      <c r="G3" s="325">
        <v>43922</v>
      </c>
    </row>
    <row r="4" spans="1:20" x14ac:dyDescent="0.3">
      <c r="A4" s="326"/>
      <c r="B4" s="5"/>
      <c r="C4" s="31"/>
      <c r="D4" s="29"/>
      <c r="E4" s="29"/>
      <c r="F4" s="29"/>
      <c r="G4" s="268"/>
    </row>
    <row r="5" spans="1:20" x14ac:dyDescent="0.3">
      <c r="A5" s="327" t="s">
        <v>353</v>
      </c>
      <c r="B5" s="146"/>
      <c r="C5" s="156">
        <v>5022</v>
      </c>
      <c r="D5" s="156">
        <v>5026</v>
      </c>
      <c r="E5" s="156">
        <f>+(4592)</f>
        <v>4592</v>
      </c>
      <c r="F5" s="156">
        <v>4703</v>
      </c>
      <c r="G5" s="328">
        <v>4917</v>
      </c>
    </row>
    <row r="6" spans="1:20" x14ac:dyDescent="0.3">
      <c r="A6" s="327" t="s">
        <v>354</v>
      </c>
      <c r="B6" s="146"/>
      <c r="C6" s="156">
        <v>1360</v>
      </c>
      <c r="D6" s="156">
        <v>1756</v>
      </c>
      <c r="E6" s="156">
        <v>1902</v>
      </c>
      <c r="F6" s="156">
        <v>2344</v>
      </c>
      <c r="G6" s="328">
        <v>2429</v>
      </c>
    </row>
    <row r="7" spans="1:20" x14ac:dyDescent="0.3">
      <c r="A7" s="327" t="s">
        <v>349</v>
      </c>
      <c r="B7" s="146"/>
      <c r="C7" s="156">
        <f>70+76</f>
        <v>146</v>
      </c>
      <c r="D7" s="156">
        <f>62+78</f>
        <v>140</v>
      </c>
      <c r="E7" s="156">
        <f>+(63+42)</f>
        <v>105</v>
      </c>
      <c r="F7" s="156">
        <f>18+26</f>
        <v>44</v>
      </c>
      <c r="G7" s="328">
        <f>+(24+71)</f>
        <v>95</v>
      </c>
    </row>
    <row r="8" spans="1:20" x14ac:dyDescent="0.3">
      <c r="A8" s="329" t="s">
        <v>355</v>
      </c>
      <c r="B8" s="330"/>
      <c r="C8" s="161">
        <f>SUM(C5:C7)</f>
        <v>6528</v>
      </c>
      <c r="D8" s="161">
        <f>SUM(D5:D7)</f>
        <v>6922</v>
      </c>
      <c r="E8" s="161">
        <f>E5+E6+E7</f>
        <v>6599</v>
      </c>
      <c r="F8" s="161">
        <f>F5+F6+F7</f>
        <v>7091</v>
      </c>
      <c r="G8" s="331">
        <f>SUM(G5:G7)</f>
        <v>7441</v>
      </c>
    </row>
    <row r="9" spans="1:20" x14ac:dyDescent="0.3">
      <c r="A9" s="327"/>
      <c r="B9" s="146"/>
      <c r="C9" s="156"/>
      <c r="D9" s="156"/>
      <c r="E9" s="156"/>
      <c r="F9" s="156"/>
      <c r="G9" s="328"/>
    </row>
    <row r="10" spans="1:20" x14ac:dyDescent="0.3">
      <c r="A10" s="327" t="s">
        <v>344</v>
      </c>
      <c r="B10" s="146"/>
      <c r="C10" s="156">
        <v>98</v>
      </c>
      <c r="D10" s="156">
        <v>118</v>
      </c>
      <c r="E10" s="156">
        <v>80</v>
      </c>
      <c r="F10" s="156">
        <v>119</v>
      </c>
      <c r="G10" s="328">
        <v>104</v>
      </c>
    </row>
    <row r="11" spans="1:20" x14ac:dyDescent="0.3">
      <c r="A11" s="327" t="s">
        <v>345</v>
      </c>
      <c r="B11" s="146"/>
      <c r="C11" s="156">
        <v>1547</v>
      </c>
      <c r="D11" s="156">
        <v>1878</v>
      </c>
      <c r="E11" s="156">
        <f>+(1826)</f>
        <v>1826</v>
      </c>
      <c r="F11" s="156">
        <v>2077</v>
      </c>
      <c r="G11" s="328">
        <v>2056</v>
      </c>
    </row>
    <row r="12" spans="1:20" x14ac:dyDescent="0.3">
      <c r="A12" s="327" t="s">
        <v>350</v>
      </c>
      <c r="B12" s="146"/>
      <c r="C12" s="156">
        <v>-1012</v>
      </c>
      <c r="D12" s="156">
        <f>-(1151)</f>
        <v>-1151</v>
      </c>
      <c r="E12" s="156">
        <f>-(1150)</f>
        <v>-1150</v>
      </c>
      <c r="F12" s="156">
        <f>-(1321)</f>
        <v>-1321</v>
      </c>
      <c r="G12" s="328">
        <f>-(1323)</f>
        <v>-1323</v>
      </c>
    </row>
    <row r="13" spans="1:20" x14ac:dyDescent="0.3">
      <c r="A13" s="332" t="s">
        <v>356</v>
      </c>
      <c r="B13" s="333"/>
      <c r="C13" s="164">
        <f>SUM(C10:C12)</f>
        <v>633</v>
      </c>
      <c r="D13" s="164">
        <f>SUM(D10:D12)</f>
        <v>845</v>
      </c>
      <c r="E13" s="164">
        <f>E10+E11+E12</f>
        <v>756</v>
      </c>
      <c r="F13" s="164">
        <f>F10+F11+F12</f>
        <v>875</v>
      </c>
      <c r="G13" s="334">
        <f>G10+G11+G12</f>
        <v>837</v>
      </c>
    </row>
    <row r="14" spans="1:20" x14ac:dyDescent="0.3">
      <c r="A14" s="335"/>
      <c r="B14" s="145"/>
      <c r="C14" s="156"/>
      <c r="D14" s="156"/>
      <c r="E14" s="156"/>
      <c r="F14" s="156"/>
      <c r="G14" s="336"/>
    </row>
    <row r="15" spans="1:20" x14ac:dyDescent="0.3">
      <c r="A15" s="337" t="s">
        <v>484</v>
      </c>
      <c r="B15" s="146"/>
      <c r="C15" s="156"/>
      <c r="D15" s="156"/>
      <c r="E15" s="156"/>
      <c r="F15" s="156"/>
      <c r="G15" s="328"/>
      <c r="H15" s="317"/>
      <c r="I15" s="317"/>
      <c r="J15" s="55"/>
      <c r="K15" s="317"/>
      <c r="L15" s="317"/>
      <c r="M15" s="55"/>
    </row>
    <row r="16" spans="1:20" x14ac:dyDescent="0.3">
      <c r="A16" s="327" t="s">
        <v>346</v>
      </c>
      <c r="B16" s="146"/>
      <c r="C16" s="156">
        <v>335</v>
      </c>
      <c r="D16" s="156">
        <v>248</v>
      </c>
      <c r="E16" s="156">
        <v>201</v>
      </c>
      <c r="F16" s="156">
        <v>391</v>
      </c>
      <c r="G16" s="328">
        <v>946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 x14ac:dyDescent="0.3">
      <c r="A17" s="327" t="s">
        <v>347</v>
      </c>
      <c r="B17" s="146"/>
      <c r="C17" s="156">
        <v>233</v>
      </c>
      <c r="D17" s="156">
        <v>200</v>
      </c>
      <c r="E17" s="156">
        <f>+(7)</f>
        <v>7</v>
      </c>
      <c r="F17" s="156">
        <v>11</v>
      </c>
      <c r="G17" s="328">
        <v>13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2.6" customHeight="1" x14ac:dyDescent="0.3">
      <c r="A18" s="338" t="s">
        <v>31</v>
      </c>
      <c r="B18" s="158"/>
      <c r="C18" s="156">
        <v>6</v>
      </c>
      <c r="D18" s="156">
        <v>22</v>
      </c>
      <c r="E18" s="156">
        <v>8</v>
      </c>
      <c r="F18" s="156">
        <v>22</v>
      </c>
      <c r="G18" s="328">
        <v>28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 x14ac:dyDescent="0.3">
      <c r="A19" s="327" t="s">
        <v>75</v>
      </c>
      <c r="B19" s="146"/>
      <c r="C19" s="156">
        <v>69</v>
      </c>
      <c r="D19" s="156">
        <v>70</v>
      </c>
      <c r="E19" s="156">
        <v>67</v>
      </c>
      <c r="F19" s="156">
        <v>49</v>
      </c>
      <c r="G19" s="336">
        <v>51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5" customHeight="1" x14ac:dyDescent="0.3">
      <c r="A20" s="338" t="s">
        <v>348</v>
      </c>
      <c r="B20" s="146"/>
      <c r="C20" s="156">
        <v>2</v>
      </c>
      <c r="D20" s="156">
        <f>+(2)</f>
        <v>2</v>
      </c>
      <c r="E20" s="156">
        <v>226</v>
      </c>
      <c r="F20" s="156">
        <v>110</v>
      </c>
      <c r="G20" s="328"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 x14ac:dyDescent="0.3">
      <c r="A21" s="337" t="s">
        <v>368</v>
      </c>
      <c r="B21" s="146"/>
      <c r="C21" s="156"/>
      <c r="D21" s="156"/>
      <c r="E21" s="156"/>
      <c r="F21" s="156"/>
      <c r="G21" s="339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 x14ac:dyDescent="0.3">
      <c r="A22" s="327" t="s">
        <v>120</v>
      </c>
      <c r="B22" s="146"/>
      <c r="C22" s="156">
        <v>-95</v>
      </c>
      <c r="D22" s="156">
        <v>-109</v>
      </c>
      <c r="E22" s="156">
        <f>-(154)</f>
        <v>-154</v>
      </c>
      <c r="F22" s="156">
        <v>-151</v>
      </c>
      <c r="G22" s="328">
        <f>-(154)</f>
        <v>-154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 x14ac:dyDescent="0.3">
      <c r="A23" s="327" t="s">
        <v>153</v>
      </c>
      <c r="B23" s="146"/>
      <c r="C23" s="156">
        <v>-85</v>
      </c>
      <c r="D23" s="156">
        <f>-(103)</f>
        <v>-103</v>
      </c>
      <c r="E23" s="156">
        <f>-(41)</f>
        <v>-41</v>
      </c>
      <c r="F23" s="156">
        <v>-91</v>
      </c>
      <c r="G23" s="328">
        <f>-(53)</f>
        <v>-53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 x14ac:dyDescent="0.3">
      <c r="A24" s="327" t="s">
        <v>351</v>
      </c>
      <c r="B24" s="146"/>
      <c r="C24" s="156">
        <v>-707</v>
      </c>
      <c r="D24" s="156">
        <f>-(681)</f>
        <v>-681</v>
      </c>
      <c r="E24" s="156">
        <f>-(632)</f>
        <v>-632</v>
      </c>
      <c r="F24" s="156">
        <v>-882</v>
      </c>
      <c r="G24" s="328">
        <f>-(1352)</f>
        <v>-1352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 x14ac:dyDescent="0.3">
      <c r="A25" s="327" t="s">
        <v>402</v>
      </c>
      <c r="B25" s="146"/>
      <c r="C25" s="156">
        <v>0</v>
      </c>
      <c r="D25" s="156">
        <f>-(2)</f>
        <v>-2</v>
      </c>
      <c r="E25" s="156">
        <v>0</v>
      </c>
      <c r="F25" s="156">
        <v>0</v>
      </c>
      <c r="G25" s="328"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</row>
    <row r="26" spans="1:20" x14ac:dyDescent="0.3">
      <c r="A26" s="329" t="s">
        <v>357</v>
      </c>
      <c r="B26" s="330"/>
      <c r="C26" s="161">
        <f>C13+SUM(C16:C25)</f>
        <v>391</v>
      </c>
      <c r="D26" s="161">
        <f>D13+SUM(D16:D25)</f>
        <v>492</v>
      </c>
      <c r="E26" s="161">
        <f>E13+E16+E17+E18+E19+E20+E22+E23+E24+E25</f>
        <v>438</v>
      </c>
      <c r="F26" s="161">
        <f>F13+F16+F17+F18+F19+F20+F22+F23+F24</f>
        <v>334</v>
      </c>
      <c r="G26" s="340">
        <f>G13+G16+G17+G18+G19+G20+G22+G23+G24+G25</f>
        <v>316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 x14ac:dyDescent="0.3">
      <c r="A27" s="327"/>
      <c r="B27" s="146"/>
      <c r="C27" s="156"/>
      <c r="D27" s="156"/>
      <c r="E27" s="156"/>
      <c r="F27" s="156"/>
      <c r="G27" s="328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spans="1:20" x14ac:dyDescent="0.3">
      <c r="A28" s="327" t="s">
        <v>401</v>
      </c>
      <c r="B28" s="146"/>
      <c r="C28" s="156">
        <v>305</v>
      </c>
      <c r="D28" s="156">
        <f>+(357)</f>
        <v>357</v>
      </c>
      <c r="E28" s="156">
        <f>+(295)</f>
        <v>295</v>
      </c>
      <c r="F28" s="156">
        <v>274</v>
      </c>
      <c r="G28" s="328">
        <f>+(286)</f>
        <v>286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0" x14ac:dyDescent="0.3">
      <c r="A29" s="327" t="s">
        <v>113</v>
      </c>
      <c r="B29" s="146"/>
      <c r="C29" s="156">
        <v>-327</v>
      </c>
      <c r="D29" s="156">
        <f>-(359)</f>
        <v>-359</v>
      </c>
      <c r="E29" s="156">
        <f>-(315)</f>
        <v>-315</v>
      </c>
      <c r="F29" s="156">
        <v>-311</v>
      </c>
      <c r="G29" s="328">
        <f>-(300)</f>
        <v>-300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 x14ac:dyDescent="0.3">
      <c r="A30" s="327" t="s">
        <v>352</v>
      </c>
      <c r="B30" s="146"/>
      <c r="C30" s="156">
        <f>-(604)</f>
        <v>-604</v>
      </c>
      <c r="D30" s="156">
        <f>-(666)</f>
        <v>-666</v>
      </c>
      <c r="E30" s="156">
        <f>-(626)</f>
        <v>-626</v>
      </c>
      <c r="F30" s="156">
        <f>-(637)</f>
        <v>-637</v>
      </c>
      <c r="G30" s="328">
        <f>-(668)</f>
        <v>-668</v>
      </c>
    </row>
    <row r="31" spans="1:20" x14ac:dyDescent="0.3">
      <c r="A31" s="341" t="s">
        <v>358</v>
      </c>
      <c r="B31" s="342"/>
      <c r="C31" s="160">
        <f>C8+C26+SUM(C28:C30)</f>
        <v>6293</v>
      </c>
      <c r="D31" s="160">
        <f>D8+D26+D28+D29+D30</f>
        <v>6746</v>
      </c>
      <c r="E31" s="160">
        <f>E8+E26+E28+E29+E30</f>
        <v>6391</v>
      </c>
      <c r="F31" s="160">
        <f>F8+F26+F28+F29+F30</f>
        <v>6751</v>
      </c>
      <c r="G31" s="343">
        <f>G8+G26+G28+G29+G30</f>
        <v>7075</v>
      </c>
    </row>
    <row r="32" spans="1:20" x14ac:dyDescent="0.3">
      <c r="A32" s="327"/>
      <c r="B32" s="146"/>
      <c r="C32" s="156"/>
      <c r="D32" s="148"/>
      <c r="E32" s="148"/>
      <c r="F32" s="148"/>
      <c r="G32" s="328"/>
    </row>
    <row r="33" spans="1:22" x14ac:dyDescent="0.3">
      <c r="A33" s="327"/>
      <c r="B33" s="146"/>
      <c r="C33" s="156"/>
      <c r="D33" s="148"/>
      <c r="E33" s="148"/>
      <c r="F33" s="148"/>
      <c r="G33" s="328"/>
    </row>
    <row r="34" spans="1:22" x14ac:dyDescent="0.3">
      <c r="A34" s="327"/>
      <c r="B34" s="146"/>
      <c r="C34" s="156"/>
      <c r="D34" s="148"/>
      <c r="E34" s="148"/>
      <c r="F34" s="148"/>
      <c r="G34" s="328"/>
    </row>
    <row r="35" spans="1:22" x14ac:dyDescent="0.3">
      <c r="A35" s="344" t="s">
        <v>365</v>
      </c>
      <c r="B35" s="345"/>
      <c r="C35" s="161">
        <v>-3132</v>
      </c>
      <c r="D35" s="161">
        <f>-(3462)</f>
        <v>-3462</v>
      </c>
      <c r="E35" s="161">
        <f>-(3191)</f>
        <v>-3191</v>
      </c>
      <c r="F35" s="161">
        <f>-(3614)</f>
        <v>-3614</v>
      </c>
      <c r="G35" s="331">
        <f>-(3746)</f>
        <v>-3746</v>
      </c>
    </row>
    <row r="36" spans="1:22" x14ac:dyDescent="0.3">
      <c r="A36" s="327"/>
      <c r="B36" s="146"/>
      <c r="C36" s="156"/>
      <c r="D36" s="156"/>
      <c r="E36" s="156"/>
      <c r="F36" s="156"/>
      <c r="G36" s="328"/>
    </row>
    <row r="37" spans="1:22" x14ac:dyDescent="0.3">
      <c r="A37" s="327" t="s">
        <v>105</v>
      </c>
      <c r="B37" s="146"/>
      <c r="C37" s="156">
        <v>-3090</v>
      </c>
      <c r="D37" s="156">
        <f>-(3730)</f>
        <v>-3730</v>
      </c>
      <c r="E37" s="156">
        <f>-(3515)</f>
        <v>-3515</v>
      </c>
      <c r="F37" s="156">
        <f>-(3074)</f>
        <v>-3074</v>
      </c>
      <c r="G37" s="328">
        <f>-(3052)</f>
        <v>-3052</v>
      </c>
    </row>
    <row r="38" spans="1:22" x14ac:dyDescent="0.3">
      <c r="A38" s="327" t="s">
        <v>150</v>
      </c>
      <c r="B38" s="146"/>
      <c r="C38" s="156">
        <v>-630</v>
      </c>
      <c r="D38" s="156">
        <f>-(243)</f>
        <v>-243</v>
      </c>
      <c r="E38" s="156">
        <f>-(411)</f>
        <v>-411</v>
      </c>
      <c r="F38" s="156">
        <f>-(667)</f>
        <v>-667</v>
      </c>
      <c r="G38" s="328">
        <f>-(584)</f>
        <v>-584</v>
      </c>
    </row>
    <row r="39" spans="1:22" x14ac:dyDescent="0.3">
      <c r="A39" s="346" t="s">
        <v>364</v>
      </c>
      <c r="B39" s="347"/>
      <c r="C39" s="164">
        <f>C37+C38</f>
        <v>-3720</v>
      </c>
      <c r="D39" s="164">
        <f>D37+D38</f>
        <v>-3973</v>
      </c>
      <c r="E39" s="164">
        <f>E37+E38</f>
        <v>-3926</v>
      </c>
      <c r="F39" s="164">
        <f>F37+F38</f>
        <v>-3741</v>
      </c>
      <c r="G39" s="348">
        <f>G37+G38</f>
        <v>-3636</v>
      </c>
    </row>
    <row r="40" spans="1:22" x14ac:dyDescent="0.3">
      <c r="A40" s="337"/>
      <c r="B40" s="147"/>
      <c r="C40" s="156"/>
      <c r="D40" s="156"/>
      <c r="E40" s="156"/>
      <c r="F40" s="156"/>
      <c r="G40" s="349"/>
    </row>
    <row r="41" spans="1:22" x14ac:dyDescent="0.3">
      <c r="A41" s="327" t="s">
        <v>77</v>
      </c>
      <c r="B41" s="146"/>
      <c r="C41" s="156">
        <v>559</v>
      </c>
      <c r="D41" s="156">
        <f>+(689)</f>
        <v>689</v>
      </c>
      <c r="E41" s="156">
        <v>726</v>
      </c>
      <c r="F41" s="156">
        <v>604</v>
      </c>
      <c r="G41" s="328">
        <f>+(307)</f>
        <v>307</v>
      </c>
    </row>
    <row r="42" spans="1:22" x14ac:dyDescent="0.3">
      <c r="A42" s="329" t="s">
        <v>359</v>
      </c>
      <c r="B42" s="330"/>
      <c r="C42" s="161">
        <f>C39+C41</f>
        <v>-3161</v>
      </c>
      <c r="D42" s="161">
        <f>D39+D41</f>
        <v>-3284</v>
      </c>
      <c r="E42" s="161">
        <f>E39+E41</f>
        <v>-3200</v>
      </c>
      <c r="F42" s="161">
        <f>F39+F41</f>
        <v>-3137</v>
      </c>
      <c r="G42" s="331">
        <f>G39+G41</f>
        <v>-3329</v>
      </c>
    </row>
    <row r="43" spans="1:22" x14ac:dyDescent="0.3">
      <c r="A43" s="327"/>
      <c r="B43" s="146"/>
      <c r="C43" s="156"/>
      <c r="D43" s="156"/>
      <c r="E43" s="156"/>
      <c r="F43" s="156"/>
      <c r="G43" s="328"/>
      <c r="O43" s="254"/>
      <c r="P43" s="254"/>
      <c r="Q43" s="254"/>
    </row>
    <row r="44" spans="1:22" ht="15" thickBot="1" x14ac:dyDescent="0.35">
      <c r="A44" s="350" t="s">
        <v>358</v>
      </c>
      <c r="B44" s="351"/>
      <c r="C44" s="352">
        <f>C35+C42</f>
        <v>-6293</v>
      </c>
      <c r="D44" s="352">
        <f>D35+D42</f>
        <v>-6746</v>
      </c>
      <c r="E44" s="352">
        <f>E35+E42</f>
        <v>-6391</v>
      </c>
      <c r="F44" s="352">
        <f>F35+F42</f>
        <v>-6751</v>
      </c>
      <c r="G44" s="353">
        <f>G35+G42</f>
        <v>-7075</v>
      </c>
      <c r="L44" s="254"/>
      <c r="M44" s="254"/>
      <c r="O44" s="254"/>
      <c r="P44" s="254"/>
      <c r="Q44" s="254"/>
    </row>
    <row r="45" spans="1:22" x14ac:dyDescent="0.3">
      <c r="L45" s="254"/>
      <c r="M45" s="254"/>
      <c r="O45" s="254"/>
      <c r="P45" s="254"/>
      <c r="Q45" s="254"/>
    </row>
    <row r="46" spans="1:22" x14ac:dyDescent="0.3">
      <c r="A46" s="322" t="s">
        <v>485</v>
      </c>
      <c r="B46" s="322"/>
      <c r="C46" s="322" t="str">
        <f t="shared" ref="C46:F46" si="0">IF(C31+C44=0,"Correct","Incorrect")</f>
        <v>Correct</v>
      </c>
      <c r="D46" s="322" t="str">
        <f t="shared" si="0"/>
        <v>Correct</v>
      </c>
      <c r="E46" s="322" t="str">
        <f t="shared" si="0"/>
        <v>Correct</v>
      </c>
      <c r="F46" s="322" t="str">
        <f t="shared" si="0"/>
        <v>Correct</v>
      </c>
      <c r="G46" s="322" t="str">
        <f>IF(G31+G44=0,"Correct","Incorrect")</f>
        <v>Correct</v>
      </c>
      <c r="L46" s="254"/>
      <c r="M46" s="254"/>
      <c r="O46" s="254"/>
      <c r="P46" s="254"/>
      <c r="Q46" s="254"/>
    </row>
    <row r="47" spans="1:22" ht="15" thickBot="1" x14ac:dyDescent="0.35">
      <c r="L47" s="254"/>
      <c r="M47" s="254"/>
      <c r="O47" s="254"/>
      <c r="P47" s="254"/>
      <c r="Q47" s="254"/>
    </row>
    <row r="48" spans="1:22" ht="24.6" x14ac:dyDescent="0.5">
      <c r="A48" s="354" t="s">
        <v>470</v>
      </c>
      <c r="B48" s="355"/>
      <c r="C48" s="355"/>
      <c r="D48" s="355"/>
      <c r="E48" s="355"/>
      <c r="F48" s="355"/>
      <c r="G48" s="356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</row>
    <row r="49" spans="1:22" x14ac:dyDescent="0.3">
      <c r="A49" s="357"/>
      <c r="B49" s="116"/>
      <c r="C49" s="550" t="s">
        <v>163</v>
      </c>
      <c r="D49" s="550"/>
      <c r="E49" s="550"/>
      <c r="F49" s="550"/>
      <c r="G49" s="551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</row>
    <row r="50" spans="1:22" x14ac:dyDescent="0.3">
      <c r="A50" s="358"/>
      <c r="B50" s="130" t="s">
        <v>1</v>
      </c>
      <c r="C50" s="117" t="s">
        <v>473</v>
      </c>
      <c r="D50" s="318" t="s">
        <v>474</v>
      </c>
      <c r="E50" s="318" t="s">
        <v>475</v>
      </c>
      <c r="F50" s="318" t="s">
        <v>476</v>
      </c>
      <c r="G50" s="359" t="s">
        <v>477</v>
      </c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/>
    </row>
    <row r="51" spans="1:22" x14ac:dyDescent="0.3">
      <c r="A51" s="360"/>
      <c r="B51" s="176"/>
      <c r="C51" s="182"/>
      <c r="D51" s="183"/>
      <c r="E51" s="183"/>
      <c r="F51" s="183"/>
      <c r="G51" s="361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  <c r="S51" s="288"/>
      <c r="T51" s="288"/>
      <c r="U51" s="288"/>
      <c r="V51" s="288"/>
    </row>
    <row r="52" spans="1:22" x14ac:dyDescent="0.3">
      <c r="A52" s="326" t="s">
        <v>370</v>
      </c>
      <c r="B52" s="176"/>
      <c r="C52" s="155">
        <f>(1287-1379) + 'Reorganised Statements'!D52</f>
        <v>4829</v>
      </c>
      <c r="D52" s="150">
        <f>(1812-1622) + 'Reorganised Statements'!E52</f>
        <v>5050</v>
      </c>
      <c r="E52" s="150">
        <f>(1812-1622) + 'Reorganised Statements'!F52</f>
        <v>5986</v>
      </c>
      <c r="F52" s="150">
        <f>(2119-1812) + 'Reorganised Statements'!G52</f>
        <v>6801</v>
      </c>
      <c r="G52" s="336">
        <f>1707-2110 +'Reorganised Statements'!H52</f>
        <v>6921</v>
      </c>
      <c r="H52" s="321"/>
      <c r="I52" s="288"/>
      <c r="J52" s="321"/>
      <c r="K52" s="321"/>
      <c r="L52" s="288"/>
      <c r="M52" s="321"/>
      <c r="N52" s="321"/>
      <c r="O52" s="288"/>
      <c r="P52" s="321"/>
      <c r="Q52" s="321"/>
      <c r="R52" s="288"/>
      <c r="S52" s="321"/>
      <c r="T52" s="321"/>
      <c r="U52" s="288"/>
      <c r="V52" s="288"/>
    </row>
    <row r="53" spans="1:22" x14ac:dyDescent="0.3">
      <c r="A53" s="185" t="s">
        <v>471</v>
      </c>
      <c r="B53" s="176"/>
      <c r="C53" s="156">
        <f>-(817-885) +SUM('Reorganised Statements'!D58:D60)</f>
        <v>-3176</v>
      </c>
      <c r="D53" s="148">
        <f>-(1239 - 1069)+SUM('Reorganised Statements'!E58:E60)</f>
        <v>-3272</v>
      </c>
      <c r="E53" s="148">
        <f>-(1239 - 1069)+SUM('Reorganised Statements'!F58:F60)</f>
        <v>-4132</v>
      </c>
      <c r="F53" s="148">
        <f>-(1605-1239)+SUM('Reorganised Statements'!G58:G60)</f>
        <v>-4964</v>
      </c>
      <c r="G53" s="328">
        <f>-(1196-1605) + SUM('Reorganised Statements'!H58:H60)</f>
        <v>-4981</v>
      </c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</row>
    <row r="54" spans="1:22" x14ac:dyDescent="0.3">
      <c r="A54" s="185" t="s">
        <v>472</v>
      </c>
      <c r="B54" s="176"/>
      <c r="C54" s="148">
        <f>-(165-160) + 'Reorganised Statements'!D61</f>
        <v>-634</v>
      </c>
      <c r="D54" s="148">
        <f>-(165-160) + 'Reorganised Statements'!E61</f>
        <v>-601</v>
      </c>
      <c r="E54" s="148">
        <f>-(165-160) + 'Reorganised Statements'!F61</f>
        <v>-640</v>
      </c>
      <c r="F54" s="148">
        <f>-(177-165)+'Reorganised Statements'!G61</f>
        <v>-677</v>
      </c>
      <c r="G54" s="328">
        <f xml:space="preserve"> -(180-177)+'Reorganised Statements'!H61</f>
        <v>-703</v>
      </c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</row>
    <row r="55" spans="1:22" x14ac:dyDescent="0.3">
      <c r="A55" s="326"/>
      <c r="B55" s="176"/>
      <c r="C55" s="156"/>
      <c r="D55" s="156"/>
      <c r="E55" s="148"/>
      <c r="F55" s="148"/>
      <c r="G55" s="328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288"/>
      <c r="S55" s="288"/>
      <c r="T55" s="288"/>
      <c r="U55" s="288"/>
      <c r="V55" s="288"/>
    </row>
    <row r="56" spans="1:22" x14ac:dyDescent="0.3">
      <c r="A56" s="362" t="s">
        <v>306</v>
      </c>
      <c r="B56" s="180"/>
      <c r="C56" s="151">
        <f>SUM(C52:C54)</f>
        <v>1019</v>
      </c>
      <c r="D56" s="151">
        <f>SUM(D52:D54)</f>
        <v>1177</v>
      </c>
      <c r="E56" s="151">
        <f>SUM(E52:E54)</f>
        <v>1214</v>
      </c>
      <c r="F56" s="331">
        <f>SUM(F52:F54)</f>
        <v>1160</v>
      </c>
      <c r="G56" s="331">
        <f>SUM(G52:G54)</f>
        <v>1237</v>
      </c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</row>
    <row r="57" spans="1:22" x14ac:dyDescent="0.3">
      <c r="A57" s="185" t="s">
        <v>478</v>
      </c>
      <c r="B57" s="176"/>
      <c r="C57" s="150">
        <f>-(121-110) + 'Reorganised Statements'!D72+'Reorganised Statements'!D76</f>
        <v>-844</v>
      </c>
      <c r="D57" s="150">
        <f>-(121-110) + 'Reorganised Statements'!E72+'Reorganised Statements'!E76</f>
        <v>-730</v>
      </c>
      <c r="E57" s="150">
        <f>-(121-110) + 'Reorganised Statements'!F72+'Reorganised Statements'!F76</f>
        <v>-500</v>
      </c>
      <c r="F57" s="150">
        <f>-(131-121) + 'Reorganised Statements'!G72+'Reorganised Statements'!G76</f>
        <v>-653</v>
      </c>
      <c r="G57" s="336">
        <f>-(135-131) + 'Reorganised Statements'!H72+'Reorganised Statements'!H76</f>
        <v>-551</v>
      </c>
      <c r="H57" s="288"/>
      <c r="I57" s="288"/>
      <c r="J57" s="288"/>
      <c r="K57" s="288"/>
      <c r="L57" s="288"/>
      <c r="M57" s="288"/>
      <c r="N57" s="288"/>
      <c r="O57" s="288"/>
      <c r="P57" s="288"/>
      <c r="Q57" s="288"/>
      <c r="R57" s="288"/>
      <c r="S57" s="288"/>
      <c r="T57" s="288"/>
      <c r="U57" s="288"/>
      <c r="V57" s="288"/>
    </row>
    <row r="58" spans="1:22" x14ac:dyDescent="0.3">
      <c r="A58" s="326"/>
      <c r="B58" s="176"/>
      <c r="C58" s="156"/>
      <c r="D58" s="156"/>
      <c r="E58" s="150"/>
      <c r="F58" s="150"/>
      <c r="G58" s="336"/>
      <c r="H58" s="288"/>
      <c r="I58" s="288"/>
      <c r="J58" s="288"/>
      <c r="K58" s="288"/>
      <c r="L58" s="288"/>
      <c r="M58" s="288"/>
      <c r="N58" s="288"/>
      <c r="O58" s="288"/>
      <c r="P58" s="288"/>
      <c r="Q58" s="288"/>
      <c r="R58" s="288"/>
      <c r="S58" s="288"/>
      <c r="T58" s="288"/>
      <c r="U58" s="288"/>
      <c r="V58" s="288"/>
    </row>
    <row r="59" spans="1:22" x14ac:dyDescent="0.3">
      <c r="A59" s="362" t="s">
        <v>303</v>
      </c>
      <c r="B59" s="180"/>
      <c r="C59" s="331">
        <f>C56+C57</f>
        <v>175</v>
      </c>
      <c r="D59" s="331">
        <f>D56+D57</f>
        <v>447</v>
      </c>
      <c r="E59" s="331">
        <f>E56+E57</f>
        <v>714</v>
      </c>
      <c r="F59" s="331">
        <f>F56+F57</f>
        <v>507</v>
      </c>
      <c r="G59" s="331">
        <f>G56+G57</f>
        <v>686</v>
      </c>
      <c r="H59" s="288"/>
      <c r="I59" s="288"/>
      <c r="J59" s="288"/>
      <c r="K59" s="288"/>
      <c r="L59" s="288"/>
      <c r="M59" s="288"/>
      <c r="N59" s="288"/>
      <c r="O59" s="288"/>
      <c r="P59" s="288"/>
      <c r="Q59" s="288"/>
      <c r="R59" s="288"/>
      <c r="S59" s="288"/>
      <c r="T59" s="288"/>
      <c r="U59" s="288"/>
      <c r="V59" s="288"/>
    </row>
    <row r="60" spans="1:22" x14ac:dyDescent="0.3">
      <c r="A60" s="185" t="s">
        <v>479</v>
      </c>
      <c r="B60" s="176"/>
      <c r="C60" s="148">
        <f>(0-0) + 'Reorganised Statements'!D82</f>
        <v>1</v>
      </c>
      <c r="D60" s="148">
        <f>(0-0) + 'Reorganised Statements'!E82</f>
        <v>52</v>
      </c>
      <c r="E60" s="148">
        <f>(0-0) + 'Reorganised Statements'!F82</f>
        <v>0</v>
      </c>
      <c r="F60" s="148">
        <f xml:space="preserve"> (0-0) + 'Reorganised Statements'!G82</f>
        <v>14</v>
      </c>
      <c r="G60" s="328">
        <f>'Reorganised Statements'!H82+0</f>
        <v>4</v>
      </c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</row>
    <row r="61" spans="1:22" x14ac:dyDescent="0.3">
      <c r="A61" s="185" t="s">
        <v>467</v>
      </c>
      <c r="B61" s="317"/>
      <c r="C61" s="320">
        <f>-(29-25) + 'Reorganised Statements'!D83</f>
        <v>-142</v>
      </c>
      <c r="D61" s="320">
        <f>-(29-25) + 'Reorganised Statements'!E83</f>
        <v>-165</v>
      </c>
      <c r="E61" s="320">
        <f>-(29-25) + 'Reorganised Statements'!F83</f>
        <v>-138</v>
      </c>
      <c r="F61" s="320">
        <f>-(24-29) + 'Reorganised Statements'!G83</f>
        <v>-107</v>
      </c>
      <c r="G61" s="273">
        <f>-(18-24) + 'Reorganised Statements'!H83</f>
        <v>-104</v>
      </c>
      <c r="H61" s="288"/>
      <c r="I61" s="288"/>
      <c r="J61" s="288"/>
      <c r="K61" s="288"/>
      <c r="L61" s="288"/>
      <c r="M61" s="288"/>
      <c r="N61" s="288"/>
      <c r="O61" s="288"/>
      <c r="P61" s="288"/>
      <c r="Q61" s="288"/>
      <c r="R61" s="288"/>
      <c r="S61" s="288"/>
      <c r="T61" s="288"/>
      <c r="U61" s="288"/>
      <c r="V61" s="288"/>
    </row>
    <row r="62" spans="1:22" x14ac:dyDescent="0.3">
      <c r="A62" s="363" t="s">
        <v>386</v>
      </c>
      <c r="B62" s="176"/>
      <c r="C62" s="249">
        <f>C60+C61</f>
        <v>-141</v>
      </c>
      <c r="D62" s="249">
        <f>D60+D61</f>
        <v>-113</v>
      </c>
      <c r="E62" s="249">
        <f>E60+E61</f>
        <v>-138</v>
      </c>
      <c r="F62" s="249">
        <f>F60+F61</f>
        <v>-93</v>
      </c>
      <c r="G62" s="249">
        <f>G60+G61</f>
        <v>-100</v>
      </c>
      <c r="H62" s="288"/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</row>
    <row r="63" spans="1:22" x14ac:dyDescent="0.3">
      <c r="A63" s="362" t="s">
        <v>304</v>
      </c>
      <c r="B63" s="180"/>
      <c r="C63" s="151">
        <f>C59+C62</f>
        <v>34</v>
      </c>
      <c r="D63" s="151">
        <f>D59+D62</f>
        <v>334</v>
      </c>
      <c r="E63" s="151">
        <f>E59+E62</f>
        <v>576</v>
      </c>
      <c r="F63" s="151">
        <f>F59+F62</f>
        <v>414</v>
      </c>
      <c r="G63" s="151">
        <f>G59+G62</f>
        <v>586</v>
      </c>
      <c r="H63" s="288"/>
      <c r="I63" s="288"/>
      <c r="J63" s="288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88"/>
      <c r="V63" s="288"/>
    </row>
    <row r="64" spans="1:22" x14ac:dyDescent="0.3">
      <c r="A64" s="364" t="s">
        <v>480</v>
      </c>
      <c r="B64" s="176"/>
      <c r="C64" s="181">
        <f>-(83-78) + 'Reorganised Statements'!D109</f>
        <v>-138</v>
      </c>
      <c r="D64" s="181">
        <f>-(83-78) + 'Reorganised Statements'!E109</f>
        <v>-127</v>
      </c>
      <c r="E64" s="181">
        <f>-(83-78) + 'Reorganised Statements'!F109</f>
        <v>-197</v>
      </c>
      <c r="F64" s="181">
        <f>-(59-83) + 'Reorganised Statements'!G109</f>
        <v>-133</v>
      </c>
      <c r="G64" s="365">
        <f>-(58-59)+'Reorganised Statements'!H109</f>
        <v>-188</v>
      </c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</row>
    <row r="65" spans="1:22" x14ac:dyDescent="0.3">
      <c r="A65" s="366" t="s">
        <v>468</v>
      </c>
      <c r="B65" s="319"/>
      <c r="C65" s="367">
        <f>C63+C64</f>
        <v>-104</v>
      </c>
      <c r="D65" s="367">
        <f>D63+D64</f>
        <v>207</v>
      </c>
      <c r="E65" s="367">
        <f>E63+E64</f>
        <v>379</v>
      </c>
      <c r="F65" s="367">
        <f>F63+F64</f>
        <v>281</v>
      </c>
      <c r="G65" s="367">
        <f>G63+G64</f>
        <v>398</v>
      </c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</row>
    <row r="66" spans="1:22" x14ac:dyDescent="0.3">
      <c r="A66" s="185" t="s">
        <v>469</v>
      </c>
      <c r="B66" s="176"/>
      <c r="C66" s="148">
        <f>(2-4) + 'Reorganised Statements'!D111</f>
        <v>-2</v>
      </c>
      <c r="D66" s="148">
        <f>(2-4) + 'Reorganised Statements'!E111</f>
        <v>17</v>
      </c>
      <c r="E66" s="148">
        <f>(2-4) + 'Reorganised Statements'!F111</f>
        <v>-87</v>
      </c>
      <c r="F66" s="148">
        <f>(0-2) + 'Reorganised Statements'!G111</f>
        <v>19</v>
      </c>
      <c r="G66" s="328">
        <f xml:space="preserve">  0 + 'Reorganised Statements'!H111</f>
        <v>1</v>
      </c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</row>
    <row r="67" spans="1:22" x14ac:dyDescent="0.3">
      <c r="A67" s="185"/>
      <c r="B67" s="176"/>
      <c r="C67" s="148"/>
      <c r="D67" s="148"/>
      <c r="E67" s="148"/>
      <c r="F67" s="148"/>
      <c r="G67" s="328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</row>
    <row r="68" spans="1:22" x14ac:dyDescent="0.3">
      <c r="A68" s="362" t="s">
        <v>481</v>
      </c>
      <c r="B68" s="180"/>
      <c r="C68" s="368">
        <f>C65+C66</f>
        <v>-106</v>
      </c>
      <c r="D68" s="368">
        <f>D65+D66</f>
        <v>224</v>
      </c>
      <c r="E68" s="368">
        <f>E65+E66</f>
        <v>292</v>
      </c>
      <c r="F68" s="368">
        <f>F65+F66</f>
        <v>300</v>
      </c>
      <c r="G68" s="368">
        <f>G65+G66</f>
        <v>399</v>
      </c>
      <c r="H68" s="288"/>
      <c r="I68" s="288"/>
      <c r="J68" s="288"/>
      <c r="K68" s="288"/>
      <c r="L68" s="288"/>
      <c r="M68" s="288"/>
      <c r="N68" s="288"/>
      <c r="O68" s="288"/>
      <c r="P68" s="288"/>
      <c r="Q68" s="288"/>
      <c r="R68" s="288"/>
      <c r="S68" s="288"/>
      <c r="T68" s="288"/>
      <c r="U68" s="288"/>
      <c r="V68" s="288"/>
    </row>
    <row r="69" spans="1:22" x14ac:dyDescent="0.3">
      <c r="A69" s="185" t="s">
        <v>482</v>
      </c>
      <c r="B69" s="176"/>
      <c r="C69" s="148">
        <f>-(4-4) + 'Reorganised Statements'!D112</f>
        <v>130</v>
      </c>
      <c r="D69" s="148">
        <f>-(4-4) + 'Reorganised Statements'!E112</f>
        <v>1</v>
      </c>
      <c r="E69" s="148">
        <f>-(4-4) + 'Reorganised Statements'!F112</f>
        <v>-6</v>
      </c>
      <c r="F69" s="148">
        <f>-(10-4) + 'Reorganised Statements'!G112</f>
        <v>-16</v>
      </c>
      <c r="G69" s="328">
        <f>-(8-10) + 'Reorganised Statements'!H112</f>
        <v>-2</v>
      </c>
      <c r="H69" s="288"/>
      <c r="I69" s="288"/>
      <c r="J69" s="288"/>
      <c r="K69" s="288"/>
      <c r="L69" s="288"/>
      <c r="M69" s="288"/>
      <c r="N69" s="288"/>
      <c r="O69" s="288"/>
      <c r="P69" s="288"/>
      <c r="Q69" s="288"/>
      <c r="R69" s="288"/>
      <c r="S69" s="288"/>
      <c r="T69" s="288"/>
      <c r="U69" s="288"/>
      <c r="V69" s="288"/>
    </row>
    <row r="70" spans="1:22" x14ac:dyDescent="0.3">
      <c r="A70" s="185"/>
      <c r="B70" s="176"/>
      <c r="C70" s="148"/>
      <c r="D70" s="148"/>
      <c r="E70" s="148"/>
      <c r="F70" s="148"/>
      <c r="G70" s="328"/>
    </row>
    <row r="71" spans="1:22" ht="15" thickBot="1" x14ac:dyDescent="0.35">
      <c r="A71" s="369" t="s">
        <v>363</v>
      </c>
      <c r="B71" s="370"/>
      <c r="C71" s="353">
        <f>C68+C69</f>
        <v>24</v>
      </c>
      <c r="D71" s="353">
        <f>D68+D69</f>
        <v>225</v>
      </c>
      <c r="E71" s="353">
        <f>E68+E69</f>
        <v>286</v>
      </c>
      <c r="F71" s="353">
        <f>F68+F69</f>
        <v>284</v>
      </c>
      <c r="G71" s="353">
        <f>G68+G69</f>
        <v>397</v>
      </c>
    </row>
    <row r="72" spans="1:22" x14ac:dyDescent="0.3">
      <c r="A72" s="55"/>
      <c r="B72" s="55"/>
      <c r="C72" s="55"/>
      <c r="D72" s="55"/>
      <c r="E72" s="55"/>
      <c r="F72" s="55"/>
      <c r="G72" s="55"/>
    </row>
    <row r="73" spans="1:22" x14ac:dyDescent="0.3">
      <c r="A73" s="55"/>
      <c r="B73" s="55"/>
      <c r="C73" s="55"/>
      <c r="D73" s="55"/>
      <c r="E73" s="55"/>
      <c r="F73" s="55"/>
      <c r="G73" s="55"/>
    </row>
    <row r="74" spans="1:22" x14ac:dyDescent="0.3">
      <c r="A74" s="55"/>
      <c r="B74" s="55"/>
      <c r="C74" s="55"/>
      <c r="D74" s="55"/>
      <c r="E74" s="55"/>
      <c r="F74" s="55"/>
      <c r="G74" s="55"/>
    </row>
    <row r="75" spans="1:22" x14ac:dyDescent="0.3">
      <c r="A75" s="55"/>
      <c r="B75" s="55"/>
      <c r="C75" s="55"/>
      <c r="D75" s="55"/>
      <c r="E75" s="55"/>
      <c r="F75" s="55"/>
      <c r="G75" s="55"/>
    </row>
    <row r="82" spans="1:22" ht="15" thickBot="1" x14ac:dyDescent="0.35"/>
    <row r="83" spans="1:22" ht="24.6" x14ac:dyDescent="0.5">
      <c r="A83" s="372" t="s">
        <v>373</v>
      </c>
      <c r="B83" s="261"/>
      <c r="C83" s="262"/>
      <c r="D83" s="262"/>
      <c r="E83" s="262"/>
      <c r="F83" s="263"/>
    </row>
    <row r="84" spans="1:22" x14ac:dyDescent="0.3">
      <c r="A84" s="264"/>
      <c r="B84" s="64"/>
      <c r="C84" s="552" t="s">
        <v>163</v>
      </c>
      <c r="D84" s="552"/>
      <c r="E84" s="552"/>
      <c r="F84" s="553"/>
    </row>
    <row r="85" spans="1:22" x14ac:dyDescent="0.3">
      <c r="A85" s="265"/>
      <c r="B85" s="130" t="s">
        <v>1</v>
      </c>
      <c r="C85" s="318" t="s">
        <v>474</v>
      </c>
      <c r="D85" s="318" t="s">
        <v>475</v>
      </c>
      <c r="E85" s="318" t="s">
        <v>476</v>
      </c>
      <c r="F85" s="359" t="s">
        <v>477</v>
      </c>
    </row>
    <row r="86" spans="1:22" x14ac:dyDescent="0.3">
      <c r="A86" s="185"/>
      <c r="B86" s="5"/>
      <c r="C86" s="31"/>
      <c r="D86" s="29"/>
      <c r="E86" s="29"/>
      <c r="F86" s="268"/>
    </row>
    <row r="87" spans="1:22" x14ac:dyDescent="0.3">
      <c r="A87" s="326" t="s">
        <v>303</v>
      </c>
      <c r="B87" s="5"/>
      <c r="C87" s="188">
        <f>D59</f>
        <v>447</v>
      </c>
      <c r="D87" s="188">
        <f t="shared" ref="D87:F87" si="1">E59</f>
        <v>714</v>
      </c>
      <c r="E87" s="188">
        <f t="shared" si="1"/>
        <v>507</v>
      </c>
      <c r="F87" s="188">
        <f t="shared" si="1"/>
        <v>686</v>
      </c>
    </row>
    <row r="88" spans="1:22" x14ac:dyDescent="0.3">
      <c r="A88" s="185" t="s">
        <v>374</v>
      </c>
      <c r="B88" s="5"/>
      <c r="C88" s="190">
        <f>D64</f>
        <v>-127</v>
      </c>
      <c r="D88" s="190">
        <f t="shared" ref="D88:F88" si="2">E64</f>
        <v>-197</v>
      </c>
      <c r="E88" s="190">
        <f t="shared" si="2"/>
        <v>-133</v>
      </c>
      <c r="F88" s="190">
        <f t="shared" si="2"/>
        <v>-188</v>
      </c>
    </row>
    <row r="89" spans="1:22" x14ac:dyDescent="0.3">
      <c r="A89" s="185" t="s">
        <v>403</v>
      </c>
      <c r="B89" s="5"/>
      <c r="C89" s="271">
        <f>-(D64/D63)*(D62)</f>
        <v>-42.967065868263475</v>
      </c>
      <c r="D89" s="271">
        <f t="shared" ref="D89:F89" si="3">-(E64/E63)*(E62)</f>
        <v>-47.197916666666664</v>
      </c>
      <c r="E89" s="271">
        <f t="shared" si="3"/>
        <v>-29.876811594202898</v>
      </c>
      <c r="F89" s="271">
        <f t="shared" si="3"/>
        <v>-32.081911262798634</v>
      </c>
    </row>
    <row r="90" spans="1:22" x14ac:dyDescent="0.3">
      <c r="A90" s="362" t="s">
        <v>375</v>
      </c>
      <c r="B90" s="25"/>
      <c r="C90" s="272">
        <f t="shared" ref="C90:E90" si="4">C87+C88+C89</f>
        <v>277.03293413173651</v>
      </c>
      <c r="D90" s="272">
        <f t="shared" si="4"/>
        <v>469.80208333333331</v>
      </c>
      <c r="E90" s="272">
        <f t="shared" si="4"/>
        <v>344.12318840579712</v>
      </c>
      <c r="F90" s="272">
        <f>F87+F88+F89</f>
        <v>465.91808873720134</v>
      </c>
    </row>
    <row r="91" spans="1:22" x14ac:dyDescent="0.3">
      <c r="A91" s="185"/>
      <c r="B91" s="5"/>
      <c r="C91" s="190"/>
      <c r="D91" s="191"/>
      <c r="E91" s="191"/>
      <c r="F91" s="270"/>
    </row>
    <row r="92" spans="1:22" x14ac:dyDescent="0.3">
      <c r="A92" s="185" t="s">
        <v>397</v>
      </c>
      <c r="B92" s="5"/>
      <c r="C92" s="190">
        <f>C10-D10</f>
        <v>-20</v>
      </c>
      <c r="D92" s="190">
        <f t="shared" ref="D92:F92" si="5">D10-E10</f>
        <v>38</v>
      </c>
      <c r="E92" s="190">
        <f t="shared" si="5"/>
        <v>-39</v>
      </c>
      <c r="F92" s="190">
        <f t="shared" si="5"/>
        <v>15</v>
      </c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</row>
    <row r="93" spans="1:22" x14ac:dyDescent="0.3">
      <c r="A93" s="185" t="s">
        <v>376</v>
      </c>
      <c r="B93" s="5"/>
      <c r="C93" s="190">
        <f>C11-D11</f>
        <v>-331</v>
      </c>
      <c r="D93" s="190">
        <f t="shared" ref="D93:F93" si="6">D11-E11</f>
        <v>52</v>
      </c>
      <c r="E93" s="190">
        <f t="shared" si="6"/>
        <v>-251</v>
      </c>
      <c r="F93" s="190">
        <f t="shared" si="6"/>
        <v>21</v>
      </c>
      <c r="G93" s="288"/>
      <c r="H93" s="288"/>
      <c r="I93" s="288"/>
      <c r="J93" s="288"/>
      <c r="K93" s="288"/>
      <c r="L93" s="288"/>
      <c r="M93" s="288"/>
      <c r="N93" s="288"/>
      <c r="O93" s="288"/>
      <c r="P93" s="288"/>
      <c r="Q93" s="288"/>
      <c r="R93" s="288"/>
      <c r="S93" s="288"/>
      <c r="T93" s="288"/>
      <c r="U93" s="288"/>
      <c r="V93" s="254"/>
    </row>
    <row r="94" spans="1:22" x14ac:dyDescent="0.3">
      <c r="A94" s="185" t="s">
        <v>396</v>
      </c>
      <c r="B94" s="5"/>
      <c r="C94" s="190">
        <f>C12-D12</f>
        <v>139</v>
      </c>
      <c r="D94" s="190">
        <f t="shared" ref="D94:F94" si="7">D12-E12</f>
        <v>-1</v>
      </c>
      <c r="E94" s="190">
        <f t="shared" si="7"/>
        <v>171</v>
      </c>
      <c r="F94" s="190">
        <f t="shared" si="7"/>
        <v>2</v>
      </c>
      <c r="G94" s="288"/>
      <c r="H94" s="288"/>
      <c r="I94" s="288"/>
      <c r="J94" s="288"/>
      <c r="K94" s="288"/>
      <c r="L94" s="288"/>
      <c r="M94" s="288"/>
      <c r="N94" s="288"/>
      <c r="O94" s="288"/>
      <c r="P94" s="288"/>
      <c r="Q94" s="288"/>
      <c r="R94" s="288"/>
      <c r="S94" s="288"/>
      <c r="T94" s="288"/>
      <c r="U94" s="288"/>
      <c r="V94" s="254"/>
    </row>
    <row r="95" spans="1:22" x14ac:dyDescent="0.3">
      <c r="A95" s="362" t="s">
        <v>398</v>
      </c>
      <c r="B95" s="25"/>
      <c r="C95" s="192">
        <f>C92+C93+C94</f>
        <v>-212</v>
      </c>
      <c r="D95" s="192">
        <f t="shared" ref="D95:F95" si="8">D92+D93+D94</f>
        <v>89</v>
      </c>
      <c r="E95" s="192">
        <f t="shared" si="8"/>
        <v>-119</v>
      </c>
      <c r="F95" s="192">
        <f t="shared" si="8"/>
        <v>38</v>
      </c>
      <c r="G95" s="288"/>
      <c r="H95" s="288"/>
      <c r="I95" s="288"/>
      <c r="J95" s="288"/>
      <c r="K95" s="288"/>
      <c r="L95" s="288"/>
      <c r="M95" s="288"/>
      <c r="N95" s="288"/>
      <c r="O95" s="288"/>
      <c r="P95" s="288"/>
      <c r="Q95" s="288"/>
      <c r="R95" s="288"/>
      <c r="S95" s="288"/>
      <c r="T95" s="288"/>
      <c r="U95" s="288"/>
      <c r="V95" s="254"/>
    </row>
    <row r="96" spans="1:22" x14ac:dyDescent="0.3">
      <c r="A96" s="185"/>
      <c r="B96" s="5"/>
      <c r="C96" s="190"/>
      <c r="D96" s="191"/>
      <c r="E96" s="191"/>
      <c r="F96" s="270"/>
      <c r="G96" s="371"/>
      <c r="H96" s="321"/>
      <c r="I96" s="288"/>
      <c r="J96" s="321"/>
      <c r="K96" s="321"/>
      <c r="L96" s="288"/>
      <c r="M96" s="321"/>
      <c r="N96" s="321"/>
      <c r="O96" s="288"/>
      <c r="P96" s="321"/>
      <c r="Q96" s="321"/>
      <c r="R96" s="288"/>
      <c r="S96" s="321"/>
      <c r="T96" s="321"/>
      <c r="U96" s="288"/>
      <c r="V96" s="254"/>
    </row>
    <row r="97" spans="1:22" x14ac:dyDescent="0.3">
      <c r="A97" s="185" t="s">
        <v>377</v>
      </c>
      <c r="B97" s="5"/>
      <c r="C97" s="190">
        <f>SUM(C16:C20)-SUM(D16:D20)</f>
        <v>103</v>
      </c>
      <c r="D97" s="190">
        <f t="shared" ref="D97:F97" si="9">SUM(D16:D20)-SUM(E16:E20)</f>
        <v>33</v>
      </c>
      <c r="E97" s="190">
        <f t="shared" si="9"/>
        <v>-74</v>
      </c>
      <c r="F97" s="190">
        <f t="shared" si="9"/>
        <v>-455</v>
      </c>
      <c r="G97" s="288"/>
      <c r="H97" s="288"/>
      <c r="I97" s="288"/>
      <c r="J97" s="288"/>
      <c r="K97" s="288"/>
      <c r="L97" s="288"/>
      <c r="M97" s="288"/>
      <c r="N97" s="288"/>
      <c r="O97" s="288"/>
      <c r="P97" s="288"/>
      <c r="Q97" s="288"/>
      <c r="R97" s="288"/>
      <c r="S97" s="288"/>
      <c r="T97" s="288"/>
      <c r="U97" s="288"/>
      <c r="V97" s="254"/>
    </row>
    <row r="98" spans="1:22" x14ac:dyDescent="0.3">
      <c r="A98" s="185" t="s">
        <v>378</v>
      </c>
      <c r="B98" s="5"/>
      <c r="C98" s="190">
        <f>SUM(C22:C25)-SUM(D22:D25)</f>
        <v>8</v>
      </c>
      <c r="D98" s="190">
        <f t="shared" ref="D98:F98" si="10">SUM(D22:D25)-SUM(E22:E25)</f>
        <v>-68</v>
      </c>
      <c r="E98" s="190">
        <f t="shared" si="10"/>
        <v>297</v>
      </c>
      <c r="F98" s="190">
        <f t="shared" si="10"/>
        <v>435</v>
      </c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54"/>
    </row>
    <row r="99" spans="1:22" x14ac:dyDescent="0.3">
      <c r="A99" s="362" t="s">
        <v>399</v>
      </c>
      <c r="B99" s="25"/>
      <c r="C99" s="192">
        <f>C95+C97+C98</f>
        <v>-101</v>
      </c>
      <c r="D99" s="192">
        <f t="shared" ref="D99:F99" si="11">D95+D97+D98</f>
        <v>54</v>
      </c>
      <c r="E99" s="192">
        <f t="shared" si="11"/>
        <v>104</v>
      </c>
      <c r="F99" s="192">
        <f t="shared" si="11"/>
        <v>18</v>
      </c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54"/>
    </row>
    <row r="100" spans="1:22" x14ac:dyDescent="0.3">
      <c r="A100" s="185"/>
      <c r="B100" s="5"/>
      <c r="C100" s="190"/>
      <c r="D100" s="191"/>
      <c r="E100" s="191"/>
      <c r="F100" s="270"/>
      <c r="G100" s="288"/>
      <c r="H100" s="288"/>
      <c r="I100" s="288"/>
      <c r="J100" s="288"/>
      <c r="K100" s="288"/>
      <c r="L100" s="288"/>
      <c r="M100" s="288"/>
      <c r="N100" s="288"/>
      <c r="O100" s="288"/>
      <c r="P100" s="288"/>
      <c r="Q100" s="288"/>
      <c r="R100" s="288"/>
      <c r="S100" s="288"/>
      <c r="T100" s="288"/>
      <c r="U100" s="288"/>
      <c r="V100" s="254"/>
    </row>
    <row r="101" spans="1:22" x14ac:dyDescent="0.3">
      <c r="A101" s="185" t="s">
        <v>379</v>
      </c>
      <c r="B101" s="5"/>
      <c r="C101" s="190">
        <f>C5-D5+C6-D6+D57</f>
        <v>-1130</v>
      </c>
      <c r="D101" s="190">
        <f t="shared" ref="D101" si="12">D5+D6-E5-E6+E57</f>
        <v>-212</v>
      </c>
      <c r="E101" s="190">
        <f>E5+E6-F5-F6-E102</f>
        <v>-1186</v>
      </c>
      <c r="F101" s="190">
        <f>F5+F6-G5-G6 - F102</f>
        <v>-814</v>
      </c>
      <c r="G101" s="288"/>
      <c r="H101" s="288"/>
      <c r="I101" s="288"/>
      <c r="J101" s="288"/>
      <c r="K101" s="288"/>
      <c r="L101" s="288"/>
      <c r="M101" s="288"/>
      <c r="N101" s="288"/>
      <c r="O101" s="288"/>
      <c r="P101" s="288"/>
      <c r="Q101" s="288"/>
      <c r="R101" s="288"/>
      <c r="S101" s="288"/>
      <c r="T101" s="288"/>
      <c r="U101" s="288"/>
      <c r="V101" s="254"/>
    </row>
    <row r="102" spans="1:22" x14ac:dyDescent="0.3">
      <c r="A102" s="185" t="s">
        <v>380</v>
      </c>
      <c r="B102" s="5"/>
      <c r="C102" s="190">
        <f>-D57</f>
        <v>730</v>
      </c>
      <c r="D102" s="190">
        <f t="shared" ref="D102" si="13">-E57</f>
        <v>500</v>
      </c>
      <c r="E102" s="190">
        <f>-'Reorganised Statements'!G72 + (131-121)</f>
        <v>633</v>
      </c>
      <c r="F102" s="190">
        <f>-'Reorganised Statements'!H72+(135-131)</f>
        <v>515</v>
      </c>
      <c r="G102" s="288"/>
      <c r="H102" s="288"/>
      <c r="I102" s="288"/>
      <c r="J102" s="288"/>
      <c r="K102" s="288"/>
      <c r="L102" s="288"/>
      <c r="M102" s="288"/>
      <c r="N102" s="288"/>
      <c r="O102" s="288"/>
      <c r="P102" s="288"/>
      <c r="Q102" s="288"/>
      <c r="R102" s="288"/>
      <c r="S102" s="288"/>
      <c r="T102" s="288"/>
      <c r="U102" s="288"/>
      <c r="V102" s="254"/>
    </row>
    <row r="103" spans="1:22" x14ac:dyDescent="0.3">
      <c r="A103" s="185" t="s">
        <v>381</v>
      </c>
      <c r="B103" s="5"/>
      <c r="C103" s="190">
        <f>C30-D30</f>
        <v>62</v>
      </c>
      <c r="D103" s="190">
        <f t="shared" ref="D103:F103" si="14">D30-E30</f>
        <v>-40</v>
      </c>
      <c r="E103" s="190">
        <f t="shared" si="14"/>
        <v>11</v>
      </c>
      <c r="F103" s="190">
        <f t="shared" si="14"/>
        <v>31</v>
      </c>
      <c r="G103" s="288"/>
      <c r="H103" s="288"/>
      <c r="I103" s="288"/>
      <c r="J103" s="288"/>
      <c r="K103" s="288"/>
      <c r="L103" s="288"/>
      <c r="M103" s="288"/>
      <c r="N103" s="288"/>
      <c r="O103" s="288"/>
      <c r="P103" s="288"/>
      <c r="Q103" s="288"/>
      <c r="R103" s="288"/>
      <c r="S103" s="288"/>
      <c r="T103" s="288"/>
      <c r="U103" s="288"/>
      <c r="V103" s="254"/>
    </row>
    <row r="104" spans="1:22" x14ac:dyDescent="0.3">
      <c r="A104" s="185" t="s">
        <v>382</v>
      </c>
      <c r="B104" s="5"/>
      <c r="C104" s="190">
        <f>C29-D29</f>
        <v>32</v>
      </c>
      <c r="D104" s="190">
        <f t="shared" ref="D104:F104" si="15">D29-E29</f>
        <v>-44</v>
      </c>
      <c r="E104" s="190">
        <f t="shared" si="15"/>
        <v>-4</v>
      </c>
      <c r="F104" s="190">
        <f t="shared" si="15"/>
        <v>-11</v>
      </c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54"/>
    </row>
    <row r="105" spans="1:22" x14ac:dyDescent="0.3">
      <c r="A105" s="185" t="s">
        <v>395</v>
      </c>
      <c r="B105" s="5"/>
      <c r="C105" s="190">
        <f>C28-D28</f>
        <v>-52</v>
      </c>
      <c r="D105" s="190">
        <f t="shared" ref="D105:F105" si="16">D28-E28</f>
        <v>62</v>
      </c>
      <c r="E105" s="190">
        <f t="shared" si="16"/>
        <v>21</v>
      </c>
      <c r="F105" s="190">
        <f t="shared" si="16"/>
        <v>-12</v>
      </c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54"/>
    </row>
    <row r="106" spans="1:22" x14ac:dyDescent="0.3">
      <c r="A106" s="185" t="s">
        <v>383</v>
      </c>
      <c r="B106" s="5"/>
      <c r="C106" s="190">
        <f>D69+D66</f>
        <v>18</v>
      </c>
      <c r="D106" s="190">
        <f>E69+E66</f>
        <v>-93</v>
      </c>
      <c r="E106" s="190">
        <f>F69 + F66</f>
        <v>3</v>
      </c>
      <c r="F106" s="190">
        <f>G69 + G66</f>
        <v>-1</v>
      </c>
      <c r="G106" s="288" t="s">
        <v>487</v>
      </c>
      <c r="H106" s="288"/>
      <c r="I106" s="288"/>
      <c r="J106" s="288"/>
      <c r="K106" s="288"/>
      <c r="L106" s="288"/>
      <c r="M106" s="288"/>
      <c r="N106" s="288"/>
      <c r="O106" s="288"/>
      <c r="P106" s="288"/>
      <c r="Q106" s="288"/>
      <c r="R106" s="288"/>
      <c r="S106" s="288"/>
      <c r="T106" s="288"/>
      <c r="U106" s="288"/>
      <c r="V106" s="254"/>
    </row>
    <row r="107" spans="1:22" x14ac:dyDescent="0.3">
      <c r="A107" s="373" t="s">
        <v>384</v>
      </c>
      <c r="B107" s="20"/>
      <c r="C107" s="194">
        <f>C90+C99+SUM(C101:C106)</f>
        <v>-163.96706586826349</v>
      </c>
      <c r="D107" s="194">
        <f t="shared" ref="D107:F107" si="17">D90+D99+SUM(D101:D106)</f>
        <v>696.80208333333326</v>
      </c>
      <c r="E107" s="194">
        <f>E90+E99+SUM(E101:E106)</f>
        <v>-73.876811594202877</v>
      </c>
      <c r="F107" s="194">
        <f t="shared" si="17"/>
        <v>191.91808873720134</v>
      </c>
      <c r="G107" s="288"/>
      <c r="H107" s="288"/>
      <c r="I107" s="288"/>
      <c r="J107" s="288"/>
      <c r="K107" s="288"/>
      <c r="L107" s="288"/>
      <c r="M107" s="288"/>
      <c r="N107" s="288"/>
      <c r="O107" s="288"/>
      <c r="P107" s="288"/>
      <c r="Q107" s="288"/>
      <c r="R107" s="288"/>
      <c r="S107" s="288"/>
      <c r="T107" s="288"/>
      <c r="U107" s="288"/>
      <c r="V107" s="254"/>
    </row>
    <row r="108" spans="1:22" x14ac:dyDescent="0.3">
      <c r="A108" s="185" t="s">
        <v>385</v>
      </c>
      <c r="B108" s="5"/>
      <c r="C108" s="198"/>
      <c r="D108" s="198"/>
      <c r="E108" s="198"/>
      <c r="F108" s="275"/>
      <c r="G108" s="288"/>
      <c r="H108" s="288"/>
      <c r="I108" s="288"/>
      <c r="J108" s="288"/>
      <c r="K108" s="288"/>
      <c r="L108" s="288"/>
      <c r="M108" s="288"/>
      <c r="N108" s="288"/>
      <c r="O108" s="288"/>
      <c r="P108" s="288"/>
      <c r="Q108" s="288"/>
      <c r="R108" s="288"/>
      <c r="S108" s="288"/>
      <c r="T108" s="288"/>
      <c r="U108" s="288"/>
      <c r="V108" s="254"/>
    </row>
    <row r="109" spans="1:22" x14ac:dyDescent="0.3">
      <c r="A109" s="185"/>
      <c r="B109" s="5"/>
      <c r="C109" s="190"/>
      <c r="D109" s="191"/>
      <c r="E109" s="191"/>
      <c r="F109" s="270"/>
      <c r="G109" s="288"/>
      <c r="H109" s="288"/>
      <c r="I109" s="288"/>
      <c r="J109" s="288"/>
      <c r="K109" s="288"/>
      <c r="L109" s="288"/>
      <c r="M109" s="288"/>
      <c r="N109" s="288"/>
      <c r="O109" s="288"/>
      <c r="P109" s="288"/>
      <c r="Q109" s="288"/>
      <c r="R109" s="288"/>
      <c r="S109" s="288"/>
      <c r="T109" s="288"/>
      <c r="U109" s="288"/>
      <c r="V109" s="254"/>
    </row>
    <row r="110" spans="1:22" x14ac:dyDescent="0.3">
      <c r="A110" s="185" t="s">
        <v>386</v>
      </c>
      <c r="B110" s="5"/>
      <c r="C110" s="190">
        <f>C7-D7+D62</f>
        <v>-107</v>
      </c>
      <c r="D110" s="190">
        <f t="shared" ref="D110:F110" si="18">D7-E7+E62</f>
        <v>-103</v>
      </c>
      <c r="E110" s="190">
        <f t="shared" si="18"/>
        <v>-32</v>
      </c>
      <c r="F110" s="190">
        <f t="shared" si="18"/>
        <v>-151</v>
      </c>
      <c r="G110" s="288"/>
      <c r="H110" s="288"/>
      <c r="I110" s="288"/>
      <c r="J110" s="288"/>
      <c r="K110" s="288"/>
      <c r="L110" s="288"/>
      <c r="M110" s="288"/>
      <c r="N110" s="288"/>
      <c r="O110" s="288"/>
      <c r="P110" s="288"/>
      <c r="Q110" s="288"/>
      <c r="R110" s="288"/>
      <c r="S110" s="288"/>
      <c r="T110" s="288"/>
      <c r="U110" s="288"/>
      <c r="V110" s="254"/>
    </row>
    <row r="111" spans="1:22" x14ac:dyDescent="0.3">
      <c r="A111" s="185" t="s">
        <v>387</v>
      </c>
      <c r="B111" s="5"/>
      <c r="C111" s="190">
        <f>C39-D39</f>
        <v>253</v>
      </c>
      <c r="D111" s="190">
        <f t="shared" ref="D111:F111" si="19">D39-E39</f>
        <v>-47</v>
      </c>
      <c r="E111" s="190">
        <f t="shared" si="19"/>
        <v>-185</v>
      </c>
      <c r="F111" s="190">
        <f t="shared" si="19"/>
        <v>-105</v>
      </c>
      <c r="G111" s="288"/>
      <c r="H111" s="288"/>
      <c r="I111" s="288"/>
      <c r="J111" s="288"/>
      <c r="K111" s="288"/>
      <c r="L111" s="288"/>
      <c r="M111" s="288"/>
      <c r="N111" s="288"/>
      <c r="O111" s="288"/>
      <c r="P111" s="288"/>
      <c r="Q111" s="288"/>
      <c r="R111" s="288"/>
      <c r="S111" s="288"/>
      <c r="T111" s="288"/>
      <c r="U111" s="288"/>
      <c r="V111" s="254"/>
    </row>
    <row r="112" spans="1:22" x14ac:dyDescent="0.3">
      <c r="A112" s="185" t="s">
        <v>404</v>
      </c>
      <c r="B112" s="5"/>
      <c r="C112" s="255">
        <f>-C89</f>
        <v>42.967065868263475</v>
      </c>
      <c r="D112" s="255">
        <f t="shared" ref="D112:F112" si="20">-D89</f>
        <v>47.197916666666664</v>
      </c>
      <c r="E112" s="255">
        <f t="shared" si="20"/>
        <v>29.876811594202898</v>
      </c>
      <c r="F112" s="255">
        <f t="shared" si="20"/>
        <v>32.081911262798634</v>
      </c>
      <c r="G112" s="288"/>
      <c r="H112" s="288"/>
      <c r="I112" s="288"/>
      <c r="J112" s="288"/>
      <c r="K112" s="288"/>
      <c r="L112" s="288"/>
      <c r="M112" s="288"/>
      <c r="N112" s="288"/>
      <c r="O112" s="288"/>
      <c r="P112" s="288"/>
      <c r="Q112" s="288"/>
      <c r="R112" s="288"/>
      <c r="S112" s="288"/>
      <c r="T112" s="288"/>
      <c r="U112" s="288"/>
      <c r="V112" s="254"/>
    </row>
    <row r="113" spans="1:22" x14ac:dyDescent="0.3">
      <c r="A113" s="373" t="s">
        <v>388</v>
      </c>
      <c r="B113" s="20"/>
      <c r="C113" s="194">
        <f>C107+C110+C111+C112</f>
        <v>24.999999999999986</v>
      </c>
      <c r="D113" s="194">
        <f t="shared" ref="D113:F113" si="21">D107+D110+D111+D112</f>
        <v>593.99999999999989</v>
      </c>
      <c r="E113" s="194">
        <f t="shared" si="21"/>
        <v>-261</v>
      </c>
      <c r="F113" s="194">
        <f t="shared" si="21"/>
        <v>-32.000000000000021</v>
      </c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54"/>
    </row>
    <row r="114" spans="1:22" x14ac:dyDescent="0.3">
      <c r="A114" s="185" t="s">
        <v>389</v>
      </c>
      <c r="B114" s="5"/>
      <c r="C114" s="190"/>
      <c r="D114" s="191"/>
      <c r="E114" s="191"/>
      <c r="F114" s="270"/>
      <c r="G114" s="288"/>
      <c r="H114" s="288"/>
      <c r="I114" s="288"/>
      <c r="J114" s="288"/>
      <c r="K114" s="288"/>
      <c r="L114" s="288"/>
      <c r="M114" s="288"/>
      <c r="N114" s="288"/>
      <c r="O114" s="288"/>
      <c r="P114" s="288"/>
      <c r="Q114" s="288"/>
      <c r="R114" s="288"/>
      <c r="S114" s="288"/>
      <c r="T114" s="288"/>
      <c r="U114" s="288"/>
      <c r="V114" s="254"/>
    </row>
    <row r="115" spans="1:22" x14ac:dyDescent="0.3">
      <c r="A115" s="185"/>
      <c r="B115" s="5"/>
      <c r="C115" s="196"/>
      <c r="D115" s="197"/>
      <c r="E115" s="197"/>
      <c r="F115" s="277"/>
      <c r="G115" s="288"/>
      <c r="H115" s="288"/>
      <c r="I115" s="288"/>
      <c r="J115" s="288"/>
      <c r="K115" s="288"/>
      <c r="L115" s="288"/>
      <c r="M115" s="288"/>
      <c r="N115" s="288"/>
      <c r="O115" s="288"/>
      <c r="P115" s="288"/>
      <c r="Q115" s="288"/>
      <c r="R115" s="288"/>
      <c r="S115" s="288"/>
      <c r="T115" s="288"/>
      <c r="U115" s="288"/>
      <c r="V115" s="254"/>
    </row>
    <row r="116" spans="1:22" x14ac:dyDescent="0.3">
      <c r="A116" s="185" t="s">
        <v>390</v>
      </c>
      <c r="B116" s="5"/>
      <c r="C116" s="197">
        <f>C35-D35-D71</f>
        <v>105</v>
      </c>
      <c r="D116" s="197">
        <f t="shared" ref="D116:E116" si="22">D35-E35-E71</f>
        <v>-557</v>
      </c>
      <c r="E116" s="197">
        <f t="shared" si="22"/>
        <v>139</v>
      </c>
      <c r="F116" s="197">
        <f>F35-G35-G71</f>
        <v>-265</v>
      </c>
      <c r="G116" s="288"/>
      <c r="H116" s="288"/>
      <c r="I116" s="288"/>
      <c r="J116" s="288"/>
      <c r="K116" s="288"/>
      <c r="L116" s="288"/>
      <c r="M116" s="288"/>
      <c r="N116" s="288"/>
      <c r="O116" s="288"/>
      <c r="P116" s="288"/>
      <c r="Q116" s="288"/>
      <c r="R116" s="288"/>
      <c r="S116" s="288"/>
      <c r="T116" s="288"/>
      <c r="U116" s="288"/>
      <c r="V116" s="254"/>
    </row>
    <row r="117" spans="1:22" x14ac:dyDescent="0.3">
      <c r="A117" s="326" t="s">
        <v>391</v>
      </c>
      <c r="B117" s="5"/>
      <c r="C117" s="278">
        <f t="shared" ref="C117" si="23">C113+C116</f>
        <v>130</v>
      </c>
      <c r="D117" s="278">
        <f t="shared" ref="D117" si="24">D113+D116</f>
        <v>36.999999999999886</v>
      </c>
      <c r="E117" s="278">
        <f t="shared" ref="E117" si="25">E113+E116</f>
        <v>-122</v>
      </c>
      <c r="F117" s="278">
        <f t="shared" ref="F117" si="26">F113+F116</f>
        <v>-297</v>
      </c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54"/>
    </row>
    <row r="118" spans="1:22" x14ac:dyDescent="0.3">
      <c r="A118" s="185"/>
      <c r="B118" s="5"/>
      <c r="C118" s="196"/>
      <c r="D118" s="197"/>
      <c r="E118" s="197"/>
      <c r="F118" s="277"/>
      <c r="G118" s="254"/>
      <c r="H118" s="254"/>
      <c r="I118" s="254"/>
      <c r="J118" s="254"/>
      <c r="K118" s="254"/>
      <c r="L118" s="254"/>
      <c r="M118" s="254"/>
      <c r="N118" s="254"/>
      <c r="O118" s="254"/>
      <c r="P118" s="254"/>
      <c r="Q118" s="254"/>
      <c r="R118" s="254"/>
      <c r="S118" s="254"/>
      <c r="T118" s="254"/>
      <c r="U118" s="254"/>
      <c r="V118" s="254"/>
    </row>
    <row r="119" spans="1:22" x14ac:dyDescent="0.3">
      <c r="A119" s="185" t="s">
        <v>392</v>
      </c>
      <c r="B119" s="5"/>
      <c r="C119" s="196">
        <f>C41</f>
        <v>559</v>
      </c>
      <c r="D119" s="196">
        <f t="shared" ref="D119:F119" si="27">D41</f>
        <v>689</v>
      </c>
      <c r="E119" s="196">
        <f t="shared" si="27"/>
        <v>726</v>
      </c>
      <c r="F119" s="196">
        <f t="shared" si="27"/>
        <v>604</v>
      </c>
      <c r="G119" s="254"/>
      <c r="H119" s="254"/>
      <c r="I119" s="254"/>
      <c r="J119" s="254"/>
      <c r="K119" s="254"/>
      <c r="L119" s="254"/>
      <c r="M119" s="254"/>
      <c r="N119" s="254"/>
      <c r="O119" s="254"/>
      <c r="P119" s="254"/>
      <c r="Q119" s="254"/>
      <c r="R119" s="254"/>
      <c r="S119" s="254"/>
      <c r="T119" s="254"/>
      <c r="U119" s="254"/>
      <c r="V119" s="254"/>
    </row>
    <row r="120" spans="1:22" x14ac:dyDescent="0.3">
      <c r="A120" s="185" t="s">
        <v>393</v>
      </c>
      <c r="B120" s="5"/>
      <c r="C120" s="196">
        <f>D41</f>
        <v>689</v>
      </c>
      <c r="D120" s="196">
        <f t="shared" ref="D120:F120" si="28">E41</f>
        <v>726</v>
      </c>
      <c r="E120" s="196">
        <f t="shared" si="28"/>
        <v>604</v>
      </c>
      <c r="F120" s="196">
        <f t="shared" si="28"/>
        <v>307</v>
      </c>
      <c r="G120" s="254"/>
      <c r="H120" s="254"/>
      <c r="I120" s="254"/>
      <c r="J120" s="254"/>
      <c r="K120" s="254"/>
      <c r="L120" s="254"/>
      <c r="M120" s="254"/>
      <c r="N120" s="254"/>
      <c r="O120" s="254"/>
      <c r="P120" s="254"/>
      <c r="Q120" s="254"/>
      <c r="R120" s="254"/>
      <c r="S120" s="254"/>
      <c r="T120" s="254"/>
      <c r="U120" s="254"/>
      <c r="V120" s="254"/>
    </row>
    <row r="121" spans="1:22" ht="15" thickBot="1" x14ac:dyDescent="0.35">
      <c r="A121" s="374" t="s">
        <v>394</v>
      </c>
      <c r="B121" s="280"/>
      <c r="C121" s="281">
        <f>C120-C119</f>
        <v>130</v>
      </c>
      <c r="D121" s="281">
        <f t="shared" ref="D121:F121" si="29">D120-D119</f>
        <v>37</v>
      </c>
      <c r="E121" s="281">
        <f t="shared" si="29"/>
        <v>-122</v>
      </c>
      <c r="F121" s="281">
        <f t="shared" si="29"/>
        <v>-297</v>
      </c>
      <c r="G121" s="254"/>
      <c r="H121" s="254"/>
      <c r="I121" s="254"/>
      <c r="J121" s="254"/>
      <c r="K121" s="254"/>
      <c r="L121" s="254"/>
      <c r="M121" s="254"/>
      <c r="N121" s="254"/>
      <c r="O121" s="254"/>
      <c r="P121" s="254"/>
      <c r="Q121" s="254"/>
      <c r="R121" s="254"/>
      <c r="S121" s="254"/>
      <c r="T121" s="254"/>
      <c r="U121" s="254"/>
      <c r="V121" s="254"/>
    </row>
    <row r="122" spans="1:22" ht="15" thickBot="1" x14ac:dyDescent="0.35">
      <c r="A122" s="267"/>
      <c r="B122" s="55"/>
      <c r="C122" s="55"/>
      <c r="D122" s="55"/>
      <c r="E122" s="55"/>
      <c r="F122" s="300"/>
    </row>
    <row r="123" spans="1:22" ht="15" thickBot="1" x14ac:dyDescent="0.35">
      <c r="A123" s="283" t="s">
        <v>405</v>
      </c>
      <c r="B123" s="284"/>
      <c r="C123" s="378">
        <f t="shared" ref="C123:E123" si="30">C117-C121</f>
        <v>0</v>
      </c>
      <c r="D123" s="381">
        <f>D117-D121</f>
        <v>-1.1368683772161603E-13</v>
      </c>
      <c r="E123" s="378">
        <f t="shared" si="30"/>
        <v>0</v>
      </c>
      <c r="F123" s="378">
        <f>F117-F121</f>
        <v>0</v>
      </c>
    </row>
    <row r="125" spans="1:22" x14ac:dyDescent="0.3">
      <c r="C125" s="379"/>
    </row>
    <row r="126" spans="1:22" x14ac:dyDescent="0.3">
      <c r="C126" s="379"/>
    </row>
    <row r="127" spans="1:22" x14ac:dyDescent="0.3">
      <c r="C127" s="379"/>
    </row>
    <row r="128" spans="1:22" x14ac:dyDescent="0.3">
      <c r="C128" s="379"/>
    </row>
    <row r="129" spans="2:22" x14ac:dyDescent="0.3">
      <c r="C129" s="379"/>
    </row>
    <row r="130" spans="2:22" x14ac:dyDescent="0.3">
      <c r="C130" s="379"/>
    </row>
    <row r="131" spans="2:22" x14ac:dyDescent="0.3">
      <c r="C131" s="380"/>
    </row>
    <row r="132" spans="2:22" x14ac:dyDescent="0.3">
      <c r="C132" s="380"/>
    </row>
    <row r="133" spans="2:22" x14ac:dyDescent="0.3">
      <c r="C133" s="254"/>
    </row>
    <row r="134" spans="2:22" x14ac:dyDescent="0.3"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</row>
    <row r="135" spans="2:22" ht="15.6" x14ac:dyDescent="0.3">
      <c r="B135" s="376"/>
      <c r="C135" s="288"/>
      <c r="D135" s="288"/>
      <c r="E135" s="288"/>
      <c r="F135" s="288"/>
      <c r="G135" s="288"/>
      <c r="H135" s="288"/>
      <c r="I135" s="288"/>
      <c r="J135" s="288"/>
      <c r="K135" s="288"/>
      <c r="L135" s="288"/>
      <c r="M135" s="288"/>
      <c r="N135" s="288"/>
      <c r="O135" s="288"/>
      <c r="P135" s="288"/>
      <c r="Q135" s="288"/>
      <c r="R135" s="288"/>
      <c r="S135" s="288"/>
      <c r="T135" s="288"/>
      <c r="U135" s="288"/>
      <c r="V135" s="288"/>
    </row>
    <row r="136" spans="2:22" x14ac:dyDescent="0.3">
      <c r="B136" s="288"/>
      <c r="C136" s="288"/>
      <c r="D136" s="288"/>
      <c r="E136" s="288"/>
      <c r="F136" s="288"/>
      <c r="G136" s="288"/>
      <c r="H136" s="288"/>
      <c r="I136" s="288"/>
      <c r="J136" s="288"/>
      <c r="K136" s="288"/>
      <c r="L136" s="288"/>
      <c r="M136" s="288"/>
      <c r="N136" s="288"/>
      <c r="O136" s="288"/>
      <c r="P136" s="288"/>
      <c r="Q136" s="288"/>
      <c r="R136" s="288"/>
      <c r="S136" s="288"/>
      <c r="T136" s="288"/>
      <c r="U136" s="288"/>
      <c r="V136" s="288"/>
    </row>
    <row r="137" spans="2:22" x14ac:dyDescent="0.3">
      <c r="B137" s="288"/>
      <c r="C137" s="288"/>
      <c r="D137" s="377"/>
      <c r="E137" s="377"/>
      <c r="F137" s="371"/>
      <c r="G137" s="371"/>
      <c r="H137" s="321"/>
      <c r="I137" s="288"/>
      <c r="J137" s="321"/>
      <c r="K137" s="321"/>
      <c r="L137" s="288"/>
      <c r="M137" s="321"/>
      <c r="N137" s="321"/>
      <c r="O137" s="288"/>
      <c r="P137" s="321"/>
      <c r="Q137" s="321"/>
      <c r="R137" s="288"/>
      <c r="S137" s="321"/>
      <c r="T137" s="321"/>
      <c r="U137" s="288"/>
      <c r="V137" s="288"/>
    </row>
    <row r="138" spans="2:22" x14ac:dyDescent="0.3">
      <c r="B138" s="288"/>
      <c r="C138" s="288"/>
      <c r="D138" s="288"/>
      <c r="E138" s="375"/>
      <c r="F138" s="288"/>
      <c r="G138" s="288"/>
      <c r="H138" s="288"/>
      <c r="I138" s="288"/>
      <c r="J138" s="288"/>
      <c r="K138" s="288"/>
      <c r="L138" s="288"/>
      <c r="M138" s="288"/>
      <c r="N138" s="288"/>
      <c r="O138" s="288"/>
      <c r="P138" s="288"/>
      <c r="Q138" s="288"/>
      <c r="R138" s="288"/>
      <c r="S138" s="288"/>
      <c r="T138" s="288"/>
      <c r="U138" s="288"/>
      <c r="V138" s="288"/>
    </row>
    <row r="139" spans="2:22" x14ac:dyDescent="0.3">
      <c r="B139" s="288"/>
      <c r="C139" s="288"/>
      <c r="D139" s="288"/>
      <c r="E139" s="375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</row>
    <row r="140" spans="2:22" x14ac:dyDescent="0.3">
      <c r="B140" s="288"/>
      <c r="C140" s="288"/>
      <c r="D140" s="288"/>
      <c r="E140" s="375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</row>
    <row r="141" spans="2:22" x14ac:dyDescent="0.3">
      <c r="B141" s="288"/>
      <c r="C141" s="288"/>
      <c r="D141" s="288"/>
      <c r="E141" s="375"/>
      <c r="F141" s="288"/>
      <c r="G141" s="288"/>
      <c r="H141" s="288"/>
      <c r="I141" s="288"/>
      <c r="J141" s="288"/>
      <c r="K141" s="288"/>
      <c r="L141" s="288"/>
      <c r="M141" s="288"/>
      <c r="N141" s="288"/>
      <c r="O141" s="288"/>
      <c r="P141" s="288"/>
      <c r="Q141" s="288"/>
      <c r="R141" s="288"/>
      <c r="S141" s="288"/>
      <c r="T141" s="288"/>
      <c r="U141" s="288"/>
      <c r="V141" s="288"/>
    </row>
    <row r="142" spans="2:22" x14ac:dyDescent="0.3">
      <c r="B142" s="288"/>
      <c r="C142" s="288"/>
      <c r="D142" s="288"/>
      <c r="E142" s="375"/>
      <c r="F142" s="288"/>
      <c r="G142" s="288"/>
      <c r="H142" s="288"/>
      <c r="I142" s="288"/>
      <c r="J142" s="288"/>
      <c r="K142" s="288"/>
      <c r="L142" s="288"/>
      <c r="M142" s="288"/>
      <c r="N142" s="288"/>
      <c r="O142" s="288"/>
      <c r="P142" s="288"/>
      <c r="Q142" s="288"/>
      <c r="R142" s="288"/>
      <c r="S142" s="288"/>
      <c r="T142" s="288"/>
      <c r="U142" s="288"/>
      <c r="V142" s="288"/>
    </row>
    <row r="143" spans="2:22" x14ac:dyDescent="0.3">
      <c r="B143" s="288"/>
      <c r="C143" s="288"/>
      <c r="D143" s="288"/>
      <c r="E143" s="375"/>
      <c r="F143" s="288"/>
      <c r="G143" s="288"/>
      <c r="H143" s="288"/>
      <c r="I143" s="288"/>
      <c r="J143" s="288"/>
      <c r="K143" s="288"/>
      <c r="L143" s="288"/>
      <c r="M143" s="288"/>
      <c r="N143" s="288"/>
      <c r="O143" s="288"/>
      <c r="P143" s="288"/>
      <c r="Q143" s="288"/>
      <c r="R143" s="288"/>
      <c r="S143" s="288"/>
      <c r="T143" s="288"/>
      <c r="U143" s="288"/>
      <c r="V143" s="288"/>
    </row>
    <row r="144" spans="2:22" x14ac:dyDescent="0.3">
      <c r="B144" s="288"/>
      <c r="C144" s="288"/>
      <c r="D144" s="288"/>
      <c r="E144" s="375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</row>
    <row r="145" spans="2:22" x14ac:dyDescent="0.3">
      <c r="B145" s="288"/>
      <c r="C145" s="288"/>
      <c r="D145" s="288"/>
      <c r="E145" s="375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</row>
    <row r="146" spans="2:22" x14ac:dyDescent="0.3">
      <c r="B146" s="288"/>
      <c r="C146" s="288"/>
      <c r="D146" s="288"/>
      <c r="E146" s="375"/>
      <c r="F146" s="288"/>
      <c r="G146" s="288"/>
      <c r="H146" s="288"/>
      <c r="I146" s="288"/>
      <c r="J146" s="288"/>
      <c r="K146" s="288"/>
      <c r="L146" s="288"/>
      <c r="M146" s="288"/>
      <c r="N146" s="288"/>
      <c r="O146" s="288"/>
      <c r="P146" s="288"/>
      <c r="Q146" s="288"/>
      <c r="R146" s="288"/>
      <c r="S146" s="288"/>
      <c r="T146" s="288"/>
      <c r="U146" s="288"/>
      <c r="V146" s="288"/>
    </row>
    <row r="147" spans="2:22" x14ac:dyDescent="0.3">
      <c r="B147" s="288"/>
      <c r="C147" s="288"/>
      <c r="D147" s="288"/>
      <c r="E147" s="375"/>
      <c r="F147" s="288"/>
      <c r="G147" s="288"/>
      <c r="H147" s="288"/>
      <c r="I147" s="288"/>
      <c r="J147" s="288"/>
      <c r="K147" s="288"/>
      <c r="L147" s="288"/>
      <c r="M147" s="288"/>
      <c r="N147" s="288"/>
      <c r="O147" s="288"/>
      <c r="P147" s="288"/>
      <c r="Q147" s="288"/>
      <c r="R147" s="288"/>
      <c r="S147" s="288"/>
      <c r="T147" s="288"/>
      <c r="U147" s="288"/>
      <c r="V147" s="288"/>
    </row>
    <row r="148" spans="2:22" x14ac:dyDescent="0.3">
      <c r="B148" s="288"/>
      <c r="C148" s="288"/>
      <c r="D148" s="288"/>
      <c r="E148" s="375"/>
      <c r="F148" s="288"/>
      <c r="G148" s="288"/>
      <c r="H148" s="288"/>
      <c r="I148" s="288"/>
      <c r="J148" s="288"/>
      <c r="K148" s="288"/>
      <c r="L148" s="288"/>
      <c r="M148" s="288"/>
      <c r="N148" s="288"/>
      <c r="O148" s="288"/>
      <c r="P148" s="288"/>
      <c r="Q148" s="288"/>
      <c r="R148" s="288"/>
      <c r="S148" s="288"/>
      <c r="T148" s="288"/>
      <c r="U148" s="288"/>
      <c r="V148" s="288"/>
    </row>
    <row r="149" spans="2:22" x14ac:dyDescent="0.3">
      <c r="B149" s="288"/>
      <c r="C149" s="288"/>
      <c r="D149" s="288"/>
      <c r="E149" s="375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</row>
    <row r="150" spans="2:22" x14ac:dyDescent="0.3">
      <c r="B150" s="288"/>
      <c r="C150" s="288"/>
      <c r="D150" s="288"/>
      <c r="E150" s="375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</row>
    <row r="151" spans="2:22" x14ac:dyDescent="0.3">
      <c r="B151" s="288"/>
      <c r="C151" s="288"/>
      <c r="D151" s="288"/>
      <c r="E151" s="375"/>
      <c r="F151" s="288"/>
      <c r="G151" s="288"/>
      <c r="H151" s="288"/>
      <c r="I151" s="288"/>
      <c r="J151" s="288"/>
      <c r="K151" s="288"/>
      <c r="L151" s="288"/>
      <c r="M151" s="288"/>
      <c r="N151" s="288"/>
      <c r="O151" s="288"/>
      <c r="P151" s="288"/>
      <c r="Q151" s="288"/>
      <c r="R151" s="288"/>
      <c r="S151" s="288"/>
      <c r="T151" s="288"/>
      <c r="U151" s="288"/>
      <c r="V151" s="288"/>
    </row>
    <row r="152" spans="2:22" x14ac:dyDescent="0.3">
      <c r="B152" s="288"/>
      <c r="C152" s="288"/>
      <c r="D152" s="288"/>
      <c r="E152" s="375"/>
      <c r="F152" s="288"/>
      <c r="G152" s="288"/>
      <c r="H152" s="288"/>
      <c r="I152" s="288"/>
      <c r="J152" s="288"/>
      <c r="K152" s="288"/>
      <c r="L152" s="288"/>
      <c r="M152" s="288"/>
      <c r="N152" s="288"/>
      <c r="O152" s="288"/>
      <c r="P152" s="288"/>
      <c r="Q152" s="288"/>
      <c r="R152" s="288"/>
      <c r="S152" s="288"/>
      <c r="T152" s="288"/>
      <c r="U152" s="288"/>
      <c r="V152" s="288"/>
    </row>
    <row r="153" spans="2:22" x14ac:dyDescent="0.3"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88"/>
      <c r="P153" s="288"/>
      <c r="Q153" s="288"/>
      <c r="R153" s="288"/>
      <c r="S153" s="288"/>
      <c r="T153" s="288"/>
      <c r="U153" s="288"/>
      <c r="V153" s="288"/>
    </row>
  </sheetData>
  <mergeCells count="4">
    <mergeCell ref="A1:B1"/>
    <mergeCell ref="B2:G2"/>
    <mergeCell ref="C49:G49"/>
    <mergeCell ref="C84:F8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7427-164C-4835-9C1F-A956DD7B9DF4}">
  <dimension ref="A11:M54"/>
  <sheetViews>
    <sheetView topLeftCell="A7" workbookViewId="0">
      <selection activeCell="A32" sqref="A32"/>
    </sheetView>
  </sheetViews>
  <sheetFormatPr defaultRowHeight="14.4" x14ac:dyDescent="0.3"/>
  <cols>
    <col min="1" max="1" width="86.33203125" customWidth="1"/>
    <col min="2" max="2" width="42.33203125" bestFit="1" customWidth="1"/>
    <col min="3" max="3" width="31.6640625" customWidth="1"/>
    <col min="4" max="4" width="12" bestFit="1" customWidth="1"/>
    <col min="5" max="5" width="14" bestFit="1" customWidth="1"/>
    <col min="6" max="6" width="12" bestFit="1" customWidth="1"/>
    <col min="7" max="7" width="11.109375" bestFit="1" customWidth="1"/>
  </cols>
  <sheetData>
    <row r="11" spans="1:13" x14ac:dyDescent="0.3">
      <c r="A11" s="106" t="s">
        <v>307</v>
      </c>
      <c r="B11" s="103" t="s">
        <v>308</v>
      </c>
      <c r="C11" s="105">
        <f ca="1">#REF!*(1-0.279)/'Balance sheet'!F93</f>
        <v>1.5816243240485663E-2</v>
      </c>
      <c r="D11" s="105">
        <f ca="1">#REF!*(1-0.279)/'Balance sheet'!G93</f>
        <v>3.0750264754019443E-2</v>
      </c>
      <c r="E11" s="105">
        <f ca="1">#REF!*(1-0.279)/'Balance sheet'!H93</f>
        <v>5.1453412403256606E-2</v>
      </c>
      <c r="F11" s="105">
        <f ca="1">#REF!*(1-0.279)/'Balance sheet'!I93</f>
        <v>4.1028549308042193E-2</v>
      </c>
      <c r="G11" s="105">
        <f ca="1">#REF!*(1-0.279)/'Balance sheet'!J93</f>
        <v>4.6184335664335663E-2</v>
      </c>
      <c r="H11" s="104"/>
      <c r="I11" s="104"/>
      <c r="J11" s="104"/>
      <c r="K11" s="104"/>
      <c r="L11" s="104"/>
      <c r="M11" s="104"/>
    </row>
    <row r="13" spans="1:13" x14ac:dyDescent="0.3">
      <c r="A13" s="106" t="s">
        <v>310</v>
      </c>
      <c r="B13" t="s">
        <v>309</v>
      </c>
      <c r="C13" s="105">
        <f ca="1">('Income Statement'!E77+('Income Statement'!J48*(1-0.279)))/('Balance sheet'!F93)</f>
        <v>1.7747168656259565E-2</v>
      </c>
      <c r="D13" s="105">
        <f ca="1">('Income Statement'!F77+'Income Statement'!K48)*(1-0.279)/('Balance sheet'!G93)</f>
        <v>2.5405410609415612E-2</v>
      </c>
      <c r="E13" s="105">
        <f ca="1">('Income Statement'!G77+'Income Statement'!L48)*(1-0.279)/('Balance sheet'!H93)</f>
        <v>2.9422655543270681E-2</v>
      </c>
      <c r="F13" s="105">
        <f ca="1">('Income Statement'!H77+'Income Statement'!M48)*(1-0.279)/('Balance sheet'!I93)</f>
        <v>3.1538952869447398E-2</v>
      </c>
      <c r="G13" s="105">
        <f ca="1">('Income Statement'!I77+'Income Statement'!N48)*(1-0.279)/('Balance sheet'!J93)</f>
        <v>3.273911421911422E-2</v>
      </c>
      <c r="I13" t="s">
        <v>311</v>
      </c>
    </row>
    <row r="15" spans="1:13" x14ac:dyDescent="0.3">
      <c r="B15" s="103"/>
    </row>
    <row r="17" spans="1:12" x14ac:dyDescent="0.3">
      <c r="A17" t="s">
        <v>313</v>
      </c>
      <c r="B17" s="103" t="s">
        <v>312</v>
      </c>
      <c r="C17">
        <f>('Income Statement'!F39*(1-0.279))/('Balance sheet'!F110+'Balance sheet'!F119)</f>
        <v>5.0315532451165719E-2</v>
      </c>
      <c r="D17">
        <f>'Income Statement'!G39*(1-0.279)/('Balance sheet'!G110+'Balance sheet'!G119)</f>
        <v>7.6233804914370804E-2</v>
      </c>
      <c r="E17">
        <f>'Income Statement'!H39*(1-0.279)/('Balance sheet'!P100+'Balance sheet'!P109)</f>
        <v>-6815.3421254064751</v>
      </c>
      <c r="F17">
        <f>'Income Statement'!I39*(1-0.279)/('Balance sheet'!H110+'Balance sheet'!H119)</f>
        <v>7.6040374577832359E-2</v>
      </c>
      <c r="G17">
        <f>'Income Statement'!J38*(1-0.279)/('Balance sheet'!Q100+'Balance sheet'!Q109)</f>
        <v>0</v>
      </c>
      <c r="H17">
        <f>'Income Statement'!K38*(1-0.279)/('Balance sheet'!I110+'Balance sheet'!I119)</f>
        <v>0</v>
      </c>
      <c r="I17">
        <f>'Income Statement'!L38*(1-0.279)/('Balance sheet'!R100+'Balance sheet'!R109)</f>
        <v>0</v>
      </c>
      <c r="J17">
        <f>'Income Statement'!M38*(1-0.279)/('Balance sheet'!J110+'Balance sheet'!J119)</f>
        <v>0</v>
      </c>
      <c r="K17">
        <f>'Income Statement'!N38*(1-0.279)/('Balance sheet'!S100+'Balance sheet'!S109)</f>
        <v>0</v>
      </c>
      <c r="L17">
        <f>'Income Statement'!O38*(1-0.279)/('Balance sheet'!T100+'Balance sheet'!T109)</f>
        <v>0</v>
      </c>
    </row>
    <row r="18" spans="1:12" x14ac:dyDescent="0.3">
      <c r="A18" t="s">
        <v>314</v>
      </c>
      <c r="B18" t="s">
        <v>315</v>
      </c>
      <c r="C18">
        <f>'Income Statement'!F39*(1-0.279)/(('Balance sheet'!F119+'Balance sheet'!G119)/2 + ('Balance sheet'!F110+'Balance sheet'!G110)/2)</f>
        <v>4.8901936767970597E-2</v>
      </c>
      <c r="D18">
        <f>'Income Statement'!G39*(1-0.279)/(('Balance sheet'!G119+'Balance sheet'!P109)/2 + ('Balance sheet'!G110+'Balance sheet'!P100)/2)</f>
        <v>0.15246902223790673</v>
      </c>
      <c r="E18">
        <f>'Income Statement'!H39*(1-0.279)/(('Balance sheet'!P109+'Balance sheet'!H119)/2 + ('Balance sheet'!P100+'Balance sheet'!H110)/2)</f>
        <v>0.13016642569783449</v>
      </c>
      <c r="F18">
        <f>'Income Statement'!I39*(1-0.279)/(('Balance sheet'!H119+'Balance sheet'!Q109)/2 + ('Balance sheet'!H110+'Balance sheet'!Q100)/2)</f>
        <v>0.15208024499779024</v>
      </c>
      <c r="G18">
        <f>'Income Statement'!J38*(1-0.279)/(('Balance sheet'!Q109+'Balance sheet'!I119)/2 + ('Balance sheet'!Q100+'Balance sheet'!I110)/2)</f>
        <v>0</v>
      </c>
      <c r="H18">
        <f>'Income Statement'!K38*(1-0.279)/(('Balance sheet'!I119+'Balance sheet'!R109)/2 + ('Balance sheet'!I110+'Balance sheet'!R100)/2)</f>
        <v>0</v>
      </c>
      <c r="I18">
        <f>'Income Statement'!L38*(1-0.279)/(('Balance sheet'!R109+'Balance sheet'!J119)/2 + ('Balance sheet'!R100+'Balance sheet'!J110)/2)</f>
        <v>0</v>
      </c>
      <c r="J18">
        <f>'Income Statement'!M38*(1-0.279)/(('Balance sheet'!J119+'Balance sheet'!S109)/2 + ('Balance sheet'!J110+'Balance sheet'!S100)/2)</f>
        <v>0</v>
      </c>
    </row>
    <row r="19" spans="1:12" x14ac:dyDescent="0.3">
      <c r="A19" t="s">
        <v>316</v>
      </c>
      <c r="B19" s="103" t="s">
        <v>317</v>
      </c>
      <c r="C19">
        <f>('Income Statement'!F39*(1-0.279)/'Income Statement'!E10) * ('Income Statement'!E10/('Balance sheet'!F110+'Balance sheet'!F119))</f>
        <v>5.0315532451165712E-2</v>
      </c>
      <c r="D19">
        <f>('Income Statement'!G39*(1-0.279)/'Income Statement'!F10) * ('Income Statement'!F10/('Balance sheet'!G110+'Balance sheet'!G119))</f>
        <v>7.6233804914370804E-2</v>
      </c>
      <c r="E19">
        <f>('Income Statement'!H39*(1-0.279)/'Income Statement'!G10) * ('Income Statement'!G10/('Balance sheet'!P100+'Balance sheet'!P109))</f>
        <v>-6815.3421254064751</v>
      </c>
      <c r="F19">
        <f>('Income Statement'!I39*(1-0.279)/'Income Statement'!H10) * ('Income Statement'!H10/('Balance sheet'!H110+'Balance sheet'!H119))</f>
        <v>7.6040374577832359E-2</v>
      </c>
      <c r="G19">
        <f>('Income Statement'!J38*(1-0.279)/'Income Statement'!I10) * ('Income Statement'!I10/('Balance sheet'!Q100+'Balance sheet'!Q109))</f>
        <v>0</v>
      </c>
      <c r="H19" t="e">
        <f>('Income Statement'!K38*(1-0.279)/'Income Statement'!J10) * ('Income Statement'!J10/('Balance sheet'!I110+'Balance sheet'!I119))</f>
        <v>#DIV/0!</v>
      </c>
      <c r="I19" t="e">
        <f>('Income Statement'!L38*(1-0.279)/'Income Statement'!K10) * ('Income Statement'!K10/('Balance sheet'!R100+'Balance sheet'!R109))</f>
        <v>#DIV/0!</v>
      </c>
    </row>
    <row r="20" spans="1:12" x14ac:dyDescent="0.3">
      <c r="B20" t="s">
        <v>318</v>
      </c>
    </row>
    <row r="22" spans="1:12" x14ac:dyDescent="0.3">
      <c r="A22" s="103" t="s">
        <v>319</v>
      </c>
      <c r="C22">
        <f>C19</f>
        <v>5.0315532451165712E-2</v>
      </c>
    </row>
    <row r="24" spans="1:12" x14ac:dyDescent="0.3">
      <c r="A24" s="103" t="s">
        <v>320</v>
      </c>
      <c r="B24" t="s">
        <v>321</v>
      </c>
      <c r="C24" s="105">
        <f>'Income Statement'!E77/'Balance sheet'!F108</f>
        <v>2.7588813303099018E-2</v>
      </c>
      <c r="D24" s="105">
        <f>'Income Statement'!F77/'Balance sheet'!G108</f>
        <v>8.5106382978723402E-2</v>
      </c>
      <c r="E24" s="105">
        <f>'Income Statement'!G77/'Balance sheet'!P98</f>
        <v>5254.7236842105258</v>
      </c>
      <c r="F24" s="105">
        <f>'Income Statement'!H77/'Balance sheet'!H108</f>
        <v>0.11952744961779013</v>
      </c>
      <c r="G24" s="105">
        <f>'Income Statement'!I77/'Balance sheet'!J108</f>
        <v>0.11827303131650958</v>
      </c>
      <c r="H24" s="105">
        <f>'Income Statement'!O76/'Balance sheet'!I108</f>
        <v>0</v>
      </c>
    </row>
    <row r="25" spans="1:12" x14ac:dyDescent="0.3">
      <c r="A25" t="s">
        <v>322</v>
      </c>
      <c r="C25" s="105">
        <f>'Income Statement'!E77/(('Balance sheet'!F110+'Balance sheet'!G110)/2)</f>
        <v>2.2330988069746101E-2</v>
      </c>
      <c r="D25" s="105">
        <f>'Income Statement'!F77/(('Balance sheet'!G110+'Balance sheet'!H110)/2)</f>
        <v>7.3744437380801012E-2</v>
      </c>
      <c r="E25" s="105">
        <f>'Income Statement'!G77/(('Balance sheet'!H110+'Balance sheet'!I110)/2)</f>
        <v>8.9657282741738065E-2</v>
      </c>
      <c r="F25" s="105">
        <f>'Income Statement'!H77/(('Balance sheet'!I110+'Balance sheet'!J110)/2)</f>
        <v>9.5901867856147197E-2</v>
      </c>
      <c r="G25" s="105">
        <f>'Income Statement'!I77/(('Balance sheet'!J110+'Balance sheet'!K107)/2)</f>
        <v>0.21309230347849903</v>
      </c>
      <c r="H25" s="105" t="e">
        <f>'Income Statement'!J77/(('Balance sheet'!K107+'Balance sheet'!L107)/2)</f>
        <v>#DIV/0!</v>
      </c>
      <c r="I25" s="105" t="e">
        <f>'Income Statement'!K77/(('Balance sheet'!L107+'Balance sheet'!M103)/2)</f>
        <v>#DIV/0!</v>
      </c>
    </row>
    <row r="27" spans="1:12" x14ac:dyDescent="0.3">
      <c r="A27" s="103" t="s">
        <v>323</v>
      </c>
      <c r="B27" t="s">
        <v>324</v>
      </c>
      <c r="C27" s="102">
        <f>C19+('Balance sheet'!F119/'Balance sheet'!F110)*(C19-('Income Statement'!J48/'Balance sheet'!F119)*(1-0.279))</f>
        <v>9.8006443694384771E-2</v>
      </c>
      <c r="D27" s="102">
        <f>D19+('Balance sheet'!G119/'Balance sheet'!G110)*(D19-('Income Statement'!K48/'Balance sheet'!G119)*(1-0.279))</f>
        <v>0.15611771881671241</v>
      </c>
      <c r="E27" s="102">
        <f>E19+('Balance sheet'!H119/'Balance sheet'!H110)*(E19-('Income Statement'!L48/'Balance sheet'!H119)*(1-0.279))</f>
        <v>-14734.529905375963</v>
      </c>
      <c r="F27" s="102">
        <f>F19+('Balance sheet'!I119/'Balance sheet'!I110)*(F19-('Income Statement'!M48/'Balance sheet'!I119)*(1-0.279))</f>
        <v>0.14044698194094668</v>
      </c>
      <c r="G27" s="102">
        <f>G19+('Balance sheet'!J119/'Balance sheet'!J110)*(G19-('Income Statement'!N48/'Balance sheet'!J119)*(1-0.279))</f>
        <v>0</v>
      </c>
      <c r="H27" s="102" t="e">
        <f>H19+('Balance sheet'!K116/'Balance sheet'!K107)*(H19-('Income Statement'!O48/'Balance sheet'!K116)*(1-0.279))</f>
        <v>#DIV/0!</v>
      </c>
      <c r="I27" s="102" t="e">
        <f>I19+('Balance sheet'!L116/'Balance sheet'!L107)*(I19-('Income Statement'!P48/'Balance sheet'!L116)*(1-0.279))</f>
        <v>#DIV/0!</v>
      </c>
      <c r="J27" s="102" t="e">
        <f>J19+('Balance sheet'!M112/'Balance sheet'!M103)*(J19-('Income Statement'!Q48/'Balance sheet'!M112)*(1-0.279))</f>
        <v>#DIV/0!</v>
      </c>
    </row>
    <row r="29" spans="1:12" x14ac:dyDescent="0.3">
      <c r="C29">
        <f>('Balance sheet'!F119/'Balance sheet'!F110)</f>
        <v>0.94783675974225223</v>
      </c>
    </row>
    <row r="34" spans="1:11" x14ac:dyDescent="0.3">
      <c r="A34" t="s">
        <v>325</v>
      </c>
      <c r="D34">
        <f>('Balance sheet'!F89-'Balance sheet'!F87-'Balance sheet'!F85)/'Balance sheet'!F175</f>
        <v>1.0255564715581205</v>
      </c>
      <c r="E34">
        <f>('Balance sheet'!G89-'Balance sheet'!G87-'Balance sheet'!G85)/'Balance sheet'!G175</f>
        <v>1.0996031746031747</v>
      </c>
      <c r="F34">
        <f>('Balance sheet'!H89-'Balance sheet'!H87-'Balance sheet'!H85)/'Balance sheet'!H175</f>
        <v>1.1630388390951771</v>
      </c>
      <c r="G34">
        <f>('Balance sheet'!I89-'Balance sheet'!I87-'Balance sheet'!I85)/'Balance sheet'!I175</f>
        <v>1.0672299779573842</v>
      </c>
      <c r="H34">
        <f>('Balance sheet'!J89-'Balance sheet'!J87-'Balance sheet'!J85)/'Balance sheet'!J175</f>
        <v>1.152561669829222</v>
      </c>
      <c r="I34" t="e">
        <f>('Balance sheet'!#REF!-'Balance sheet'!#REF!-'Balance sheet'!K85)/'Balance sheet'!K172</f>
        <v>#REF!</v>
      </c>
    </row>
    <row r="35" spans="1:11" x14ac:dyDescent="0.3">
      <c r="C35" t="s">
        <v>327</v>
      </c>
      <c r="D35">
        <f>'Balance sheet'!F89/'Balance sheet'!F175</f>
        <v>1.1253091508656223</v>
      </c>
      <c r="E35">
        <f>'Balance sheet'!G89/'Balance sheet'!G175</f>
        <v>1.2138888888888888</v>
      </c>
      <c r="F35">
        <f>'Balance sheet'!H89/'Balance sheet'!H175</f>
        <v>1.2121212121212122</v>
      </c>
      <c r="G35">
        <f>'Balance sheet'!I89/'Balance sheet'!I175</f>
        <v>1.0911094783247612</v>
      </c>
      <c r="H35">
        <f>'Balance sheet'!J89/'Balance sheet'!J175</f>
        <v>1.1802656546489563</v>
      </c>
      <c r="I35" t="e">
        <f>'Balance sheet'!#REF!/'Balance sheet'!K172</f>
        <v>#REF!</v>
      </c>
    </row>
    <row r="37" spans="1:11" x14ac:dyDescent="0.3">
      <c r="A37" s="103" t="s">
        <v>326</v>
      </c>
      <c r="C37">
        <f>('Balance sheet'!F88+'Balance sheet'!F85)/'Balance sheet'!F175</f>
        <v>0.33264633140972794</v>
      </c>
      <c r="D37">
        <f>('Balance sheet'!G88+'Balance sheet'!G85)/'Balance sheet'!G175</f>
        <v>0.24603174603174602</v>
      </c>
      <c r="E37">
        <f>('Balance sheet'!H88+'Balance sheet'!H85)/'Balance sheet'!H175</f>
        <v>0.29833546734955185</v>
      </c>
      <c r="F37">
        <f>('Balance sheet'!I88+'Balance sheet'!I85)/'Balance sheet'!I175</f>
        <v>0.23512123438648053</v>
      </c>
      <c r="G37">
        <f>('Balance sheet'!J88+'Balance sheet'!J85)/'Balance sheet'!J175</f>
        <v>0.1685009487666034</v>
      </c>
      <c r="H37" t="e">
        <f>('Balance sheet'!#REF!+'Balance sheet'!K85)/'Balance sheet'!K172</f>
        <v>#REF!</v>
      </c>
      <c r="I37" t="e">
        <f>('Balance sheet'!#REF!+'Balance sheet'!L85)/'Balance sheet'!L172</f>
        <v>#REF!</v>
      </c>
      <c r="J37" t="e">
        <f>('Balance sheet'!M83+'Balance sheet'!M81)/'Balance sheet'!M168</f>
        <v>#DIV/0!</v>
      </c>
      <c r="K37" t="e">
        <f>('Balance sheet'!N80+'Balance sheet'!N78)/'Balance sheet'!N165</f>
        <v>#DIV/0!</v>
      </c>
    </row>
    <row r="40" spans="1:11" x14ac:dyDescent="0.3">
      <c r="A40" t="s">
        <v>328</v>
      </c>
    </row>
    <row r="44" spans="1:11" x14ac:dyDescent="0.3">
      <c r="A44" t="s">
        <v>329</v>
      </c>
      <c r="C44" t="e">
        <f>'Income Statement'!F39/'Income Statement'!J48</f>
        <v>#DIV/0!</v>
      </c>
      <c r="D44" t="e">
        <f>'Income Statement'!G39/'Income Statement'!K48</f>
        <v>#DIV/0!</v>
      </c>
      <c r="E44" t="e">
        <f>'Income Statement'!H39/'Income Statement'!L48</f>
        <v>#DIV/0!</v>
      </c>
      <c r="F44" t="e">
        <f>'Income Statement'!I39/'Income Statement'!M48</f>
        <v>#DIV/0!</v>
      </c>
      <c r="G44" t="e">
        <f>'Income Statement'!J39/'Income Statement'!N48</f>
        <v>#DIV/0!</v>
      </c>
      <c r="H44" t="e">
        <f>'Income Statement'!K39/'Income Statement'!O48</f>
        <v>#DIV/0!</v>
      </c>
      <c r="I44" t="e">
        <f>'Income Statement'!L39/'Income Statement'!P48</f>
        <v>#DIV/0!</v>
      </c>
      <c r="J44" t="e">
        <f>'Income Statement'!M39/'Income Statement'!Q48</f>
        <v>#DIV/0!</v>
      </c>
    </row>
    <row r="48" spans="1:11" x14ac:dyDescent="0.3">
      <c r="A48" s="103" t="s">
        <v>330</v>
      </c>
      <c r="C48">
        <f>'[1]CF S '!$C$22/'[2]FCFE Computation'!$D$11</f>
        <v>1.4864433811802233</v>
      </c>
    </row>
    <row r="53" spans="1:1" x14ac:dyDescent="0.3">
      <c r="A53" s="103" t="s">
        <v>331</v>
      </c>
    </row>
    <row r="54" spans="1:1" x14ac:dyDescent="0.3">
      <c r="A54" s="103" t="s">
        <v>332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9958-46D0-436F-824F-15C4AA54C7FC}">
  <dimension ref="A1:I65"/>
  <sheetViews>
    <sheetView topLeftCell="A46" workbookViewId="0">
      <selection activeCell="B69" sqref="B69"/>
    </sheetView>
  </sheetViews>
  <sheetFormatPr defaultRowHeight="14.4" x14ac:dyDescent="0.3"/>
  <cols>
    <col min="1" max="1" width="34" customWidth="1"/>
    <col min="2" max="2" width="19.109375" customWidth="1"/>
    <col min="3" max="3" width="31.6640625" customWidth="1"/>
    <col min="4" max="4" width="15.44140625" customWidth="1"/>
    <col min="5" max="5" width="20.33203125" customWidth="1"/>
    <col min="6" max="7" width="21.6640625" customWidth="1"/>
    <col min="8" max="9" width="20.5546875" customWidth="1"/>
  </cols>
  <sheetData>
    <row r="1" spans="1:9" ht="15" thickBot="1" x14ac:dyDescent="0.35">
      <c r="A1" s="455" t="s">
        <v>447</v>
      </c>
      <c r="B1" s="448"/>
      <c r="C1" s="113"/>
      <c r="D1" s="113"/>
      <c r="E1" s="113"/>
      <c r="F1" s="113"/>
      <c r="G1" s="113"/>
      <c r="H1" s="113"/>
      <c r="I1" s="113"/>
    </row>
    <row r="2" spans="1:9" ht="15" thickBot="1" x14ac:dyDescent="0.35">
      <c r="A2" s="454" t="s">
        <v>447</v>
      </c>
      <c r="B2" s="454"/>
      <c r="C2" s="55"/>
      <c r="D2" s="486" t="s">
        <v>429</v>
      </c>
      <c r="E2" s="471" t="s">
        <v>454</v>
      </c>
      <c r="F2" s="55"/>
      <c r="G2" s="446" t="s">
        <v>549</v>
      </c>
      <c r="H2" s="446" t="s">
        <v>429</v>
      </c>
      <c r="I2" s="446" t="s">
        <v>454</v>
      </c>
    </row>
    <row r="3" spans="1:9" x14ac:dyDescent="0.3">
      <c r="A3" s="55"/>
      <c r="B3" s="456" t="s">
        <v>430</v>
      </c>
      <c r="C3" s="460" t="s">
        <v>431</v>
      </c>
      <c r="D3" s="487">
        <f>'Balance sheet'!J110</f>
        <v>3651</v>
      </c>
      <c r="E3" s="461">
        <f>-'Trailing 12-months'!G35</f>
        <v>3746</v>
      </c>
      <c r="F3" s="109"/>
      <c r="G3" s="478" t="s">
        <v>450</v>
      </c>
      <c r="H3" s="479">
        <v>0.50275406224180663</v>
      </c>
      <c r="I3" s="483">
        <v>0.50917493543563952</v>
      </c>
    </row>
    <row r="4" spans="1:9" ht="15" thickBot="1" x14ac:dyDescent="0.35">
      <c r="A4" s="55"/>
      <c r="B4" s="457" t="s">
        <v>432</v>
      </c>
      <c r="C4" s="287" t="s">
        <v>433</v>
      </c>
      <c r="D4" s="488">
        <v>4926</v>
      </c>
      <c r="E4" s="462">
        <f>PRODUCT(1.12,3109.183856)</f>
        <v>3482.2859187200006</v>
      </c>
      <c r="F4" s="109"/>
      <c r="G4" s="480" t="s">
        <v>451</v>
      </c>
      <c r="H4" s="477">
        <v>0.49724593775819331</v>
      </c>
      <c r="I4" s="484">
        <v>0.49082506456436048</v>
      </c>
    </row>
    <row r="5" spans="1:9" x14ac:dyDescent="0.3">
      <c r="A5" s="55"/>
      <c r="B5" s="458" t="s">
        <v>434</v>
      </c>
      <c r="C5" s="463" t="s">
        <v>455</v>
      </c>
      <c r="D5" s="489">
        <f>-'Reorganised Statements'!H39</f>
        <v>3611</v>
      </c>
      <c r="E5" s="464">
        <f>-'Reorganised Statements'!H39</f>
        <v>3611</v>
      </c>
      <c r="F5" s="109"/>
      <c r="G5" s="480"/>
      <c r="H5" s="70"/>
      <c r="I5" s="484"/>
    </row>
    <row r="6" spans="1:9" ht="15" thickBot="1" x14ac:dyDescent="0.35">
      <c r="A6" s="55"/>
      <c r="B6" s="459" t="s">
        <v>435</v>
      </c>
      <c r="C6" s="465" t="s">
        <v>548</v>
      </c>
      <c r="D6" s="490">
        <f>(SUM(D7:D9))</f>
        <v>3754</v>
      </c>
      <c r="E6" s="466">
        <f>(SUM(E7:E9))</f>
        <v>3754</v>
      </c>
      <c r="F6" s="109"/>
      <c r="G6" s="480" t="s">
        <v>452</v>
      </c>
      <c r="H6" s="477">
        <f>D4/(D4+D6)</f>
        <v>0.56751152073732714</v>
      </c>
      <c r="I6" s="484">
        <v>0.48122558420632017</v>
      </c>
    </row>
    <row r="7" spans="1:9" ht="15" thickBot="1" x14ac:dyDescent="0.35">
      <c r="A7" s="55"/>
      <c r="B7" s="55"/>
      <c r="C7" s="467" t="s">
        <v>436</v>
      </c>
      <c r="D7" s="491">
        <v>3635</v>
      </c>
      <c r="E7" s="468">
        <v>3635</v>
      </c>
      <c r="F7" s="109"/>
      <c r="G7" s="481" t="s">
        <v>453</v>
      </c>
      <c r="H7" s="482">
        <f>D6/(D4+D6)</f>
        <v>0.43248847926267281</v>
      </c>
      <c r="I7" s="485">
        <v>0.51877441579367978</v>
      </c>
    </row>
    <row r="8" spans="1:9" x14ac:dyDescent="0.3">
      <c r="A8" s="55"/>
      <c r="B8" s="55"/>
      <c r="C8" s="467" t="s">
        <v>109</v>
      </c>
      <c r="D8" s="491">
        <v>2</v>
      </c>
      <c r="E8" s="468">
        <v>2</v>
      </c>
      <c r="F8" s="55"/>
      <c r="G8" s="55"/>
      <c r="H8" s="55"/>
      <c r="I8" s="55"/>
    </row>
    <row r="9" spans="1:9" x14ac:dyDescent="0.3">
      <c r="A9" s="55"/>
      <c r="B9" s="55"/>
      <c r="C9" s="469" t="s">
        <v>437</v>
      </c>
      <c r="D9" s="492">
        <v>117</v>
      </c>
      <c r="E9" s="470">
        <v>117</v>
      </c>
      <c r="F9" s="55"/>
      <c r="G9" s="55"/>
      <c r="H9" s="55"/>
      <c r="I9" s="55"/>
    </row>
    <row r="10" spans="1:9" ht="15" thickBot="1" x14ac:dyDescent="0.35">
      <c r="A10" s="55"/>
      <c r="B10" s="55"/>
      <c r="C10" s="55"/>
      <c r="D10" s="55"/>
      <c r="E10" s="55"/>
      <c r="F10" s="55"/>
      <c r="G10" s="55"/>
      <c r="H10" s="55"/>
      <c r="I10" s="55"/>
    </row>
    <row r="11" spans="1:9" ht="15" thickBot="1" x14ac:dyDescent="0.35">
      <c r="A11" s="472" t="s">
        <v>448</v>
      </c>
      <c r="B11" s="473"/>
      <c r="C11" s="474"/>
      <c r="D11" s="55"/>
      <c r="E11" s="55"/>
      <c r="F11" s="55"/>
      <c r="G11" s="55"/>
      <c r="H11" s="55"/>
      <c r="I11" s="55"/>
    </row>
    <row r="12" spans="1:9" ht="15" thickBot="1" x14ac:dyDescent="0.35">
      <c r="A12" s="475"/>
      <c r="B12" s="476"/>
      <c r="C12" s="476"/>
      <c r="D12" s="55"/>
      <c r="E12" s="55"/>
      <c r="F12" s="55"/>
      <c r="G12" s="55"/>
      <c r="H12" s="55"/>
      <c r="I12" s="55"/>
    </row>
    <row r="13" spans="1:9" ht="15" thickBot="1" x14ac:dyDescent="0.35">
      <c r="A13" s="55"/>
      <c r="B13" s="445" t="s">
        <v>551</v>
      </c>
      <c r="C13" s="445" t="s">
        <v>438</v>
      </c>
      <c r="D13" s="445" t="s">
        <v>550</v>
      </c>
      <c r="E13" s="445" t="s">
        <v>439</v>
      </c>
      <c r="F13" s="55"/>
      <c r="G13" s="55"/>
      <c r="H13" s="55"/>
      <c r="I13" s="55"/>
    </row>
    <row r="14" spans="1:9" x14ac:dyDescent="0.3">
      <c r="A14" s="55"/>
      <c r="B14" s="100" t="s">
        <v>561</v>
      </c>
      <c r="C14" s="100">
        <v>4.3749999999999997E-2</v>
      </c>
      <c r="D14" s="100">
        <v>1</v>
      </c>
      <c r="E14" s="100">
        <v>351.5</v>
      </c>
      <c r="F14" s="55"/>
      <c r="G14" s="55"/>
      <c r="H14" s="55"/>
      <c r="I14" s="55"/>
    </row>
    <row r="15" spans="1:9" x14ac:dyDescent="0.3">
      <c r="A15" s="55"/>
      <c r="B15" s="100" t="s">
        <v>440</v>
      </c>
      <c r="C15" s="100">
        <v>3.6880000000000003E-2</v>
      </c>
      <c r="D15" s="100">
        <v>2</v>
      </c>
      <c r="E15" s="100">
        <v>500</v>
      </c>
      <c r="F15" s="55"/>
      <c r="G15" s="55"/>
      <c r="H15" s="55"/>
      <c r="I15" s="55"/>
    </row>
    <row r="16" spans="1:9" x14ac:dyDescent="0.3">
      <c r="A16" s="55"/>
      <c r="B16" s="100" t="s">
        <v>559</v>
      </c>
      <c r="C16" s="100">
        <v>4.0570000000000002E-2</v>
      </c>
      <c r="D16" s="100">
        <v>4</v>
      </c>
      <c r="E16" s="100">
        <v>300</v>
      </c>
      <c r="F16" s="55"/>
      <c r="G16" s="55"/>
      <c r="H16" s="55"/>
      <c r="I16" s="55"/>
    </row>
    <row r="17" spans="1:9" x14ac:dyDescent="0.3">
      <c r="A17" s="55"/>
      <c r="B17" s="100" t="s">
        <v>560</v>
      </c>
      <c r="C17" s="100">
        <v>1.2840000000000001E-2</v>
      </c>
      <c r="D17" s="100">
        <v>4</v>
      </c>
      <c r="E17" s="100">
        <v>300</v>
      </c>
      <c r="F17" s="55"/>
      <c r="G17" s="55"/>
      <c r="H17" s="55"/>
      <c r="I17" s="55"/>
    </row>
    <row r="18" spans="1:9" x14ac:dyDescent="0.3">
      <c r="A18" s="55"/>
      <c r="B18" s="70" t="s">
        <v>441</v>
      </c>
      <c r="C18" s="70">
        <v>1.8360000000000001E-2</v>
      </c>
      <c r="D18" s="70">
        <v>5</v>
      </c>
      <c r="E18" s="70">
        <v>300</v>
      </c>
      <c r="F18" s="55"/>
      <c r="G18" s="55"/>
      <c r="H18" s="55"/>
      <c r="I18" s="55"/>
    </row>
    <row r="19" spans="1:9" x14ac:dyDescent="0.3">
      <c r="A19" s="55"/>
      <c r="B19" s="70" t="s">
        <v>442</v>
      </c>
      <c r="C19" s="70">
        <v>1.7680000000000001E-2</v>
      </c>
      <c r="D19" s="70">
        <v>8</v>
      </c>
      <c r="E19" s="70">
        <v>300</v>
      </c>
      <c r="F19" s="55"/>
      <c r="G19" s="55"/>
      <c r="H19" s="55"/>
      <c r="I19" s="55"/>
    </row>
    <row r="20" spans="1:9" x14ac:dyDescent="0.3">
      <c r="A20" s="55"/>
      <c r="B20" s="70" t="s">
        <v>443</v>
      </c>
      <c r="C20" s="70">
        <v>1.3899999999999999E-2</v>
      </c>
      <c r="D20" s="70">
        <v>10</v>
      </c>
      <c r="E20" s="70">
        <v>400</v>
      </c>
      <c r="F20" s="55"/>
      <c r="G20" s="55"/>
      <c r="H20" s="55"/>
      <c r="I20" s="55"/>
    </row>
    <row r="21" spans="1:9" ht="15" thickBot="1" x14ac:dyDescent="0.35">
      <c r="A21" s="55"/>
      <c r="B21" s="55"/>
      <c r="C21" s="55"/>
      <c r="D21" s="55"/>
      <c r="E21" s="55"/>
      <c r="F21" s="55"/>
      <c r="G21" s="55" t="s">
        <v>580</v>
      </c>
      <c r="H21" s="55" t="s">
        <v>580</v>
      </c>
      <c r="I21" s="55"/>
    </row>
    <row r="22" spans="1:9" ht="15" thickBot="1" x14ac:dyDescent="0.35">
      <c r="A22" s="55"/>
      <c r="B22" s="314" t="s">
        <v>449</v>
      </c>
      <c r="C22" s="315">
        <f xml:space="preserve"> (PRODUCT(C14:E14)+ PRODUCT(C15:E15) + PRODUCT(C16:E16) + PRODUCT(C17:E17)+ PRODUCT(C18:E18)+PRODUCT(C19:E19)+PRODUCT(C20:E20))/(PRODUCT(D14:E14) + PRODUCT(D15:E15) + PRODUCT(D16:E16) + PRODUCT(D17:E17)+PRODUCT(D18:E18)+PRODUCT(D19:E19)+PRODUCT(D20:E20))</f>
        <v>2.0763174269407374E-2</v>
      </c>
      <c r="D22" s="311" t="s">
        <v>562</v>
      </c>
      <c r="E22" s="55"/>
      <c r="F22" s="55"/>
      <c r="G22" s="493">
        <f>(SUM(PRODUCT(C14,E14),PRODUCT(C15,E15),PRODUCT(C16,E16),PRODUCT(C17,E17),PRODUCT(C18,E18),PRODUCT(C19,E19),PRODUCT(C20,E20)))/(SUM(E14:E20))</f>
        <v>2.7009229043442794E-2</v>
      </c>
      <c r="H22" s="493">
        <f>(SUM(PRODUCT(C14,D14),PRODUCT(C15,D15),PRODUCT(C16,D16),PRODUCT(C17,D17),PRODUCT(C18,D18),PRODUCT(C19,D19),PRODUCT(C20,D20)))/(SUM(D14:D20))</f>
        <v>2.0687941176470586E-2</v>
      </c>
      <c r="I22" s="55"/>
    </row>
    <row r="23" spans="1:9" x14ac:dyDescent="0.3">
      <c r="A23" s="55"/>
      <c r="B23" s="55"/>
      <c r="C23" s="55"/>
      <c r="D23" s="55"/>
      <c r="E23" s="55"/>
      <c r="F23" s="55"/>
      <c r="G23" s="55"/>
      <c r="H23" s="55"/>
      <c r="I23" s="55"/>
    </row>
    <row r="24" spans="1:9" ht="15" thickBot="1" x14ac:dyDescent="0.35">
      <c r="A24" s="267"/>
      <c r="B24" s="55"/>
      <c r="C24" s="55"/>
      <c r="D24" s="55"/>
      <c r="E24" s="55"/>
      <c r="F24" s="55"/>
      <c r="G24" s="55"/>
      <c r="H24" s="55"/>
      <c r="I24" s="55"/>
    </row>
    <row r="25" spans="1:9" ht="15" thickBot="1" x14ac:dyDescent="0.35">
      <c r="A25" s="449" t="s">
        <v>456</v>
      </c>
      <c r="B25" s="450"/>
      <c r="C25" s="446" t="s">
        <v>165</v>
      </c>
      <c r="D25" s="446" t="s">
        <v>457</v>
      </c>
      <c r="E25" s="446" t="s">
        <v>458</v>
      </c>
      <c r="F25" s="448" t="s">
        <v>459</v>
      </c>
      <c r="G25" s="55"/>
      <c r="H25" s="55"/>
      <c r="I25" s="55"/>
    </row>
    <row r="26" spans="1:9" x14ac:dyDescent="0.3">
      <c r="A26" s="267" t="s">
        <v>460</v>
      </c>
      <c r="B26" s="55"/>
      <c r="C26" s="444">
        <v>3836.2650000000003</v>
      </c>
      <c r="D26" s="444">
        <v>0.52576026796023623</v>
      </c>
      <c r="E26" s="444">
        <v>0.41</v>
      </c>
      <c r="F26" s="300">
        <v>0.21556170986369683</v>
      </c>
      <c r="G26" s="55"/>
      <c r="H26" s="55"/>
      <c r="I26" s="55"/>
    </row>
    <row r="27" spans="1:9" x14ac:dyDescent="0.3">
      <c r="A27" s="267" t="s">
        <v>461</v>
      </c>
      <c r="B27" s="55"/>
      <c r="C27" s="444">
        <v>49.814999999999998</v>
      </c>
      <c r="D27" s="444">
        <v>6.8271476940303041E-3</v>
      </c>
      <c r="E27" s="444">
        <v>0.28999999999999998</v>
      </c>
      <c r="F27" s="300">
        <v>1.9798728312687879E-3</v>
      </c>
      <c r="G27" s="55"/>
      <c r="H27" s="55"/>
      <c r="I27" s="55"/>
    </row>
    <row r="28" spans="1:9" x14ac:dyDescent="0.3">
      <c r="A28" s="267" t="s">
        <v>462</v>
      </c>
      <c r="B28" s="55"/>
      <c r="C28" s="444">
        <v>1278.7550000000001</v>
      </c>
      <c r="D28" s="444">
        <v>0.17525342265341209</v>
      </c>
      <c r="E28" s="444">
        <v>0.6</v>
      </c>
      <c r="F28" s="300">
        <v>0.10515205359204725</v>
      </c>
      <c r="G28" s="55"/>
      <c r="H28" s="55"/>
      <c r="I28" s="55"/>
    </row>
    <row r="29" spans="1:9" x14ac:dyDescent="0.3">
      <c r="A29" s="267" t="s">
        <v>463</v>
      </c>
      <c r="B29" s="55"/>
      <c r="C29" s="444">
        <v>903</v>
      </c>
      <c r="D29" s="444">
        <v>0.12375618523957373</v>
      </c>
      <c r="E29" s="444">
        <v>0.8</v>
      </c>
      <c r="F29" s="300">
        <v>9.900494819165899E-2</v>
      </c>
      <c r="G29" s="55"/>
      <c r="H29" s="55"/>
      <c r="I29" s="1"/>
    </row>
    <row r="30" spans="1:9" x14ac:dyDescent="0.3">
      <c r="A30" s="267"/>
      <c r="B30" s="55"/>
      <c r="C30" s="444"/>
      <c r="D30" s="444"/>
      <c r="E30" s="444"/>
      <c r="F30" s="300">
        <v>0</v>
      </c>
      <c r="G30" s="55"/>
      <c r="H30" s="55"/>
      <c r="I30" s="1"/>
    </row>
    <row r="31" spans="1:9" x14ac:dyDescent="0.3">
      <c r="A31" s="267" t="s">
        <v>464</v>
      </c>
      <c r="B31" s="55"/>
      <c r="C31" s="444">
        <v>1228.77</v>
      </c>
      <c r="D31" s="444">
        <v>0.16840297645274752</v>
      </c>
      <c r="E31" s="444">
        <v>0.74</v>
      </c>
      <c r="F31" s="300">
        <v>0.12461820257503316</v>
      </c>
      <c r="G31" s="55"/>
      <c r="H31" s="55"/>
      <c r="I31" s="1"/>
    </row>
    <row r="32" spans="1:9" ht="15" thickBot="1" x14ac:dyDescent="0.35">
      <c r="A32" s="267" t="s">
        <v>465</v>
      </c>
      <c r="B32" s="55"/>
      <c r="C32" s="444"/>
      <c r="D32" s="444">
        <v>0</v>
      </c>
      <c r="E32" s="444">
        <v>0.91</v>
      </c>
      <c r="F32" s="300">
        <v>0</v>
      </c>
      <c r="G32" s="55"/>
      <c r="H32" s="55"/>
      <c r="I32" s="1"/>
    </row>
    <row r="33" spans="1:9" ht="15" thickBot="1" x14ac:dyDescent="0.35">
      <c r="A33" s="441" t="s">
        <v>466</v>
      </c>
      <c r="B33" s="442"/>
      <c r="C33" s="445">
        <v>7296.6050000000014</v>
      </c>
      <c r="D33" s="445">
        <v>0.99999999999999989</v>
      </c>
      <c r="E33" s="445"/>
      <c r="F33" s="451">
        <v>0.54631678705370501</v>
      </c>
      <c r="G33" s="55"/>
      <c r="H33" s="55"/>
      <c r="I33" s="1"/>
    </row>
    <row r="34" spans="1:9" ht="15" thickBot="1" x14ac:dyDescent="0.35">
      <c r="A34" s="55"/>
      <c r="B34" s="55"/>
      <c r="C34" s="55"/>
      <c r="D34" s="55"/>
      <c r="E34" s="55"/>
      <c r="F34" s="55"/>
      <c r="G34" s="55"/>
      <c r="H34" s="55"/>
      <c r="I34" s="1"/>
    </row>
    <row r="35" spans="1:9" ht="15" thickBot="1" x14ac:dyDescent="0.35">
      <c r="A35" s="446" t="s">
        <v>539</v>
      </c>
      <c r="B35" s="447">
        <v>43830</v>
      </c>
      <c r="C35" s="448" t="s">
        <v>540</v>
      </c>
      <c r="D35" s="55"/>
      <c r="E35" s="55"/>
      <c r="F35" s="55"/>
      <c r="G35" s="55"/>
      <c r="H35" s="55"/>
      <c r="I35" s="1"/>
    </row>
    <row r="36" spans="1:9" x14ac:dyDescent="0.3">
      <c r="A36" s="444" t="s">
        <v>541</v>
      </c>
      <c r="B36" s="444">
        <v>0.54631678705370501</v>
      </c>
      <c r="C36" s="300">
        <v>0.54631678705370501</v>
      </c>
      <c r="D36" s="55"/>
      <c r="E36" s="55"/>
      <c r="F36" s="55"/>
      <c r="G36" s="55"/>
      <c r="H36" s="55"/>
      <c r="I36" s="1"/>
    </row>
    <row r="37" spans="1:9" x14ac:dyDescent="0.3">
      <c r="A37" s="444" t="s">
        <v>542</v>
      </c>
      <c r="B37" s="444">
        <f>D5/D3</f>
        <v>0.98904409750753219</v>
      </c>
      <c r="C37" s="300">
        <f>E5/E3</f>
        <v>0.96396155899626268</v>
      </c>
      <c r="D37" s="55"/>
      <c r="E37" s="55"/>
      <c r="F37" s="55"/>
      <c r="G37" s="55"/>
      <c r="H37" s="55"/>
      <c r="I37" s="1"/>
    </row>
    <row r="38" spans="1:9" x14ac:dyDescent="0.3">
      <c r="A38" s="444" t="s">
        <v>543</v>
      </c>
      <c r="B38" s="444">
        <f>D6/D4</f>
        <v>0.76207876573284616</v>
      </c>
      <c r="C38" s="300">
        <f>E6/E4</f>
        <v>1.0780275048120904</v>
      </c>
      <c r="D38" s="55"/>
      <c r="E38" s="55"/>
      <c r="F38" s="55"/>
      <c r="G38" s="55"/>
      <c r="H38" s="55"/>
      <c r="I38" s="1"/>
    </row>
    <row r="39" spans="1:9" x14ac:dyDescent="0.3">
      <c r="A39" s="444" t="s">
        <v>544</v>
      </c>
      <c r="B39" s="444">
        <v>0.27900000000000003</v>
      </c>
      <c r="C39" s="300">
        <v>0.27900000000000003</v>
      </c>
      <c r="D39" s="55"/>
      <c r="E39" s="55"/>
      <c r="F39" s="55"/>
      <c r="G39" s="55"/>
      <c r="H39" s="55"/>
      <c r="I39" s="1"/>
    </row>
    <row r="40" spans="1:9" x14ac:dyDescent="0.3">
      <c r="A40" s="444" t="s">
        <v>545</v>
      </c>
      <c r="B40" s="444">
        <f>PRODUCT(B36,1+PRODUCT(1-B39,B37))</f>
        <v>0.93589572184272718</v>
      </c>
      <c r="C40" s="300">
        <f>PRODUCT(B36,1+PRODUCT(1-B39,C37))</f>
        <v>0.9260158502984247</v>
      </c>
      <c r="D40" s="55"/>
      <c r="E40" s="55"/>
      <c r="F40" s="55"/>
      <c r="G40" s="55"/>
      <c r="H40" s="55"/>
      <c r="I40" s="1"/>
    </row>
    <row r="41" spans="1:9" ht="15" thickBot="1" x14ac:dyDescent="0.35">
      <c r="A41" s="443" t="s">
        <v>546</v>
      </c>
      <c r="B41" s="443">
        <f>PRODUCT(B36,1+PRODUCT(1-B39,B38))</f>
        <v>0.84649534787593761</v>
      </c>
      <c r="C41" s="312">
        <f>PRODUCT(B36,1+PRODUCT(1-B39,C38))</f>
        <v>0.97094578798130338</v>
      </c>
      <c r="D41" s="55"/>
      <c r="E41" s="55"/>
      <c r="F41" s="55"/>
      <c r="G41" s="55"/>
      <c r="H41" s="55"/>
      <c r="I41" s="1"/>
    </row>
    <row r="42" spans="1:9" x14ac:dyDescent="0.3">
      <c r="A42" s="1"/>
      <c r="B42" s="1"/>
      <c r="C42" s="1"/>
      <c r="D42" s="1"/>
      <c r="E42" s="1"/>
      <c r="F42" s="1"/>
      <c r="G42" s="1"/>
      <c r="H42" s="1"/>
      <c r="I42" s="1"/>
    </row>
    <row r="43" spans="1:9" ht="15" thickBot="1" x14ac:dyDescent="0.35">
      <c r="A43" s="1"/>
      <c r="B43" s="1"/>
      <c r="C43" s="1"/>
      <c r="D43" s="1"/>
      <c r="E43" s="1"/>
      <c r="F43" s="1"/>
      <c r="G43" s="1"/>
      <c r="H43" s="1"/>
      <c r="I43" s="1"/>
    </row>
    <row r="44" spans="1:9" ht="15" thickBot="1" x14ac:dyDescent="0.35">
      <c r="A44" s="290" t="s">
        <v>406</v>
      </c>
      <c r="B44" s="313"/>
      <c r="C44" s="313"/>
      <c r="D44" s="313"/>
      <c r="E44" s="313"/>
      <c r="F44" s="310"/>
      <c r="G44" s="1"/>
      <c r="H44" s="1"/>
      <c r="I44" s="1"/>
    </row>
    <row r="45" spans="1:9" x14ac:dyDescent="0.3">
      <c r="A45" s="308" t="s">
        <v>407</v>
      </c>
      <c r="B45" s="309"/>
      <c r="C45" s="308" t="s">
        <v>408</v>
      </c>
      <c r="D45" s="309"/>
      <c r="E45" s="308" t="s">
        <v>409</v>
      </c>
      <c r="F45" s="309"/>
      <c r="G45" s="1"/>
      <c r="H45" s="1"/>
      <c r="I45" s="1"/>
    </row>
    <row r="46" spans="1:9" x14ac:dyDescent="0.3">
      <c r="A46" s="267" t="s">
        <v>410</v>
      </c>
      <c r="B46" s="294">
        <v>-7.2081146095294803E-4</v>
      </c>
      <c r="C46" s="267" t="s">
        <v>411</v>
      </c>
      <c r="D46" s="298">
        <v>-7.2081146095294803E-4</v>
      </c>
      <c r="E46" s="267"/>
      <c r="F46" s="300"/>
      <c r="G46" s="1"/>
      <c r="H46" s="1"/>
      <c r="I46" s="1"/>
    </row>
    <row r="47" spans="1:9" x14ac:dyDescent="0.3">
      <c r="A47" s="295" t="s">
        <v>412</v>
      </c>
      <c r="B47" s="296">
        <v>1.4999999999999999E-2</v>
      </c>
      <c r="C47" s="295" t="s">
        <v>413</v>
      </c>
      <c r="D47" s="296">
        <v>1.4999999999999999E-2</v>
      </c>
      <c r="E47" s="302" t="s">
        <v>446</v>
      </c>
      <c r="F47" s="306">
        <f>C22</f>
        <v>2.0763174269407374E-2</v>
      </c>
      <c r="G47" s="1"/>
      <c r="H47" s="1"/>
      <c r="I47" s="1"/>
    </row>
    <row r="48" spans="1:9" x14ac:dyDescent="0.3">
      <c r="A48" s="297" t="s">
        <v>414</v>
      </c>
      <c r="B48" s="298">
        <f>SUM(B46:B47)</f>
        <v>1.4279188539047052E-2</v>
      </c>
      <c r="C48" s="304" t="s">
        <v>414</v>
      </c>
      <c r="D48" s="298">
        <f>SUM(D46:D47)</f>
        <v>1.4279188539047052E-2</v>
      </c>
      <c r="E48" s="267"/>
      <c r="F48" s="300"/>
      <c r="G48" s="1"/>
      <c r="H48" s="1"/>
      <c r="I48" s="1"/>
    </row>
    <row r="49" spans="1:9" x14ac:dyDescent="0.3">
      <c r="A49" s="295" t="s">
        <v>415</v>
      </c>
      <c r="B49" s="296">
        <v>0.27900000000000003</v>
      </c>
      <c r="C49" s="295" t="s">
        <v>415</v>
      </c>
      <c r="D49" s="296">
        <v>0.27900000000000003</v>
      </c>
      <c r="E49" s="295" t="s">
        <v>415</v>
      </c>
      <c r="F49" s="296">
        <v>0.27900000000000003</v>
      </c>
      <c r="G49" s="1"/>
      <c r="H49" s="1"/>
      <c r="I49" s="1"/>
    </row>
    <row r="50" spans="1:9" x14ac:dyDescent="0.3">
      <c r="A50" s="297" t="s">
        <v>416</v>
      </c>
      <c r="B50" s="299">
        <f>PRODUCT(B48,(1-B49))</f>
        <v>1.0295294936652924E-2</v>
      </c>
      <c r="C50" s="297" t="s">
        <v>416</v>
      </c>
      <c r="D50" s="299">
        <f>PRODUCT(D48,(1-D49))</f>
        <v>1.0295294936652924E-2</v>
      </c>
      <c r="E50" s="297" t="s">
        <v>417</v>
      </c>
      <c r="F50" s="299">
        <f>PRODUCT(F47,(1-F49))</f>
        <v>1.4970248648242717E-2</v>
      </c>
      <c r="G50" s="1"/>
      <c r="H50" s="1"/>
      <c r="I50" s="1"/>
    </row>
    <row r="51" spans="1:9" x14ac:dyDescent="0.3">
      <c r="A51" s="267"/>
      <c r="B51" s="300"/>
      <c r="C51" s="267"/>
      <c r="D51" s="300"/>
      <c r="E51" s="267"/>
      <c r="F51" s="307"/>
      <c r="G51" s="1"/>
      <c r="H51" s="1"/>
      <c r="I51" s="1"/>
    </row>
    <row r="52" spans="1:9" x14ac:dyDescent="0.3">
      <c r="A52" s="297" t="s">
        <v>418</v>
      </c>
      <c r="B52" s="294">
        <v>-7.2081146095294803E-4</v>
      </c>
      <c r="C52" s="267" t="s">
        <v>418</v>
      </c>
      <c r="D52" s="298">
        <v>-7.2081146095294803E-4</v>
      </c>
      <c r="E52" s="267" t="s">
        <v>418</v>
      </c>
      <c r="F52" s="294">
        <v>-7.2081146095294803E-4</v>
      </c>
      <c r="G52" s="1"/>
      <c r="H52" s="1"/>
      <c r="I52" s="1"/>
    </row>
    <row r="53" spans="1:9" x14ac:dyDescent="0.3">
      <c r="A53" s="267" t="s">
        <v>419</v>
      </c>
      <c r="B53" s="301">
        <v>2.99661426831043E-2</v>
      </c>
      <c r="C53" s="267" t="s">
        <v>419</v>
      </c>
      <c r="D53" s="301">
        <v>2.99661426831043E-2</v>
      </c>
      <c r="E53" s="267" t="s">
        <v>419</v>
      </c>
      <c r="F53" s="301">
        <v>2.99661426831043E-2</v>
      </c>
      <c r="G53" s="1"/>
      <c r="H53" s="1"/>
      <c r="I53" s="1"/>
    </row>
    <row r="54" spans="1:9" x14ac:dyDescent="0.3">
      <c r="A54" s="267" t="s">
        <v>420</v>
      </c>
      <c r="B54" s="299">
        <v>4.0205104717786398E-2</v>
      </c>
      <c r="C54" s="267" t="s">
        <v>420</v>
      </c>
      <c r="D54" s="301">
        <v>4.0205104717786398E-2</v>
      </c>
      <c r="E54" s="267" t="s">
        <v>420</v>
      </c>
      <c r="F54" s="299">
        <v>4.0205104717786398E-2</v>
      </c>
      <c r="G54" s="1"/>
      <c r="H54" s="1"/>
      <c r="I54" s="1"/>
    </row>
    <row r="55" spans="1:9" x14ac:dyDescent="0.3">
      <c r="A55" s="297" t="s">
        <v>421</v>
      </c>
      <c r="B55" s="301">
        <f>B53+B54</f>
        <v>7.0171247400890702E-2</v>
      </c>
      <c r="C55" s="267" t="s">
        <v>421</v>
      </c>
      <c r="D55" s="301">
        <f>D53+D54</f>
        <v>7.0171247400890702E-2</v>
      </c>
      <c r="E55" s="267" t="s">
        <v>421</v>
      </c>
      <c r="F55" s="301">
        <f>F53+F54</f>
        <v>7.0171247400890702E-2</v>
      </c>
      <c r="G55" s="1"/>
      <c r="H55" s="1"/>
      <c r="I55" s="1"/>
    </row>
    <row r="56" spans="1:9" x14ac:dyDescent="0.3">
      <c r="A56" s="302" t="s">
        <v>422</v>
      </c>
      <c r="B56" s="303">
        <v>0.87311649000000002</v>
      </c>
      <c r="C56" s="295" t="s">
        <v>423</v>
      </c>
      <c r="D56" s="305">
        <v>0.83109791342430983</v>
      </c>
      <c r="E56" s="295" t="s">
        <v>422</v>
      </c>
      <c r="F56" s="303">
        <v>0.87311649000000002</v>
      </c>
      <c r="G56" s="1"/>
      <c r="H56" s="1"/>
      <c r="I56" s="1"/>
    </row>
    <row r="57" spans="1:9" x14ac:dyDescent="0.3">
      <c r="A57" s="267" t="s">
        <v>424</v>
      </c>
      <c r="B57" s="298">
        <f>B52+PRODUCT(B56,B55)</f>
        <v>6.0546861768634365E-2</v>
      </c>
      <c r="C57" s="267" t="s">
        <v>424</v>
      </c>
      <c r="D57" s="298">
        <f>D52+PRODUCT(D55:D56)</f>
        <v>5.7598365836308334E-2</v>
      </c>
      <c r="E57" s="267" t="s">
        <v>424</v>
      </c>
      <c r="F57" s="298">
        <f>SUM(F52,PRODUCT(F56,F55))</f>
        <v>6.0546861768634365E-2</v>
      </c>
      <c r="G57" s="1"/>
      <c r="H57" s="1"/>
      <c r="I57" s="1"/>
    </row>
    <row r="58" spans="1:9" ht="15" thickBot="1" x14ac:dyDescent="0.35">
      <c r="A58" s="267"/>
      <c r="B58" s="300"/>
      <c r="C58" s="267"/>
      <c r="D58" s="300"/>
      <c r="E58" s="267"/>
      <c r="F58" s="300"/>
      <c r="G58" s="1"/>
      <c r="H58" s="1"/>
      <c r="I58" s="1"/>
    </row>
    <row r="59" spans="1:9" x14ac:dyDescent="0.3">
      <c r="A59" s="292" t="s">
        <v>425</v>
      </c>
      <c r="B59" s="452">
        <f>B50*H4 +H3*B57</f>
        <v>3.5559474295447223E-2</v>
      </c>
      <c r="C59" s="292" t="s">
        <v>444</v>
      </c>
      <c r="D59" s="293"/>
      <c r="E59" s="292" t="s">
        <v>445</v>
      </c>
      <c r="F59" s="452">
        <f>F50*H4+F57*H3</f>
        <v>3.7884076037742839E-2</v>
      </c>
      <c r="G59" s="1"/>
      <c r="H59" s="1"/>
      <c r="I59" s="1"/>
    </row>
    <row r="60" spans="1:9" ht="15" thickBot="1" x14ac:dyDescent="0.35">
      <c r="A60" s="291" t="s">
        <v>426</v>
      </c>
      <c r="B60" s="453">
        <f>H7*B50+B57*H6</f>
        <v>3.8813638048904142E-2</v>
      </c>
      <c r="C60" s="291" t="s">
        <v>426</v>
      </c>
      <c r="D60" s="453">
        <f>D50*H7+H6*D57</f>
        <v>3.7140332638461969E-2</v>
      </c>
      <c r="E60" s="291" t="s">
        <v>426</v>
      </c>
      <c r="F60" s="453">
        <f>F50*H7+H6*F57</f>
        <v>4.0835501670253002E-2</v>
      </c>
      <c r="G60" s="1"/>
      <c r="H60" s="1"/>
      <c r="I60" s="1"/>
    </row>
    <row r="61" spans="1:9" ht="15" thickBot="1" x14ac:dyDescent="0.35">
      <c r="A61" s="267"/>
      <c r="B61" s="286" t="s">
        <v>427</v>
      </c>
      <c r="C61" s="316"/>
      <c r="D61" s="435"/>
      <c r="E61" s="55"/>
      <c r="F61" s="300"/>
      <c r="G61" s="1"/>
      <c r="H61" s="1"/>
      <c r="I61" s="1"/>
    </row>
    <row r="62" spans="1:9" x14ac:dyDescent="0.3">
      <c r="A62" s="267"/>
      <c r="B62" s="286" t="s">
        <v>547</v>
      </c>
      <c r="C62" s="316"/>
      <c r="D62" s="435"/>
      <c r="E62" s="544" t="s">
        <v>579</v>
      </c>
      <c r="F62" s="544" t="s">
        <v>572</v>
      </c>
      <c r="G62" s="1"/>
      <c r="H62" s="1"/>
      <c r="I62" s="1"/>
    </row>
    <row r="63" spans="1:9" ht="15" thickBot="1" x14ac:dyDescent="0.35">
      <c r="A63" s="279"/>
      <c r="B63" s="287" t="s">
        <v>428</v>
      </c>
      <c r="C63" s="289"/>
      <c r="D63" s="436"/>
      <c r="E63" s="443">
        <v>6.9450435939937757E-2</v>
      </c>
      <c r="F63" s="443">
        <v>4.4954889784730473E-2</v>
      </c>
      <c r="G63" s="1"/>
      <c r="H63" s="1"/>
      <c r="I63" s="1"/>
    </row>
    <row r="64" spans="1:9" x14ac:dyDescent="0.3">
      <c r="G64" s="1"/>
      <c r="H64" s="1"/>
      <c r="I64" s="1"/>
    </row>
    <row r="65" spans="7:9" x14ac:dyDescent="0.3">
      <c r="G65" s="1"/>
      <c r="H65" s="1"/>
      <c r="I65" s="1"/>
    </row>
  </sheetData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Fin statements overview</vt:lpstr>
      <vt:lpstr>Balance sheet</vt:lpstr>
      <vt:lpstr>Income Statement</vt:lpstr>
      <vt:lpstr>Reorganised Statements</vt:lpstr>
      <vt:lpstr>Cash flows</vt:lpstr>
      <vt:lpstr>Consob Reorg </vt:lpstr>
      <vt:lpstr>Trailing 12-months</vt:lpstr>
      <vt:lpstr>ratio</vt:lpstr>
      <vt:lpstr>WACC </vt:lpstr>
      <vt:lpstr>Forecasts Simo </vt:lpstr>
      <vt:lpstr>Forecasts Gianma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2020-05-31T10:47:59Z</dcterms:modified>
</cp:coreProperties>
</file>