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simon\OneDrive\Desktop\Corporate-project-\Project\"/>
    </mc:Choice>
  </mc:AlternateContent>
  <xr:revisionPtr revIDLastSave="1348" documentId="13_ncr:1_{62DBAB82-5A4C-4989-B565-9531680DA6CE}" xr6:coauthVersionLast="45" xr6:coauthVersionMax="45" xr10:uidLastSave="{10B63041-10D7-47E6-9FBF-EE90AD8DEB4D}"/>
  <bookViews>
    <workbookView xWindow="-108" yWindow="-108" windowWidth="23256" windowHeight="12576" firstSheet="1" activeTab="4" xr2:uid="{00000000-000D-0000-FFFF-FFFF00000000}"/>
  </bookViews>
  <sheets>
    <sheet name="Balance sheet" sheetId="1" r:id="rId1"/>
    <sheet name="Income Statement" sheetId="3" r:id="rId2"/>
    <sheet name="Reorganised Statements" sheetId="2" r:id="rId3"/>
    <sheet name="Cash flows" sheetId="8" r:id="rId4"/>
    <sheet name="Trailing 12-months" sheetId="5" r:id="rId5"/>
    <sheet name="ratio" sheetId="6" r:id="rId6"/>
    <sheet name="analysis" sheetId="7" r:id="rId7"/>
    <sheet name="Forecasts " sheetId="9" r:id="rId8"/>
  </sheets>
  <externalReferences>
    <externalReference r:id="rId9"/>
    <externalReference r:id="rId10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10" i="5" l="1"/>
  <c r="E110" i="5"/>
  <c r="F110" i="5"/>
  <c r="C110" i="5"/>
  <c r="D89" i="5"/>
  <c r="D112" i="5" s="1"/>
  <c r="E89" i="5"/>
  <c r="F89" i="5"/>
  <c r="C89" i="5"/>
  <c r="D62" i="5"/>
  <c r="E62" i="5"/>
  <c r="F62" i="5"/>
  <c r="G62" i="5"/>
  <c r="C62" i="5"/>
  <c r="E28" i="8"/>
  <c r="F28" i="8"/>
  <c r="G28" i="8"/>
  <c r="E112" i="5"/>
  <c r="F112" i="5"/>
  <c r="D102" i="5"/>
  <c r="E102" i="5"/>
  <c r="F102" i="5"/>
  <c r="D101" i="5"/>
  <c r="E101" i="5"/>
  <c r="F101" i="5"/>
  <c r="C101" i="5"/>
  <c r="C102" i="5"/>
  <c r="D111" i="5" l="1"/>
  <c r="E111" i="5"/>
  <c r="F111" i="5"/>
  <c r="D116" i="5"/>
  <c r="E116" i="5"/>
  <c r="F116" i="5"/>
  <c r="C116" i="5"/>
  <c r="D121" i="5"/>
  <c r="E121" i="5"/>
  <c r="F121" i="5"/>
  <c r="C121" i="5"/>
  <c r="D120" i="5"/>
  <c r="E120" i="5"/>
  <c r="F120" i="5"/>
  <c r="D119" i="5"/>
  <c r="E119" i="5"/>
  <c r="F119" i="5"/>
  <c r="C120" i="5"/>
  <c r="C119" i="5"/>
  <c r="D19" i="8"/>
  <c r="C5" i="5"/>
  <c r="C112" i="5"/>
  <c r="C111" i="5"/>
  <c r="D106" i="5"/>
  <c r="E106" i="5"/>
  <c r="F106" i="5"/>
  <c r="C106" i="5"/>
  <c r="D105" i="5"/>
  <c r="E105" i="5"/>
  <c r="F105" i="5"/>
  <c r="C105" i="5"/>
  <c r="D104" i="5"/>
  <c r="E104" i="5"/>
  <c r="F104" i="5"/>
  <c r="C104" i="5"/>
  <c r="D103" i="5"/>
  <c r="E103" i="5"/>
  <c r="F103" i="5"/>
  <c r="C103" i="5"/>
  <c r="D99" i="5"/>
  <c r="E99" i="5"/>
  <c r="F99" i="5"/>
  <c r="C99" i="5"/>
  <c r="D98" i="5"/>
  <c r="E98" i="5"/>
  <c r="F98" i="5"/>
  <c r="C98" i="5"/>
  <c r="D97" i="5"/>
  <c r="E97" i="5"/>
  <c r="F97" i="5"/>
  <c r="C97" i="5"/>
  <c r="D95" i="5"/>
  <c r="E95" i="5"/>
  <c r="F95" i="5"/>
  <c r="C95" i="5"/>
  <c r="D94" i="5"/>
  <c r="E94" i="5"/>
  <c r="F94" i="5"/>
  <c r="C94" i="5"/>
  <c r="D93" i="5"/>
  <c r="E93" i="5"/>
  <c r="F93" i="5"/>
  <c r="C93" i="5"/>
  <c r="D92" i="5"/>
  <c r="E92" i="5"/>
  <c r="F92" i="5"/>
  <c r="C92" i="5"/>
  <c r="C90" i="5"/>
  <c r="D90" i="5"/>
  <c r="D107" i="5" s="1"/>
  <c r="E90" i="5"/>
  <c r="E107" i="5" s="1"/>
  <c r="F90" i="5"/>
  <c r="F107" i="5" s="1"/>
  <c r="F113" i="5" s="1"/>
  <c r="F117" i="5" s="1"/>
  <c r="C8" i="5"/>
  <c r="C41" i="5"/>
  <c r="C38" i="5"/>
  <c r="C39" i="5" s="1"/>
  <c r="C42" i="5" s="1"/>
  <c r="C37" i="5"/>
  <c r="C35" i="5"/>
  <c r="C30" i="5"/>
  <c r="C29" i="5"/>
  <c r="C28" i="5"/>
  <c r="C25" i="5"/>
  <c r="C24" i="5"/>
  <c r="C23" i="5"/>
  <c r="C22" i="5"/>
  <c r="C20" i="5"/>
  <c r="C19" i="5"/>
  <c r="C18" i="5"/>
  <c r="C17" i="5"/>
  <c r="C16" i="5"/>
  <c r="C12" i="5"/>
  <c r="C11" i="5"/>
  <c r="C10" i="5"/>
  <c r="C7" i="5"/>
  <c r="C6" i="5"/>
  <c r="D41" i="5"/>
  <c r="D38" i="5"/>
  <c r="D37" i="5"/>
  <c r="D39" i="5" s="1"/>
  <c r="D42" i="5" s="1"/>
  <c r="D44" i="5" s="1"/>
  <c r="D35" i="5"/>
  <c r="D30" i="5"/>
  <c r="D29" i="5"/>
  <c r="D28" i="5"/>
  <c r="D25" i="5"/>
  <c r="D24" i="5"/>
  <c r="D23" i="5"/>
  <c r="D22" i="5"/>
  <c r="D20" i="5"/>
  <c r="D19" i="5"/>
  <c r="D18" i="5"/>
  <c r="D17" i="5"/>
  <c r="D16" i="5"/>
  <c r="D12" i="5"/>
  <c r="D11" i="5"/>
  <c r="D10" i="5"/>
  <c r="D13" i="5" s="1"/>
  <c r="D26" i="5" s="1"/>
  <c r="D7" i="5"/>
  <c r="D6" i="5"/>
  <c r="D5" i="5"/>
  <c r="E41" i="5"/>
  <c r="E38" i="5"/>
  <c r="E39" i="5" s="1"/>
  <c r="E42" i="5" s="1"/>
  <c r="E44" i="5" s="1"/>
  <c r="E37" i="5"/>
  <c r="E35" i="5"/>
  <c r="E30" i="5"/>
  <c r="E29" i="5"/>
  <c r="E28" i="5"/>
  <c r="E25" i="5"/>
  <c r="E24" i="5"/>
  <c r="E23" i="5"/>
  <c r="E22" i="5"/>
  <c r="E20" i="5"/>
  <c r="E19" i="5"/>
  <c r="E18" i="5"/>
  <c r="E17" i="5"/>
  <c r="E16" i="5"/>
  <c r="E12" i="5"/>
  <c r="E11" i="5"/>
  <c r="E10" i="5"/>
  <c r="E7" i="5"/>
  <c r="E8" i="5" s="1"/>
  <c r="E6" i="5"/>
  <c r="E5" i="5"/>
  <c r="F41" i="5"/>
  <c r="F38" i="5"/>
  <c r="F37" i="5"/>
  <c r="F35" i="5"/>
  <c r="F30" i="5"/>
  <c r="F29" i="5"/>
  <c r="F28" i="5"/>
  <c r="F24" i="5"/>
  <c r="F22" i="5"/>
  <c r="F23" i="5"/>
  <c r="F12" i="5"/>
  <c r="F20" i="5"/>
  <c r="F19" i="5"/>
  <c r="F18" i="5"/>
  <c r="F17" i="5"/>
  <c r="F16" i="5"/>
  <c r="F11" i="5"/>
  <c r="F10" i="5"/>
  <c r="F7" i="5"/>
  <c r="F6" i="5"/>
  <c r="F5" i="5"/>
  <c r="F25" i="5"/>
  <c r="C107" i="5" l="1"/>
  <c r="C113" i="5" s="1"/>
  <c r="C117" i="5" s="1"/>
  <c r="E113" i="5"/>
  <c r="E117" i="5" s="1"/>
  <c r="D113" i="5"/>
  <c r="D117" i="5" s="1"/>
  <c r="F123" i="5"/>
  <c r="F39" i="5"/>
  <c r="F42" i="5" s="1"/>
  <c r="F44" i="5" s="1"/>
  <c r="F13" i="5"/>
  <c r="F26" i="5" s="1"/>
  <c r="F31" i="5" s="1"/>
  <c r="D8" i="5"/>
  <c r="D31" i="5" s="1"/>
  <c r="D46" i="5" s="1"/>
  <c r="E31" i="5"/>
  <c r="E46" i="5" s="1"/>
  <c r="F8" i="5"/>
  <c r="E13" i="5"/>
  <c r="E26" i="5" s="1"/>
  <c r="C13" i="5"/>
  <c r="C26" i="5" s="1"/>
  <c r="C31" i="5" s="1"/>
  <c r="C44" i="5"/>
  <c r="G41" i="5"/>
  <c r="G38" i="5"/>
  <c r="G37" i="5"/>
  <c r="G39" i="5" s="1"/>
  <c r="G35" i="5"/>
  <c r="G30" i="5"/>
  <c r="G29" i="5"/>
  <c r="G28" i="5"/>
  <c r="G25" i="5"/>
  <c r="G24" i="5"/>
  <c r="G23" i="5"/>
  <c r="G22" i="5"/>
  <c r="G20" i="5"/>
  <c r="G19" i="5"/>
  <c r="G18" i="5"/>
  <c r="G17" i="5"/>
  <c r="G16" i="5"/>
  <c r="G13" i="5"/>
  <c r="G26" i="5" s="1"/>
  <c r="G12" i="5"/>
  <c r="G11" i="5"/>
  <c r="G10" i="5"/>
  <c r="G7" i="5"/>
  <c r="G6" i="5"/>
  <c r="G5" i="5"/>
  <c r="G8" i="5" s="1"/>
  <c r="C56" i="5"/>
  <c r="C59" i="5" s="1"/>
  <c r="C63" i="5" s="1"/>
  <c r="C65" i="5" s="1"/>
  <c r="C68" i="5" s="1"/>
  <c r="C71" i="5" s="1"/>
  <c r="D56" i="5"/>
  <c r="D59" i="5" s="1"/>
  <c r="D63" i="5" s="1"/>
  <c r="D65" i="5" s="1"/>
  <c r="D68" i="5" s="1"/>
  <c r="D71" i="5" s="1"/>
  <c r="E56" i="5"/>
  <c r="E59" i="5" s="1"/>
  <c r="E63" i="5" s="1"/>
  <c r="E65" i="5" s="1"/>
  <c r="E68" i="5" s="1"/>
  <c r="E71" i="5" s="1"/>
  <c r="F56" i="5"/>
  <c r="F59" i="5" s="1"/>
  <c r="F63" i="5" s="1"/>
  <c r="F65" i="5" s="1"/>
  <c r="F68" i="5" s="1"/>
  <c r="F71" i="5" s="1"/>
  <c r="G56" i="5"/>
  <c r="G59" i="5" s="1"/>
  <c r="G63" i="5" s="1"/>
  <c r="G65" i="5" s="1"/>
  <c r="G68" i="5" s="1"/>
  <c r="G71" i="5" s="1"/>
  <c r="F53" i="7"/>
  <c r="B53" i="7"/>
  <c r="F52" i="7"/>
  <c r="D53" i="7"/>
  <c r="B52" i="7"/>
  <c r="M53" i="7"/>
  <c r="F40" i="7" s="1"/>
  <c r="F43" i="7" s="1"/>
  <c r="R42" i="7"/>
  <c r="R41" i="7"/>
  <c r="Q42" i="7"/>
  <c r="Q41" i="7"/>
  <c r="R39" i="7"/>
  <c r="R38" i="7"/>
  <c r="Q39" i="7"/>
  <c r="Q38" i="7"/>
  <c r="O38" i="7"/>
  <c r="N38" i="7"/>
  <c r="O39" i="7"/>
  <c r="O40" i="7"/>
  <c r="N40" i="7"/>
  <c r="G22" i="9"/>
  <c r="E22" i="9"/>
  <c r="G12" i="9"/>
  <c r="H12" i="9" s="1"/>
  <c r="E12" i="9"/>
  <c r="F48" i="7"/>
  <c r="F50" i="7" s="1"/>
  <c r="D48" i="7"/>
  <c r="D50" i="7" s="1"/>
  <c r="D41" i="7"/>
  <c r="D43" i="7" s="1"/>
  <c r="O41" i="7"/>
  <c r="N41" i="7"/>
  <c r="N39" i="7"/>
  <c r="B48" i="7"/>
  <c r="B50" i="7" s="1"/>
  <c r="B41" i="7"/>
  <c r="B43" i="7" s="1"/>
  <c r="F46" i="5" l="1"/>
  <c r="G42" i="5"/>
  <c r="G31" i="5"/>
  <c r="G46" i="5" s="1"/>
  <c r="D123" i="5"/>
  <c r="C46" i="5"/>
  <c r="G44" i="5"/>
  <c r="C123" i="5"/>
  <c r="E123" i="5"/>
  <c r="D34" i="8" l="1"/>
  <c r="E34" i="8"/>
  <c r="G34" i="8"/>
  <c r="F34" i="8"/>
  <c r="E30" i="8"/>
  <c r="F30" i="8"/>
  <c r="G30" i="8"/>
  <c r="D30" i="8"/>
  <c r="E29" i="8"/>
  <c r="F29" i="8"/>
  <c r="G29" i="8"/>
  <c r="E23" i="8"/>
  <c r="F23" i="8"/>
  <c r="G23" i="8"/>
  <c r="D23" i="8"/>
  <c r="E22" i="8"/>
  <c r="F22" i="8"/>
  <c r="G22" i="8"/>
  <c r="D22" i="8"/>
  <c r="E21" i="8"/>
  <c r="F21" i="8"/>
  <c r="G21" i="8"/>
  <c r="D21" i="8"/>
  <c r="E21" i="2"/>
  <c r="F21" i="2"/>
  <c r="G21" i="2"/>
  <c r="H21" i="2"/>
  <c r="D21" i="2"/>
  <c r="H19" i="2"/>
  <c r="G19" i="2"/>
  <c r="F19" i="2"/>
  <c r="E19" i="2"/>
  <c r="D19" i="2"/>
  <c r="E39" i="8" l="1"/>
  <c r="F39" i="8"/>
  <c r="G39" i="8"/>
  <c r="D39" i="8"/>
  <c r="E12" i="8"/>
  <c r="F12" i="8"/>
  <c r="G12" i="8"/>
  <c r="D12" i="8"/>
  <c r="E11" i="8"/>
  <c r="F11" i="8"/>
  <c r="G11" i="8"/>
  <c r="D11" i="8"/>
  <c r="F10" i="8"/>
  <c r="G10" i="8"/>
  <c r="E10" i="8"/>
  <c r="D10" i="8"/>
  <c r="H110" i="2"/>
  <c r="G110" i="2"/>
  <c r="F110" i="2"/>
  <c r="E110" i="2"/>
  <c r="D110" i="2"/>
  <c r="H106" i="2"/>
  <c r="H109" i="2" s="1"/>
  <c r="G106" i="2"/>
  <c r="G109" i="2" s="1"/>
  <c r="F106" i="2"/>
  <c r="F109" i="2" s="1"/>
  <c r="E106" i="2"/>
  <c r="E109" i="2" s="1"/>
  <c r="D106" i="2"/>
  <c r="D109" i="2" s="1"/>
  <c r="D96" i="2"/>
  <c r="D83" i="2" s="1"/>
  <c r="D99" i="2" s="1"/>
  <c r="H94" i="2"/>
  <c r="H96" i="2" s="1"/>
  <c r="G94" i="2"/>
  <c r="G96" i="2" s="1"/>
  <c r="F94" i="2"/>
  <c r="F96" i="2" s="1"/>
  <c r="F83" i="2" s="1"/>
  <c r="F99" i="2" s="1"/>
  <c r="E94" i="2"/>
  <c r="E96" i="2" s="1"/>
  <c r="E83" i="2" s="1"/>
  <c r="E99" i="2" s="1"/>
  <c r="H87" i="2"/>
  <c r="G87" i="2"/>
  <c r="H76" i="2"/>
  <c r="G76" i="2"/>
  <c r="F76" i="2"/>
  <c r="E76" i="2"/>
  <c r="D76" i="2"/>
  <c r="H72" i="2"/>
  <c r="G72" i="2"/>
  <c r="F72" i="2"/>
  <c r="E72" i="2"/>
  <c r="D72" i="2"/>
  <c r="H66" i="2"/>
  <c r="H61" i="2" s="1"/>
  <c r="H68" i="2" s="1"/>
  <c r="G66" i="2"/>
  <c r="G61" i="2" s="1"/>
  <c r="G68" i="2" s="1"/>
  <c r="F66" i="2"/>
  <c r="F61" i="2" s="1"/>
  <c r="F68" i="2" s="1"/>
  <c r="E66" i="2"/>
  <c r="E61" i="2" s="1"/>
  <c r="E68" i="2" s="1"/>
  <c r="D66" i="2"/>
  <c r="D61" i="2" s="1"/>
  <c r="D68" i="2" s="1"/>
  <c r="H55" i="2"/>
  <c r="G55" i="2"/>
  <c r="G52" i="2" s="1"/>
  <c r="F55" i="2"/>
  <c r="F52" i="2" s="1"/>
  <c r="E55" i="2"/>
  <c r="E52" i="2" s="1"/>
  <c r="D55" i="2"/>
  <c r="D13" i="8" l="1"/>
  <c r="E13" i="8"/>
  <c r="G13" i="8"/>
  <c r="D28" i="8"/>
  <c r="F13" i="8"/>
  <c r="H83" i="2"/>
  <c r="H99" i="2" s="1"/>
  <c r="D52" i="2"/>
  <c r="D70" i="2" s="1"/>
  <c r="D80" i="2" s="1"/>
  <c r="D101" i="2" s="1"/>
  <c r="D114" i="2" s="1"/>
  <c r="E70" i="2"/>
  <c r="E80" i="2" s="1"/>
  <c r="E101" i="2" s="1"/>
  <c r="E114" i="2" s="1"/>
  <c r="H52" i="2"/>
  <c r="H70" i="2" s="1"/>
  <c r="H80" i="2" s="1"/>
  <c r="G83" i="2"/>
  <c r="G99" i="2" s="1"/>
  <c r="F70" i="2"/>
  <c r="F80" i="2" s="1"/>
  <c r="F101" i="2" s="1"/>
  <c r="F114" i="2" s="1"/>
  <c r="G70" i="2"/>
  <c r="G80" i="2" s="1"/>
  <c r="E39" i="2"/>
  <c r="E42" i="2" s="1"/>
  <c r="F39" i="2"/>
  <c r="F42" i="2" s="1"/>
  <c r="G39" i="2"/>
  <c r="G42" i="2" s="1"/>
  <c r="H39" i="2"/>
  <c r="D39" i="2"/>
  <c r="D42" i="2" s="1"/>
  <c r="E13" i="2"/>
  <c r="F13" i="2"/>
  <c r="G13" i="2"/>
  <c r="H13" i="2"/>
  <c r="D13" i="2"/>
  <c r="F16" i="8" l="1"/>
  <c r="E16" i="8"/>
  <c r="E7" i="8"/>
  <c r="E8" i="8" s="1"/>
  <c r="G16" i="8"/>
  <c r="H42" i="2"/>
  <c r="H44" i="2" s="1"/>
  <c r="D7" i="8"/>
  <c r="D8" i="8" s="1"/>
  <c r="D16" i="8"/>
  <c r="G44" i="2"/>
  <c r="F44" i="2"/>
  <c r="E44" i="2"/>
  <c r="D44" i="2"/>
  <c r="D29" i="8"/>
  <c r="G101" i="2"/>
  <c r="G114" i="2" s="1"/>
  <c r="H101" i="2"/>
  <c r="H114" i="2" s="1"/>
  <c r="G7" i="8" l="1"/>
  <c r="G8" i="8" s="1"/>
  <c r="F7" i="8"/>
  <c r="F8" i="8" s="1"/>
  <c r="E20" i="2"/>
  <c r="F20" i="2"/>
  <c r="G20" i="2"/>
  <c r="H20" i="2"/>
  <c r="D20" i="2"/>
  <c r="G50" i="1"/>
  <c r="H50" i="1"/>
  <c r="I50" i="1"/>
  <c r="J50" i="1"/>
  <c r="F50" i="1"/>
  <c r="J27" i="6"/>
  <c r="H44" i="6"/>
  <c r="I44" i="6"/>
  <c r="J44" i="6"/>
  <c r="H37" i="6"/>
  <c r="I37" i="6"/>
  <c r="J37" i="6"/>
  <c r="K37" i="6"/>
  <c r="I35" i="6"/>
  <c r="I34" i="6"/>
  <c r="H25" i="6"/>
  <c r="I25" i="6"/>
  <c r="C48" i="6"/>
  <c r="M17" i="6" l="1"/>
  <c r="K48" i="3" l="1"/>
  <c r="L48" i="3"/>
  <c r="M48" i="3"/>
  <c r="N48" i="3"/>
  <c r="G44" i="6" s="1"/>
  <c r="J48" i="3"/>
  <c r="E91" i="3"/>
  <c r="E92" i="3" s="1"/>
  <c r="E93" i="3" s="1"/>
  <c r="F91" i="3"/>
  <c r="F92" i="3" s="1"/>
  <c r="F93" i="3" s="1"/>
  <c r="G91" i="3"/>
  <c r="G92" i="3" s="1"/>
  <c r="G93" i="3" s="1"/>
  <c r="H91" i="3"/>
  <c r="I91" i="3"/>
  <c r="T71" i="3"/>
  <c r="T68" i="3"/>
  <c r="T67" i="3"/>
  <c r="E67" i="3"/>
  <c r="E70" i="3" s="1"/>
  <c r="F67" i="3"/>
  <c r="F70" i="3" s="1"/>
  <c r="G67" i="3"/>
  <c r="G70" i="3" s="1"/>
  <c r="H67" i="3"/>
  <c r="H70" i="3" s="1"/>
  <c r="I67" i="3"/>
  <c r="I70" i="3" s="1"/>
  <c r="T65" i="3"/>
  <c r="T64" i="3"/>
  <c r="T63" i="3"/>
  <c r="T56" i="3"/>
  <c r="E56" i="3"/>
  <c r="E59" i="3" s="1"/>
  <c r="F54" i="3"/>
  <c r="F56" i="3" s="1"/>
  <c r="F59" i="3" s="1"/>
  <c r="G54" i="3"/>
  <c r="G56" i="3" s="1"/>
  <c r="G59" i="3" s="1"/>
  <c r="H54" i="3"/>
  <c r="H56" i="3" s="1"/>
  <c r="I54" i="3"/>
  <c r="I56" i="3" s="1"/>
  <c r="T52" i="3"/>
  <c r="T51" i="3"/>
  <c r="T50" i="3"/>
  <c r="T49" i="3"/>
  <c r="T48" i="3"/>
  <c r="H47" i="3"/>
  <c r="I47" i="3"/>
  <c r="T45" i="3"/>
  <c r="T40" i="3"/>
  <c r="T35" i="3"/>
  <c r="T34" i="3"/>
  <c r="E34" i="3"/>
  <c r="E37" i="3" s="1"/>
  <c r="F34" i="3"/>
  <c r="F37" i="3" s="1"/>
  <c r="G34" i="3"/>
  <c r="G37" i="3" s="1"/>
  <c r="H34" i="3"/>
  <c r="H37" i="3" s="1"/>
  <c r="I34" i="3"/>
  <c r="T32" i="3"/>
  <c r="T31" i="3"/>
  <c r="T30" i="3"/>
  <c r="T24" i="3"/>
  <c r="E24" i="3"/>
  <c r="E26" i="3" s="1"/>
  <c r="F24" i="3"/>
  <c r="F26" i="3" s="1"/>
  <c r="G24" i="3"/>
  <c r="G26" i="3" s="1"/>
  <c r="H24" i="3"/>
  <c r="H26" i="3" s="1"/>
  <c r="I24" i="3"/>
  <c r="I26" i="3" s="1"/>
  <c r="T22" i="3"/>
  <c r="T21" i="3"/>
  <c r="T20" i="3"/>
  <c r="T19" i="3"/>
  <c r="T16" i="3"/>
  <c r="E15" i="3"/>
  <c r="E17" i="3" s="1"/>
  <c r="F15" i="3"/>
  <c r="F17" i="3" s="1"/>
  <c r="G15" i="3"/>
  <c r="G17" i="3" s="1"/>
  <c r="H15" i="3"/>
  <c r="H17" i="3" s="1"/>
  <c r="I15" i="3"/>
  <c r="I17" i="3" s="1"/>
  <c r="T14" i="3"/>
  <c r="T13" i="3"/>
  <c r="T9" i="3"/>
  <c r="E8" i="3"/>
  <c r="E10" i="3" s="1"/>
  <c r="F8" i="3"/>
  <c r="F10" i="3" s="1"/>
  <c r="G8" i="3"/>
  <c r="G10" i="3" s="1"/>
  <c r="H8" i="3"/>
  <c r="I8" i="3"/>
  <c r="I10" i="3" s="1"/>
  <c r="T7" i="3"/>
  <c r="T6" i="3"/>
  <c r="I59" i="3" l="1"/>
  <c r="T8" i="3"/>
  <c r="I28" i="3"/>
  <c r="T23" i="3"/>
  <c r="T46" i="3"/>
  <c r="T25" i="3"/>
  <c r="T33" i="3"/>
  <c r="F28" i="3"/>
  <c r="F39" i="3" s="1"/>
  <c r="H10" i="3"/>
  <c r="T10" i="3" s="1"/>
  <c r="T53" i="3"/>
  <c r="G28" i="3"/>
  <c r="G39" i="3" s="1"/>
  <c r="D44" i="6" s="1"/>
  <c r="E28" i="3"/>
  <c r="E39" i="3" s="1"/>
  <c r="E61" i="3" s="1"/>
  <c r="E71" i="3" s="1"/>
  <c r="E74" i="3" s="1"/>
  <c r="H28" i="3"/>
  <c r="T17" i="3"/>
  <c r="H59" i="3"/>
  <c r="T58" i="3" s="1"/>
  <c r="T55" i="3"/>
  <c r="T69" i="3"/>
  <c r="I37" i="3"/>
  <c r="T15" i="3"/>
  <c r="T66" i="3"/>
  <c r="I39" i="3" l="1"/>
  <c r="F44" i="6" s="1"/>
  <c r="G61" i="3"/>
  <c r="G71" i="3" s="1"/>
  <c r="G74" i="3" s="1"/>
  <c r="F61" i="3"/>
  <c r="F71" i="3" s="1"/>
  <c r="F74" i="3" s="1"/>
  <c r="C44" i="6"/>
  <c r="T27" i="3"/>
  <c r="H39" i="3"/>
  <c r="E44" i="6" s="1"/>
  <c r="T36" i="3"/>
  <c r="I61" i="3" l="1"/>
  <c r="I71" i="3" s="1"/>
  <c r="I74" i="3" s="1"/>
  <c r="I77" i="3" s="1"/>
  <c r="I92" i="3" s="1"/>
  <c r="I93" i="3" s="1"/>
  <c r="T38" i="3"/>
  <c r="H61" i="3"/>
  <c r="T60" i="3" l="1"/>
  <c r="H71" i="3"/>
  <c r="H74" i="3" l="1"/>
  <c r="T70" i="3"/>
  <c r="H77" i="3" l="1"/>
  <c r="T73" i="3"/>
  <c r="H92" i="3" l="1"/>
  <c r="H93" i="3" s="1"/>
  <c r="T76" i="3"/>
  <c r="F173" i="1" l="1"/>
  <c r="F166" i="1"/>
  <c r="F141" i="1"/>
  <c r="F134" i="1"/>
  <c r="F130" i="1"/>
  <c r="F123" i="1"/>
  <c r="F119" i="1"/>
  <c r="F108" i="1"/>
  <c r="F85" i="1"/>
  <c r="D17" i="2" s="1"/>
  <c r="F80" i="1"/>
  <c r="R66" i="1"/>
  <c r="Q66" i="1"/>
  <c r="P66" i="1"/>
  <c r="F60" i="1"/>
  <c r="F55" i="1"/>
  <c r="F40" i="1"/>
  <c r="D18" i="2" s="1"/>
  <c r="F27" i="1"/>
  <c r="D6" i="2" s="1"/>
  <c r="F16" i="1"/>
  <c r="R146" i="1"/>
  <c r="Q146" i="1"/>
  <c r="P147" i="1"/>
  <c r="R67" i="1"/>
  <c r="Q67" i="1"/>
  <c r="Q71" i="1"/>
  <c r="Q142" i="1"/>
  <c r="R142" i="1"/>
  <c r="Q141" i="1"/>
  <c r="R141" i="1"/>
  <c r="P169" i="1"/>
  <c r="T165" i="1"/>
  <c r="S164" i="1"/>
  <c r="R164" i="1"/>
  <c r="Q164" i="1"/>
  <c r="P164" i="1"/>
  <c r="J173" i="1"/>
  <c r="I173" i="1"/>
  <c r="H173" i="1"/>
  <c r="G173" i="1"/>
  <c r="R162" i="1"/>
  <c r="Q162" i="1"/>
  <c r="P162" i="1"/>
  <c r="R161" i="1"/>
  <c r="Q161" i="1"/>
  <c r="P161" i="1"/>
  <c r="R160" i="1"/>
  <c r="Q160" i="1"/>
  <c r="P160" i="1"/>
  <c r="R159" i="1"/>
  <c r="Q159" i="1"/>
  <c r="P159" i="1"/>
  <c r="R158" i="1"/>
  <c r="Q158" i="1"/>
  <c r="P158" i="1"/>
  <c r="J166" i="1"/>
  <c r="I166" i="1"/>
  <c r="H166" i="1"/>
  <c r="G166" i="1"/>
  <c r="R155" i="1"/>
  <c r="Q155" i="1"/>
  <c r="P155" i="1"/>
  <c r="R154" i="1"/>
  <c r="Q154" i="1"/>
  <c r="P154" i="1"/>
  <c r="R153" i="1"/>
  <c r="Q153" i="1"/>
  <c r="P153" i="1"/>
  <c r="R152" i="1"/>
  <c r="Q152" i="1"/>
  <c r="P152" i="1"/>
  <c r="R151" i="1"/>
  <c r="Q151" i="1"/>
  <c r="P151" i="1"/>
  <c r="R150" i="1"/>
  <c r="Q150" i="1"/>
  <c r="P150" i="1"/>
  <c r="R149" i="1"/>
  <c r="Q149" i="1"/>
  <c r="P149" i="1"/>
  <c r="R148" i="1"/>
  <c r="R147" i="1"/>
  <c r="P146" i="1"/>
  <c r="R145" i="1"/>
  <c r="Q145" i="1"/>
  <c r="P145" i="1"/>
  <c r="R144" i="1"/>
  <c r="Q144" i="1"/>
  <c r="P144" i="1"/>
  <c r="R143" i="1"/>
  <c r="Q143" i="1"/>
  <c r="P143" i="1"/>
  <c r="P142" i="1"/>
  <c r="P141" i="1"/>
  <c r="R140" i="1"/>
  <c r="Q140" i="1"/>
  <c r="P140" i="1"/>
  <c r="R139" i="1"/>
  <c r="Q139" i="1"/>
  <c r="P139" i="1"/>
  <c r="R138" i="1"/>
  <c r="Q138" i="1"/>
  <c r="P138" i="1"/>
  <c r="R137" i="1"/>
  <c r="Q137" i="1"/>
  <c r="P137" i="1"/>
  <c r="R136" i="1"/>
  <c r="Q136" i="1"/>
  <c r="P136" i="1"/>
  <c r="R135" i="1"/>
  <c r="Q135" i="1"/>
  <c r="P135" i="1"/>
  <c r="R134" i="1"/>
  <c r="Q134" i="1"/>
  <c r="P134" i="1"/>
  <c r="R133" i="1"/>
  <c r="Q133" i="1"/>
  <c r="P133" i="1"/>
  <c r="J141" i="1"/>
  <c r="I141" i="1"/>
  <c r="H141" i="1"/>
  <c r="G141" i="1"/>
  <c r="R130" i="1"/>
  <c r="Q130" i="1"/>
  <c r="P130" i="1"/>
  <c r="R129" i="1"/>
  <c r="Q129" i="1"/>
  <c r="P129" i="1"/>
  <c r="T125" i="1"/>
  <c r="J134" i="1"/>
  <c r="I134" i="1"/>
  <c r="H134" i="1"/>
  <c r="G134" i="1"/>
  <c r="R123" i="1"/>
  <c r="Q123" i="1"/>
  <c r="P123" i="1"/>
  <c r="R122" i="1"/>
  <c r="Q122" i="1"/>
  <c r="P122" i="1"/>
  <c r="J130" i="1"/>
  <c r="I130" i="1"/>
  <c r="H130" i="1"/>
  <c r="G130" i="1"/>
  <c r="R119" i="1"/>
  <c r="Q119" i="1"/>
  <c r="P119" i="1"/>
  <c r="R118" i="1"/>
  <c r="Q118" i="1"/>
  <c r="P118" i="1"/>
  <c r="R117" i="1"/>
  <c r="Q117" i="1"/>
  <c r="P117" i="1"/>
  <c r="R116" i="1"/>
  <c r="Q116" i="1"/>
  <c r="P116" i="1"/>
  <c r="R115" i="1"/>
  <c r="Q115" i="1"/>
  <c r="P115" i="1"/>
  <c r="J123" i="1"/>
  <c r="I123" i="1"/>
  <c r="H123" i="1"/>
  <c r="G123" i="1"/>
  <c r="R112" i="1"/>
  <c r="Q112" i="1"/>
  <c r="P112" i="1"/>
  <c r="R111" i="1"/>
  <c r="Q111" i="1"/>
  <c r="P111" i="1"/>
  <c r="J119" i="1"/>
  <c r="I119" i="1"/>
  <c r="H119" i="1"/>
  <c r="G119" i="1"/>
  <c r="R108" i="1"/>
  <c r="Q108" i="1"/>
  <c r="P108" i="1"/>
  <c r="R107" i="1"/>
  <c r="Q107" i="1"/>
  <c r="P107" i="1"/>
  <c r="R106" i="1"/>
  <c r="Q106" i="1"/>
  <c r="P106" i="1"/>
  <c r="R105" i="1"/>
  <c r="Q105" i="1"/>
  <c r="P105" i="1"/>
  <c r="S99" i="1"/>
  <c r="R99" i="1"/>
  <c r="Q99" i="1"/>
  <c r="P99" i="1"/>
  <c r="T98" i="1"/>
  <c r="T100" i="1" s="1"/>
  <c r="L17" i="6" s="1"/>
  <c r="J108" i="1"/>
  <c r="I108" i="1"/>
  <c r="H108" i="1"/>
  <c r="G108" i="1"/>
  <c r="S97" i="1"/>
  <c r="R97" i="1"/>
  <c r="Q97" i="1"/>
  <c r="P97" i="1"/>
  <c r="J106" i="1"/>
  <c r="I106" i="1"/>
  <c r="H106" i="1"/>
  <c r="G106" i="1"/>
  <c r="R95" i="1"/>
  <c r="Q95" i="1"/>
  <c r="P95" i="1"/>
  <c r="R94" i="1"/>
  <c r="Q94" i="1"/>
  <c r="P94" i="1"/>
  <c r="J103" i="1"/>
  <c r="I103" i="1"/>
  <c r="H103" i="1"/>
  <c r="G103" i="1"/>
  <c r="R92" i="1"/>
  <c r="Q92" i="1"/>
  <c r="R91" i="1"/>
  <c r="Q91" i="1"/>
  <c r="P91" i="1"/>
  <c r="S89" i="1"/>
  <c r="R89" i="1"/>
  <c r="Q89" i="1"/>
  <c r="P89" i="1"/>
  <c r="S88" i="1"/>
  <c r="R88" i="1"/>
  <c r="Q88" i="1"/>
  <c r="P88" i="1"/>
  <c r="S87" i="1"/>
  <c r="R87" i="1"/>
  <c r="Q87" i="1"/>
  <c r="P87" i="1"/>
  <c r="R83" i="1"/>
  <c r="Q83" i="1"/>
  <c r="P83" i="1"/>
  <c r="T81" i="1"/>
  <c r="S80" i="1"/>
  <c r="R80" i="1"/>
  <c r="Q80" i="1"/>
  <c r="P80" i="1"/>
  <c r="S79" i="1"/>
  <c r="R79" i="1"/>
  <c r="Q79" i="1"/>
  <c r="P79" i="1"/>
  <c r="J85" i="1"/>
  <c r="I85" i="1"/>
  <c r="H85" i="1"/>
  <c r="G85" i="1"/>
  <c r="P77" i="1"/>
  <c r="R76" i="1"/>
  <c r="Q76" i="1"/>
  <c r="P76" i="1"/>
  <c r="R75" i="1"/>
  <c r="Q75" i="1"/>
  <c r="P75" i="1"/>
  <c r="J80" i="1"/>
  <c r="I80" i="1"/>
  <c r="H80" i="1"/>
  <c r="G80" i="1"/>
  <c r="R72" i="1"/>
  <c r="Q72" i="1"/>
  <c r="P72" i="1"/>
  <c r="P71" i="1"/>
  <c r="R70" i="1"/>
  <c r="Q70" i="1"/>
  <c r="P70" i="1"/>
  <c r="R69" i="1"/>
  <c r="Q69" i="1"/>
  <c r="P69" i="1"/>
  <c r="Q68" i="1"/>
  <c r="P68" i="1"/>
  <c r="P67" i="1"/>
  <c r="R65" i="1"/>
  <c r="Q65" i="1"/>
  <c r="P65" i="1"/>
  <c r="R64" i="1"/>
  <c r="Q64" i="1"/>
  <c r="R63" i="1"/>
  <c r="Q63" i="1"/>
  <c r="P63" i="1"/>
  <c r="R62" i="1"/>
  <c r="Q62" i="1"/>
  <c r="P62" i="1"/>
  <c r="R61" i="1"/>
  <c r="Q61" i="1"/>
  <c r="P61" i="1"/>
  <c r="R60" i="1"/>
  <c r="Q60" i="1"/>
  <c r="P60" i="1"/>
  <c r="R59" i="1"/>
  <c r="Q59" i="1"/>
  <c r="P59" i="1"/>
  <c r="R58" i="1"/>
  <c r="Q58" i="1"/>
  <c r="P58" i="1"/>
  <c r="R57" i="1"/>
  <c r="Q57" i="1"/>
  <c r="P57" i="1"/>
  <c r="R56" i="1"/>
  <c r="Q56" i="1"/>
  <c r="P56" i="1"/>
  <c r="R55" i="1"/>
  <c r="Q55" i="1"/>
  <c r="P55" i="1"/>
  <c r="J60" i="1"/>
  <c r="I60" i="1"/>
  <c r="H60" i="1"/>
  <c r="G60" i="1"/>
  <c r="R52" i="1"/>
  <c r="Q52" i="1"/>
  <c r="P52" i="1"/>
  <c r="R51" i="1"/>
  <c r="Q51" i="1"/>
  <c r="P51" i="1"/>
  <c r="R50" i="1"/>
  <c r="Q50" i="1"/>
  <c r="P50" i="1"/>
  <c r="R47" i="1"/>
  <c r="Q47" i="1"/>
  <c r="P47" i="1"/>
  <c r="H53" i="1"/>
  <c r="H55" i="1" s="1"/>
  <c r="G53" i="1"/>
  <c r="R45" i="1"/>
  <c r="Q45" i="1"/>
  <c r="P45" i="1"/>
  <c r="R44" i="1"/>
  <c r="Q44" i="1"/>
  <c r="P44" i="1"/>
  <c r="J53" i="1"/>
  <c r="J55" i="1" s="1"/>
  <c r="Q43" i="1"/>
  <c r="P43" i="1"/>
  <c r="R42" i="1"/>
  <c r="Q42" i="1"/>
  <c r="P42" i="1"/>
  <c r="R41" i="1"/>
  <c r="Q41" i="1"/>
  <c r="P41" i="1"/>
  <c r="J40" i="1"/>
  <c r="I40" i="1"/>
  <c r="G18" i="2" s="1"/>
  <c r="H40" i="1"/>
  <c r="F18" i="2" s="1"/>
  <c r="G40" i="1"/>
  <c r="E18" i="2" s="1"/>
  <c r="R35" i="1"/>
  <c r="Q35" i="1"/>
  <c r="P35" i="1"/>
  <c r="R34" i="1"/>
  <c r="P34" i="1"/>
  <c r="S32" i="1"/>
  <c r="R32" i="1"/>
  <c r="Q32" i="1"/>
  <c r="P32" i="1"/>
  <c r="T31" i="1"/>
  <c r="T37" i="1" s="1"/>
  <c r="S30" i="1"/>
  <c r="R30" i="1"/>
  <c r="Q30" i="1"/>
  <c r="P30" i="1"/>
  <c r="S29" i="1"/>
  <c r="R29" i="1"/>
  <c r="Q29" i="1"/>
  <c r="P29" i="1"/>
  <c r="J27" i="1"/>
  <c r="I27" i="1"/>
  <c r="G6" i="2" s="1"/>
  <c r="H27" i="1"/>
  <c r="F6" i="2" s="1"/>
  <c r="G27" i="1"/>
  <c r="E6" i="2" s="1"/>
  <c r="R26" i="1"/>
  <c r="Q26" i="1"/>
  <c r="P26" i="1"/>
  <c r="R25" i="1"/>
  <c r="Q25" i="1"/>
  <c r="P25" i="1"/>
  <c r="R24" i="1"/>
  <c r="Q24" i="1"/>
  <c r="P24" i="1"/>
  <c r="R23" i="1"/>
  <c r="Q23" i="1"/>
  <c r="P23" i="1"/>
  <c r="R22" i="1"/>
  <c r="Q22" i="1"/>
  <c r="P22" i="1"/>
  <c r="S20" i="1"/>
  <c r="R20" i="1"/>
  <c r="Q20" i="1"/>
  <c r="P20" i="1"/>
  <c r="S19" i="1"/>
  <c r="R19" i="1"/>
  <c r="Q19" i="1"/>
  <c r="P19" i="1"/>
  <c r="S18" i="1"/>
  <c r="R18" i="1"/>
  <c r="Q18" i="1"/>
  <c r="P18" i="1"/>
  <c r="J16" i="1"/>
  <c r="I16" i="1"/>
  <c r="G5" i="2" s="1"/>
  <c r="H16" i="1"/>
  <c r="F5" i="2" s="1"/>
  <c r="G16" i="1"/>
  <c r="E5" i="2" s="1"/>
  <c r="R15" i="1"/>
  <c r="Q15" i="1"/>
  <c r="P15" i="1"/>
  <c r="R14" i="1"/>
  <c r="Q14" i="1"/>
  <c r="P14" i="1"/>
  <c r="R13" i="1"/>
  <c r="Q13" i="1"/>
  <c r="P13" i="1"/>
  <c r="R12" i="1"/>
  <c r="Q12" i="1"/>
  <c r="P12" i="1"/>
  <c r="R11" i="1"/>
  <c r="Q11" i="1"/>
  <c r="P11" i="1"/>
  <c r="R10" i="1"/>
  <c r="Q10" i="1"/>
  <c r="P10" i="1"/>
  <c r="R9" i="1"/>
  <c r="Q9" i="1"/>
  <c r="P9" i="1"/>
  <c r="R8" i="1"/>
  <c r="Q8" i="1"/>
  <c r="P8" i="1"/>
  <c r="R7" i="1"/>
  <c r="Q7" i="1"/>
  <c r="P7" i="1"/>
  <c r="F19" i="8" l="1"/>
  <c r="E19" i="8"/>
  <c r="F8" i="2"/>
  <c r="G8" i="2"/>
  <c r="E8" i="2"/>
  <c r="G17" i="2"/>
  <c r="C24" i="6"/>
  <c r="S53" i="1"/>
  <c r="G16" i="2"/>
  <c r="S78" i="1"/>
  <c r="H17" i="2"/>
  <c r="S163" i="1"/>
  <c r="F175" i="1"/>
  <c r="C37" i="6" s="1"/>
  <c r="F16" i="2"/>
  <c r="S48" i="1"/>
  <c r="S27" i="1"/>
  <c r="H6" i="2"/>
  <c r="S73" i="1"/>
  <c r="H16" i="2"/>
  <c r="E17" i="2"/>
  <c r="S120" i="1"/>
  <c r="S156" i="1"/>
  <c r="D5" i="2"/>
  <c r="F89" i="1"/>
  <c r="D34" i="6" s="1"/>
  <c r="D16" i="2"/>
  <c r="D15" i="2" s="1"/>
  <c r="S36" i="1"/>
  <c r="H18" i="2"/>
  <c r="S124" i="1"/>
  <c r="S16" i="1"/>
  <c r="H5" i="2"/>
  <c r="E16" i="2"/>
  <c r="F17" i="2"/>
  <c r="S113" i="1"/>
  <c r="S109" i="1"/>
  <c r="J110" i="1"/>
  <c r="G24" i="6"/>
  <c r="I110" i="1"/>
  <c r="H24" i="6"/>
  <c r="F110" i="1"/>
  <c r="G110" i="1"/>
  <c r="D24" i="6"/>
  <c r="J49" i="3"/>
  <c r="J50" i="3" s="1"/>
  <c r="F135" i="1"/>
  <c r="F177" i="1" s="1"/>
  <c r="H110" i="1"/>
  <c r="F24" i="6"/>
  <c r="K49" i="3"/>
  <c r="M49" i="3"/>
  <c r="Q156" i="1"/>
  <c r="H175" i="1"/>
  <c r="E37" i="6" s="1"/>
  <c r="Q124" i="1"/>
  <c r="Q131" i="1"/>
  <c r="P131" i="1"/>
  <c r="P156" i="1"/>
  <c r="R109" i="1"/>
  <c r="S100" i="1"/>
  <c r="K17" i="6" s="1"/>
  <c r="P113" i="1"/>
  <c r="P73" i="1"/>
  <c r="Q78" i="1"/>
  <c r="Q109" i="1"/>
  <c r="R53" i="1"/>
  <c r="Q73" i="1"/>
  <c r="P96" i="1"/>
  <c r="I175" i="1"/>
  <c r="F37" i="6" s="1"/>
  <c r="J175" i="1"/>
  <c r="S165" i="1" s="1"/>
  <c r="Q16" i="1"/>
  <c r="Q36" i="1"/>
  <c r="P53" i="1"/>
  <c r="R78" i="1"/>
  <c r="Q93" i="1"/>
  <c r="P109" i="1"/>
  <c r="Q113" i="1"/>
  <c r="R120" i="1"/>
  <c r="P124" i="1"/>
  <c r="Q163" i="1"/>
  <c r="R27" i="1"/>
  <c r="R96" i="1"/>
  <c r="I135" i="1"/>
  <c r="P163" i="1"/>
  <c r="T85" i="1"/>
  <c r="R124" i="1"/>
  <c r="T167" i="1"/>
  <c r="T171" i="1" s="1"/>
  <c r="H135" i="1"/>
  <c r="P27" i="1"/>
  <c r="R43" i="1"/>
  <c r="Q53" i="1"/>
  <c r="R73" i="1"/>
  <c r="P93" i="1"/>
  <c r="Q96" i="1"/>
  <c r="Q98" i="1"/>
  <c r="P120" i="1"/>
  <c r="R131" i="1"/>
  <c r="R156" i="1"/>
  <c r="R163" i="1"/>
  <c r="G175" i="1"/>
  <c r="D37" i="6" s="1"/>
  <c r="R16" i="1"/>
  <c r="P78" i="1"/>
  <c r="G135" i="1"/>
  <c r="P16" i="1"/>
  <c r="Q27" i="1"/>
  <c r="R36" i="1"/>
  <c r="S98" i="1"/>
  <c r="J135" i="1"/>
  <c r="S125" i="1" s="1"/>
  <c r="G55" i="1"/>
  <c r="P46" i="1"/>
  <c r="P36" i="1"/>
  <c r="I53" i="1"/>
  <c r="R93" i="1"/>
  <c r="R113" i="1"/>
  <c r="Q120" i="1"/>
  <c r="S131" i="1"/>
  <c r="H89" i="1"/>
  <c r="J89" i="1"/>
  <c r="P98" i="1"/>
  <c r="R98" i="1"/>
  <c r="G19" i="8" l="1"/>
  <c r="D26" i="2"/>
  <c r="G15" i="2"/>
  <c r="G26" i="2" s="1"/>
  <c r="H8" i="2"/>
  <c r="H15" i="2"/>
  <c r="H26" i="2" s="1"/>
  <c r="D8" i="2"/>
  <c r="F15" i="2"/>
  <c r="F26" i="2" s="1"/>
  <c r="E15" i="2"/>
  <c r="E26" i="2" s="1"/>
  <c r="C17" i="6"/>
  <c r="C29" i="6"/>
  <c r="C19" i="6"/>
  <c r="C27" i="6" s="1"/>
  <c r="F181" i="1"/>
  <c r="Q100" i="1"/>
  <c r="G18" i="6" s="1"/>
  <c r="E25" i="6"/>
  <c r="C18" i="6"/>
  <c r="D25" i="6"/>
  <c r="D35" i="6"/>
  <c r="G37" i="6"/>
  <c r="P48" i="1"/>
  <c r="J17" i="6"/>
  <c r="G25" i="6"/>
  <c r="F25" i="6"/>
  <c r="R100" i="1"/>
  <c r="I19" i="6" s="1"/>
  <c r="I27" i="6" s="1"/>
  <c r="H35" i="6"/>
  <c r="H34" i="6"/>
  <c r="F34" i="6"/>
  <c r="F35" i="6"/>
  <c r="F18" i="6"/>
  <c r="H19" i="6"/>
  <c r="H27" i="6" s="1"/>
  <c r="H17" i="6"/>
  <c r="P100" i="1"/>
  <c r="D18" i="6" s="1"/>
  <c r="C25" i="6"/>
  <c r="J18" i="6"/>
  <c r="N49" i="3"/>
  <c r="E24" i="6"/>
  <c r="L49" i="3"/>
  <c r="F19" i="6"/>
  <c r="F27" i="6" s="1"/>
  <c r="F17" i="6"/>
  <c r="G19" i="6"/>
  <c r="G27" i="6" s="1"/>
  <c r="D19" i="6"/>
  <c r="D27" i="6" s="1"/>
  <c r="D17" i="6"/>
  <c r="T172" i="1"/>
  <c r="Q125" i="1"/>
  <c r="I177" i="1"/>
  <c r="I181" i="1" s="1"/>
  <c r="R165" i="1"/>
  <c r="Q165" i="1"/>
  <c r="H177" i="1"/>
  <c r="P125" i="1"/>
  <c r="S81" i="1"/>
  <c r="I55" i="1"/>
  <c r="R46" i="1"/>
  <c r="Q46" i="1"/>
  <c r="R125" i="1"/>
  <c r="G177" i="1"/>
  <c r="P165" i="1"/>
  <c r="J177" i="1"/>
  <c r="R167" i="1" s="1"/>
  <c r="G89" i="1"/>
  <c r="H31" i="2" l="1"/>
  <c r="H45" i="2" s="1"/>
  <c r="D31" i="2"/>
  <c r="D45" i="2" s="1"/>
  <c r="F15" i="8"/>
  <c r="F17" i="8" s="1"/>
  <c r="F25" i="8" s="1"/>
  <c r="E15" i="8"/>
  <c r="E17" i="8" s="1"/>
  <c r="E25" i="8" s="1"/>
  <c r="G15" i="8"/>
  <c r="G17" i="8" s="1"/>
  <c r="G25" i="8" s="1"/>
  <c r="D15" i="8"/>
  <c r="D17" i="8" s="1"/>
  <c r="D25" i="8" s="1"/>
  <c r="C22" i="6"/>
  <c r="G17" i="6"/>
  <c r="Q167" i="1"/>
  <c r="E19" i="6"/>
  <c r="E27" i="6" s="1"/>
  <c r="E18" i="6"/>
  <c r="H18" i="6"/>
  <c r="I18" i="6"/>
  <c r="I17" i="6"/>
  <c r="E17" i="6"/>
  <c r="E34" i="6"/>
  <c r="E35" i="6"/>
  <c r="H181" i="1"/>
  <c r="R48" i="1"/>
  <c r="I89" i="1"/>
  <c r="Q48" i="1"/>
  <c r="G181" i="1"/>
  <c r="P167" i="1"/>
  <c r="P81" i="1"/>
  <c r="J181" i="1"/>
  <c r="S167" i="1"/>
  <c r="G31" i="2" l="1"/>
  <c r="G45" i="2" s="1"/>
  <c r="E31" i="2"/>
  <c r="E45" i="2" s="1"/>
  <c r="F31" i="2"/>
  <c r="F45" i="2" s="1"/>
  <c r="D26" i="8"/>
  <c r="D31" i="8"/>
  <c r="D35" i="8" s="1"/>
  <c r="D41" i="8" s="1"/>
  <c r="G26" i="8"/>
  <c r="G31" i="8"/>
  <c r="G35" i="8" s="1"/>
  <c r="G41" i="8" s="1"/>
  <c r="E26" i="8"/>
  <c r="E31" i="8"/>
  <c r="E35" i="8" s="1"/>
  <c r="E41" i="8" s="1"/>
  <c r="F26" i="8"/>
  <c r="F31" i="8"/>
  <c r="F35" i="8" s="1"/>
  <c r="F41" i="8" s="1"/>
  <c r="G34" i="6"/>
  <c r="G35" i="6"/>
  <c r="P171" i="1"/>
  <c r="Q171" i="1"/>
  <c r="S171" i="1"/>
  <c r="R171" i="1"/>
  <c r="R81" i="1"/>
  <c r="Q81" i="1"/>
  <c r="S172" i="1"/>
  <c r="S85" i="1"/>
  <c r="Q172" i="1"/>
  <c r="Q85" i="1"/>
  <c r="Q37" i="1"/>
  <c r="R172" i="1"/>
  <c r="R85" i="1"/>
  <c r="P172" i="1"/>
  <c r="P85" i="1"/>
  <c r="P37" i="1"/>
  <c r="P31" i="1"/>
  <c r="F11" i="6"/>
  <c r="I182" i="1"/>
  <c r="I93" i="1"/>
  <c r="F13" i="6"/>
  <c r="I44" i="1"/>
  <c r="R37" i="1"/>
  <c r="Q31" i="1"/>
  <c r="S37" i="1"/>
  <c r="E13" i="6"/>
  <c r="E11" i="6"/>
  <c r="H31" i="1"/>
  <c r="H44" i="1"/>
  <c r="H93" i="1"/>
  <c r="H182" i="1"/>
  <c r="I31" i="1"/>
  <c r="R31" i="1"/>
  <c r="G182" i="1"/>
  <c r="D11" i="6"/>
  <c r="G31" i="1"/>
  <c r="G44" i="1"/>
  <c r="G93" i="1"/>
  <c r="D13" i="6"/>
  <c r="S31" i="1"/>
  <c r="C11" i="6"/>
  <c r="C13" i="6"/>
  <c r="F31" i="1"/>
  <c r="F44" i="1"/>
  <c r="F93" i="1"/>
  <c r="F182" i="1"/>
  <c r="G11" i="6"/>
  <c r="J182" i="1"/>
  <c r="J31" i="1"/>
  <c r="J44" i="1"/>
  <c r="J93" i="1"/>
  <c r="G13" i="6"/>
</calcChain>
</file>

<file path=xl/sharedStrings.xml><?xml version="1.0" encoding="utf-8"?>
<sst xmlns="http://schemas.openxmlformats.org/spreadsheetml/2006/main" count="724" uniqueCount="524">
  <si>
    <t>BALANCE SHEET</t>
  </si>
  <si>
    <t>(EUR m)</t>
  </si>
  <si>
    <t>ASSET:</t>
  </si>
  <si>
    <t>NON-CURRENT ASSETS</t>
  </si>
  <si>
    <t>ATTIVITÀ NON CORRENTI</t>
  </si>
  <si>
    <t>Tangible assets:</t>
  </si>
  <si>
    <t>Immobilizzazioni materiali</t>
  </si>
  <si>
    <t>Land</t>
  </si>
  <si>
    <t>Buildings</t>
  </si>
  <si>
    <t>Plant and machinery</t>
  </si>
  <si>
    <t>Industrial and commercial equipment</t>
  </si>
  <si>
    <t>Other assets</t>
  </si>
  <si>
    <t>Landfills</t>
  </si>
  <si>
    <t>Construction in progress and advances</t>
  </si>
  <si>
    <t>Leasehold improvements</t>
  </si>
  <si>
    <t>Assets for rights of use</t>
  </si>
  <si>
    <t>Total</t>
  </si>
  <si>
    <t>of which:</t>
  </si>
  <si>
    <t>Historical cost</t>
  </si>
  <si>
    <t>Accumulated amortization</t>
  </si>
  <si>
    <t>Write-downs</t>
  </si>
  <si>
    <t>Intangible assets:</t>
  </si>
  <si>
    <t>Immobilizzazioni immateriali</t>
  </si>
  <si>
    <t>Industrial patents and intellectual property rights</t>
  </si>
  <si>
    <t>Concessions, licences, trademarks and similar rights</t>
  </si>
  <si>
    <t>Goodwill</t>
  </si>
  <si>
    <t>Assets in progress</t>
  </si>
  <si>
    <t>Other intangible assets</t>
  </si>
  <si>
    <t>Shareholdings and other non-current financial assets:</t>
  </si>
  <si>
    <t>Shareholdings carried according to equity method:</t>
  </si>
  <si>
    <t>Partecipazioni valutate col metodo del Patrimonio netto</t>
  </si>
  <si>
    <t>Other non-current financial assets</t>
  </si>
  <si>
    <t>Altre attività finanziarie non correnti</t>
  </si>
  <si>
    <t>Deferred tax assets</t>
  </si>
  <si>
    <t>Attività per imposte anticipate</t>
  </si>
  <si>
    <t>Other non-current financial assets:</t>
  </si>
  <si>
    <t>Non-current derivatives</t>
  </si>
  <si>
    <t>Other non-current assets</t>
  </si>
  <si>
    <t>TOTAL NON-CURRENT ASSETS</t>
  </si>
  <si>
    <t>CURRENT ASSETS</t>
  </si>
  <si>
    <t>Inventories:</t>
  </si>
  <si>
    <t>Materials</t>
  </si>
  <si>
    <t>Material obsolescence provision</t>
  </si>
  <si>
    <t>Total material</t>
  </si>
  <si>
    <t>Fuel</t>
  </si>
  <si>
    <t>Other</t>
  </si>
  <si>
    <t>Raw and ancillary materials and consumables</t>
  </si>
  <si>
    <t>Third-party fuel</t>
  </si>
  <si>
    <t>Trade receivables:</t>
  </si>
  <si>
    <t>Trade receivables - invoices issued</t>
  </si>
  <si>
    <t>Trade receivables - invoices to be issued</t>
  </si>
  <si>
    <t>(Bad debts provision)</t>
  </si>
  <si>
    <t>Other current assets:</t>
  </si>
  <si>
    <t>Current derivatives (commodity derivatives)</t>
  </si>
  <si>
    <t xml:space="preserve">DEBT/ EQUITY RATIO (p.7) </t>
  </si>
  <si>
    <t>Other current assets of which:</t>
  </si>
  <si>
    <t>receivables from Cassa per i Servizi Energetici e Ambientali</t>
  </si>
  <si>
    <t>advances to suppliers</t>
  </si>
  <si>
    <t>receivables from employees</t>
  </si>
  <si>
    <t>tax receivables</t>
  </si>
  <si>
    <t>receivables related to future years</t>
  </si>
  <si>
    <t>receivables from Ergosud</t>
  </si>
  <si>
    <t>receivables from social security entities</t>
  </si>
  <si>
    <t>stamp office</t>
  </si>
  <si>
    <t>receivables for damage compensation</t>
  </si>
  <si>
    <t>other recivables EPCG</t>
  </si>
  <si>
    <t>receivables for COSAP advances</t>
  </si>
  <si>
    <t>receivables for security deposits</t>
  </si>
  <si>
    <t>receivables for RAI fee</t>
  </si>
  <si>
    <t>sundry receivables for hedging</t>
  </si>
  <si>
    <t>other sundry receivables</t>
  </si>
  <si>
    <t>Current financial assets:</t>
  </si>
  <si>
    <t>Other financial assets</t>
  </si>
  <si>
    <t>Other financial assets from related parties</t>
  </si>
  <si>
    <t>Other financial assets from assets held for sale</t>
  </si>
  <si>
    <t>Current tax assets</t>
  </si>
  <si>
    <t>Attività per imposte correnti</t>
  </si>
  <si>
    <t>Cash and cash equivalents</t>
  </si>
  <si>
    <t>Disponibilità liquide e mezzi equivalenti</t>
  </si>
  <si>
    <t>TOTAL CURRENT ASSETS</t>
  </si>
  <si>
    <t>NON-CURRENT ASSETS HELD FOR SALE</t>
  </si>
  <si>
    <t>ATTIVITÀ NON CORRENTI DESTINATE ALLA VENDITA</t>
  </si>
  <si>
    <t>TOTAL ASSETS</t>
  </si>
  <si>
    <t>TOTALE ATTIVO</t>
  </si>
  <si>
    <t>EQUITY AND LIABILITIES:</t>
  </si>
  <si>
    <t>EQUITY</t>
  </si>
  <si>
    <t>PATRIMONIO NETTO</t>
  </si>
  <si>
    <t>Share capital</t>
  </si>
  <si>
    <t>Capitale sociale</t>
  </si>
  <si>
    <t>(Azioni proprie)</t>
  </si>
  <si>
    <t>Riserve</t>
  </si>
  <si>
    <t>Change in the fair value of cash flow hedge derivatives and fair value bonds</t>
  </si>
  <si>
    <t>Tax effect</t>
  </si>
  <si>
    <t>Cash flow hedge reserves</t>
  </si>
  <si>
    <t>Change in the IAS 19 Revised reserve - Employee Benefits</t>
  </si>
  <si>
    <t>IAS 19 Revised reserve - Employee Benefits</t>
  </si>
  <si>
    <t>Result of the year(period)</t>
  </si>
  <si>
    <t>Risultato d’esercizio</t>
  </si>
  <si>
    <t>Equity pertaining to the Group</t>
  </si>
  <si>
    <t xml:space="preserve">Patrimonio netto di gruppo </t>
  </si>
  <si>
    <t>Minority interests</t>
  </si>
  <si>
    <t>Interessi di minoranze</t>
  </si>
  <si>
    <t>TOTAL EQUITY</t>
  </si>
  <si>
    <t>LIABILITIES</t>
  </si>
  <si>
    <t>NON-CURRENT LIABILITIES</t>
  </si>
  <si>
    <t>Non-current financial liabilities:</t>
  </si>
  <si>
    <t>Non-convertible bonds</t>
  </si>
  <si>
    <t>Payables to banks</t>
  </si>
  <si>
    <t>Non-current financial payables for rights of use</t>
  </si>
  <si>
    <t>Payables to other lenders</t>
  </si>
  <si>
    <t xml:space="preserve">Total </t>
  </si>
  <si>
    <t>Employee benefits:</t>
  </si>
  <si>
    <t>Employee leaving entitlement (TFR)</t>
  </si>
  <si>
    <t>Employee benefits</t>
  </si>
  <si>
    <t>Provisions for risks, charges and liabilities for landfills:</t>
  </si>
  <si>
    <t>Decommissioning provisions</t>
  </si>
  <si>
    <t>Landfill closing and post-closing expense provisions</t>
  </si>
  <si>
    <t>Tax provisions</t>
  </si>
  <si>
    <t>Personnel lawsuits and disputes provisions</t>
  </si>
  <si>
    <t>Other risk provisions</t>
  </si>
  <si>
    <t>Other non-current liabilities:</t>
  </si>
  <si>
    <t>Other non-current liabilities</t>
  </si>
  <si>
    <t>TOTAL NON-CURRENT LIABILITIES</t>
  </si>
  <si>
    <t xml:space="preserve">CURRENT LIABILITIES </t>
  </si>
  <si>
    <t>Trade payables:</t>
  </si>
  <si>
    <t>Advances</t>
  </si>
  <si>
    <t>Payables to suppliers</t>
  </si>
  <si>
    <t>Other current liabilities:</t>
  </si>
  <si>
    <t>Payables to pension and social security institutions</t>
  </si>
  <si>
    <t>Other current liabilities of which:</t>
  </si>
  <si>
    <t>Payables to personnel</t>
  </si>
  <si>
    <t>Payables to Cassa per i Servizi Energetici e Ambientali</t>
  </si>
  <si>
    <t>Tax payables</t>
  </si>
  <si>
    <t>Payables for tax transparency</t>
  </si>
  <si>
    <t>Payables for energy tariff components</t>
  </si>
  <si>
    <t>Payables for LGH</t>
  </si>
  <si>
    <t>Payables for EPCG</t>
  </si>
  <si>
    <t>Payables for A.T.O.</t>
  </si>
  <si>
    <t>Payables to customers for work to be performed</t>
  </si>
  <si>
    <t>Payables to customers for interest on security deposits</t>
  </si>
  <si>
    <t xml:space="preserve">debt for next period </t>
  </si>
  <si>
    <t>Payables to third-party shareholders</t>
  </si>
  <si>
    <t>Payables for the purchase of equity investments</t>
  </si>
  <si>
    <t>Payables for auxiliary services</t>
  </si>
  <si>
    <t>Payables for collections to be allocated</t>
  </si>
  <si>
    <t>Payables to insurance companies</t>
  </si>
  <si>
    <t>Payables for excise compensation</t>
  </si>
  <si>
    <t>Payables for environmental compensation</t>
  </si>
  <si>
    <t>Payables for RAI fee</t>
  </si>
  <si>
    <t>Sundry payables</t>
  </si>
  <si>
    <t>Current financial liabilities:</t>
  </si>
  <si>
    <t>Current financial payables for rights of use</t>
  </si>
  <si>
    <t>Financial payables to related parties</t>
  </si>
  <si>
    <t>Tax liabilities</t>
  </si>
  <si>
    <t>TOTAL CURRENT LIABILITIES</t>
  </si>
  <si>
    <t xml:space="preserve">TOTAL LIABILITIES  </t>
  </si>
  <si>
    <t>LIABILITIES DIRECTLY ASSOCIATED WITH NON-CURRENT ASSETS HELD FOR SALE</t>
  </si>
  <si>
    <t>TOTAL EQUITY AND LIABILITIES</t>
  </si>
  <si>
    <t xml:space="preserve">Historical data </t>
  </si>
  <si>
    <t>(check )</t>
  </si>
  <si>
    <t>Reserves</t>
  </si>
  <si>
    <t>Treasury shares</t>
  </si>
  <si>
    <t>water derivation fee recivables</t>
  </si>
  <si>
    <t xml:space="preserve">Historical results </t>
  </si>
  <si>
    <t xml:space="preserve">Changes % </t>
  </si>
  <si>
    <t>Revenues</t>
  </si>
  <si>
    <t>Ricavi</t>
  </si>
  <si>
    <t>Revenues from the sale of goods</t>
  </si>
  <si>
    <t xml:space="preserve">Ricavi di vendita </t>
  </si>
  <si>
    <t xml:space="preserve">Revenues from services </t>
  </si>
  <si>
    <t xml:space="preserve">Ricavi da prestazioni </t>
  </si>
  <si>
    <t xml:space="preserve">Total revenues from sale of goods and serv </t>
  </si>
  <si>
    <t xml:space="preserve">Totale ricavi di vendita e da prestazioni </t>
  </si>
  <si>
    <t>Other operating revenues</t>
  </si>
  <si>
    <t>Altri ricavi operativi</t>
  </si>
  <si>
    <t>Totale ricavi</t>
  </si>
  <si>
    <t>Costi operativi</t>
  </si>
  <si>
    <t xml:space="preserve">Expenses for raw materials </t>
  </si>
  <si>
    <t xml:space="preserve">Costi per materie prime </t>
  </si>
  <si>
    <t>Expenses for  services</t>
  </si>
  <si>
    <t xml:space="preserve">Costi per servizi </t>
  </si>
  <si>
    <t xml:space="preserve">Total for raw materials and services </t>
  </si>
  <si>
    <t xml:space="preserve">Costi per materie prime e servizi </t>
  </si>
  <si>
    <t>Other operating expenses</t>
  </si>
  <si>
    <t>Altri costi operativi</t>
  </si>
  <si>
    <t>Totale costi operativi</t>
  </si>
  <si>
    <t>Costi per il personale</t>
  </si>
  <si>
    <t xml:space="preserve">Wages and salaries </t>
  </si>
  <si>
    <t xml:space="preserve">Salari e stipendi </t>
  </si>
  <si>
    <t xml:space="preserve">Social security charges </t>
  </si>
  <si>
    <t xml:space="preserve">Oneri sociali </t>
  </si>
  <si>
    <t>TFR</t>
  </si>
  <si>
    <t xml:space="preserve">Other costs </t>
  </si>
  <si>
    <t xml:space="preserve">Altri costi   </t>
  </si>
  <si>
    <t>Total labour costs before capitalizations</t>
  </si>
  <si>
    <t xml:space="preserve">Totale costi per il personale prima della capitalizzazione </t>
  </si>
  <si>
    <t xml:space="preserve">Capitalized labour costs </t>
  </si>
  <si>
    <t xml:space="preserve">Costi per il personale capitalizzati </t>
  </si>
  <si>
    <t>Gross operating income - (EBITDA)</t>
  </si>
  <si>
    <t>Margine operativo lordo</t>
  </si>
  <si>
    <t>Depreciation, amortization, provisions and write-downs</t>
  </si>
  <si>
    <t>Ammortamenti, accantonamenti e svalutazioni</t>
  </si>
  <si>
    <t xml:space="preserve">Amortization of intangible assets </t>
  </si>
  <si>
    <t xml:space="preserve">Ammortamento immobilizzazioni immateriali </t>
  </si>
  <si>
    <t xml:space="preserve">Depreciation of tangible assets </t>
  </si>
  <si>
    <t xml:space="preserve">Ammortamento immobilizzazioni materiali </t>
  </si>
  <si>
    <t xml:space="preserve">Net-write downs of fixed assets </t>
  </si>
  <si>
    <t xml:space="preserve">Svalutazioni nette nelle immobilizzazioni </t>
  </si>
  <si>
    <t xml:space="preserve">Total amortization, depr and write downs </t>
  </si>
  <si>
    <t xml:space="preserve">Totale ammortamenti e svalutazioni </t>
  </si>
  <si>
    <t xml:space="preserve">Provisions for risks </t>
  </si>
  <si>
    <t xml:space="preserve">Accantonamento per rischi </t>
  </si>
  <si>
    <t xml:space="preserve">Bad debt provision on receivables recog as current assets </t>
  </si>
  <si>
    <t xml:space="preserve">Accantonamento per rischi su crediti nell'attivo circolante </t>
  </si>
  <si>
    <t xml:space="preserve">Totale ammortamenti, accantonamenti e svalutazioni </t>
  </si>
  <si>
    <t>Net operating income - (EBIT)</t>
  </si>
  <si>
    <t>Risultato operativo netto</t>
  </si>
  <si>
    <t>Result from non-recur. Transactions</t>
  </si>
  <si>
    <t>Risultato da transazioni non ricorrenti</t>
  </si>
  <si>
    <t>Financial balance</t>
  </si>
  <si>
    <t>Gestione finanziaria</t>
  </si>
  <si>
    <t>Financial income of which:</t>
  </si>
  <si>
    <t>Proventi finanziari</t>
  </si>
  <si>
    <t>Gains on disposals of financial assets</t>
  </si>
  <si>
    <t xml:space="preserve">Other financial income </t>
  </si>
  <si>
    <t xml:space="preserve">Total financial income </t>
  </si>
  <si>
    <t>Financial expenses of which:</t>
  </si>
  <si>
    <t>Oneri finanziari</t>
  </si>
  <si>
    <t xml:space="preserve">Interest on bond loans </t>
  </si>
  <si>
    <t xml:space="preserve">Interessi su prestiti obbligazionari </t>
  </si>
  <si>
    <t xml:space="preserve">Interest charged by banks </t>
  </si>
  <si>
    <t xml:space="preserve">Interessi verso istituti di credito </t>
  </si>
  <si>
    <t xml:space="preserve">Realized on financial derivatives </t>
  </si>
  <si>
    <t xml:space="preserve">Realized su derivari finanziari </t>
  </si>
  <si>
    <t xml:space="preserve">Decommisioning costs </t>
  </si>
  <si>
    <t>Oneri da decommisioning</t>
  </si>
  <si>
    <t>Other financial expenses</t>
  </si>
  <si>
    <t xml:space="preserve">Altri oneri finanziari </t>
  </si>
  <si>
    <t xml:space="preserve">Total before capitalization </t>
  </si>
  <si>
    <t xml:space="preserve">Totale prima della capitalizzazione </t>
  </si>
  <si>
    <t xml:space="preserve">Capitalized financial expenses </t>
  </si>
  <si>
    <t xml:space="preserve">Oneri finanziari capitalizzati </t>
  </si>
  <si>
    <t xml:space="preserve">Total financial expenses </t>
  </si>
  <si>
    <t xml:space="preserve">Totale oneri finanziari </t>
  </si>
  <si>
    <t>Affiliates</t>
  </si>
  <si>
    <t>Quota dei proventi e degli oneri derivanti dalla valutazione secondo il Patrimonio netto delle partecipazioni</t>
  </si>
  <si>
    <t>Result from disposal of other shareholdings</t>
  </si>
  <si>
    <t>Risultato da cessione di altre partecipazioni (AFS)</t>
  </si>
  <si>
    <t>Total financial balance</t>
  </si>
  <si>
    <t>Totale gestione finanziaria</t>
  </si>
  <si>
    <t>Result before taxes (EBT)</t>
  </si>
  <si>
    <t>Risultato al lordo delle imposte</t>
  </si>
  <si>
    <t>Income taxes</t>
  </si>
  <si>
    <t>Oneri/Proventi per imposte sui redditi</t>
  </si>
  <si>
    <t>Current IRES</t>
  </si>
  <si>
    <t>IRES</t>
  </si>
  <si>
    <t>Current IRAP</t>
  </si>
  <si>
    <t>IRAP</t>
  </si>
  <si>
    <t xml:space="preserve">Effect of differences- taxes of previous years </t>
  </si>
  <si>
    <t xml:space="preserve">Effetto differenze imposte esercizi precedenti </t>
  </si>
  <si>
    <t>Total current taxes</t>
  </si>
  <si>
    <t xml:space="preserve">Totale tasse correnti </t>
  </si>
  <si>
    <t xml:space="preserve">Imposte anticipate </t>
  </si>
  <si>
    <t xml:space="preserve">Deferred tax liabilities </t>
  </si>
  <si>
    <t xml:space="preserve">Imposte differite </t>
  </si>
  <si>
    <t xml:space="preserve">Total losses/gains for income taxes </t>
  </si>
  <si>
    <t xml:space="preserve">Totale oneri/proventi per imposte sui redditi </t>
  </si>
  <si>
    <t>Result after taxes from operating activities</t>
  </si>
  <si>
    <t>Risultato di attività operative in esercizio al netto delle imposte</t>
  </si>
  <si>
    <t>Net result from discontinued operations</t>
  </si>
  <si>
    <t>Risultato netto da attività operative cessate/destinate alla vendita</t>
  </si>
  <si>
    <t>Net result</t>
  </si>
  <si>
    <t>Risultato netto</t>
  </si>
  <si>
    <t>Minorities</t>
  </si>
  <si>
    <t>Risultato di pertinenza di terzi</t>
  </si>
  <si>
    <t>Group result of the year</t>
  </si>
  <si>
    <t>Risultato d’esercizio di pertinenza del Gruppo</t>
  </si>
  <si>
    <t>Result per share (in euro):</t>
  </si>
  <si>
    <t>Risultato per azione (in euro):</t>
  </si>
  <si>
    <t>basic</t>
  </si>
  <si>
    <t xml:space="preserve"> di base</t>
  </si>
  <si>
    <t xml:space="preserve"> basic from continuing operations</t>
  </si>
  <si>
    <t>di base da attività di funzionamento</t>
  </si>
  <si>
    <t>basic from assets held for sale</t>
  </si>
  <si>
    <t>di base da attività destinate alla vendita</t>
  </si>
  <si>
    <t>diluted</t>
  </si>
  <si>
    <t>diluito</t>
  </si>
  <si>
    <t>diluted from continuing operations</t>
  </si>
  <si>
    <t>diluito da attività di funzionamento</t>
  </si>
  <si>
    <t>diluted from assets held for sale</t>
  </si>
  <si>
    <t>diluito da attività destinate alla vendita</t>
  </si>
  <si>
    <t xml:space="preserve">Dividends information </t>
  </si>
  <si>
    <t>Year 2019</t>
  </si>
  <si>
    <t xml:space="preserve">Year 2018 </t>
  </si>
  <si>
    <t>Year 2017</t>
  </si>
  <si>
    <t>Year 2016</t>
  </si>
  <si>
    <t xml:space="preserve">Year 2015 </t>
  </si>
  <si>
    <t xml:space="preserve">Dividend per share </t>
  </si>
  <si>
    <t xml:space="preserve">Total amount of dividend </t>
  </si>
  <si>
    <t xml:space="preserve">Dividend Payout ratio </t>
  </si>
  <si>
    <t xml:space="preserve">Retention ratio </t>
  </si>
  <si>
    <t xml:space="preserve">Weighted average number of outstanding shares for calculation of earnings per share </t>
  </si>
  <si>
    <t xml:space="preserve">REORGANIZED INCOME STATEMENT </t>
  </si>
  <si>
    <t>EBIT</t>
  </si>
  <si>
    <t>EBT</t>
  </si>
  <si>
    <t xml:space="preserve">Total  income taxes </t>
  </si>
  <si>
    <t xml:space="preserve">Financial targets </t>
  </si>
  <si>
    <t>Ebitda</t>
  </si>
  <si>
    <t>Change %</t>
  </si>
  <si>
    <t>Generation</t>
  </si>
  <si>
    <t xml:space="preserve">Market </t>
  </si>
  <si>
    <t>Waste</t>
  </si>
  <si>
    <t>Networks</t>
  </si>
  <si>
    <t xml:space="preserve">Capex plan </t>
  </si>
  <si>
    <t>2019/23</t>
  </si>
  <si>
    <t xml:space="preserve">Development </t>
  </si>
  <si>
    <t>Maintenance</t>
  </si>
  <si>
    <t>Gas tenders</t>
  </si>
  <si>
    <t xml:space="preserve">Generation </t>
  </si>
  <si>
    <t xml:space="preserve">M&amp;A </t>
  </si>
  <si>
    <t>Market</t>
  </si>
  <si>
    <t xml:space="preserve">Other </t>
  </si>
  <si>
    <t>Cash flow generation 2018/23</t>
  </si>
  <si>
    <t>NFP 2018</t>
  </si>
  <si>
    <t>EBITDA</t>
  </si>
  <si>
    <t xml:space="preserve">Change in NWC </t>
  </si>
  <si>
    <t>Use of funds</t>
  </si>
  <si>
    <t xml:space="preserve">taxes </t>
  </si>
  <si>
    <t xml:space="preserve">Net fin expenses </t>
  </si>
  <si>
    <t xml:space="preserve">Dividends </t>
  </si>
  <si>
    <t xml:space="preserve">Capex for organic growth </t>
  </si>
  <si>
    <t xml:space="preserve">Gas tenders </t>
  </si>
  <si>
    <t xml:space="preserve">NFP 2023 ordinary </t>
  </si>
  <si>
    <t xml:space="preserve">IFRS 16 </t>
  </si>
  <si>
    <t xml:space="preserve">NFP 2023   </t>
  </si>
  <si>
    <t>ROA</t>
  </si>
  <si>
    <t>Ebit(1-t) / Total assets</t>
  </si>
  <si>
    <t xml:space="preserve">NI + Int exp(1-t) / Tot assets </t>
  </si>
  <si>
    <t>EXTENDED ROA</t>
  </si>
  <si>
    <t>??????</t>
  </si>
  <si>
    <t>: Ebit(1-t)/ Bv Debt + Bv equity</t>
  </si>
  <si>
    <t>T-1 (ebit a T)</t>
  </si>
  <si>
    <t>T e t-1 /2</t>
  </si>
  <si>
    <t>den bv2015+15/2</t>
  </si>
  <si>
    <t xml:space="preserve">decomposto  </t>
  </si>
  <si>
    <t xml:space="preserve">Ebit(1-t)/Sales x Salex/BV of capital </t>
  </si>
  <si>
    <t xml:space="preserve">DECOMPONI I DUE OPERATORI IN 3 COLONNE </t>
  </si>
  <si>
    <t>ROE = ROC + D/E (ROC - i(1-t))</t>
  </si>
  <si>
    <t xml:space="preserve">Roe = NI/ Book value of common equity  </t>
  </si>
  <si>
    <t>MINORITIES??</t>
  </si>
  <si>
    <t>T e t-1 /2 ROE</t>
  </si>
  <si>
    <t xml:space="preserve">ROE = ROC + D/E (ROC - i(1-t)) </t>
  </si>
  <si>
    <t xml:space="preserve">aggiustare per bank right use </t>
  </si>
  <si>
    <t xml:space="preserve">Current ratio: current assets (cash, inventory, receivable) over current liabilities (obligations due within next period) </t>
  </si>
  <si>
    <t xml:space="preserve">quick ratio = Cash + marketable securities / current liabilities </t>
  </si>
  <si>
    <t xml:space="preserve">total </t>
  </si>
  <si>
    <t>turnover</t>
  </si>
  <si>
    <t xml:space="preserve">Interest coverage ratio: Ebit/interest expenses </t>
  </si>
  <si>
    <t>Operating cash flows to capex = Cash flows from operations /Capex</t>
  </si>
  <si>
    <t>Debt to capital ratio: debt/ debt + equity ; measures debt as proprortion of total capital</t>
  </si>
  <si>
    <t xml:space="preserve">Debt to equity ratio: debt / equity ; measures debt as proportion of equity in the firm </t>
  </si>
  <si>
    <t>INCOME STATEMENT</t>
  </si>
  <si>
    <t>Operating expenses</t>
  </si>
  <si>
    <t>Labour costs</t>
  </si>
  <si>
    <t>∆% 16</t>
  </si>
  <si>
    <t>∆% 17</t>
  </si>
  <si>
    <t>∆% 18</t>
  </si>
  <si>
    <t>∆% 19</t>
  </si>
  <si>
    <t>REORGANIZED BALANCE SHEET</t>
  </si>
  <si>
    <t>so working cash balances, trade account recivables, inventory an prepaid expenses</t>
  </si>
  <si>
    <t xml:space="preserve">ADD IT ON LONG TERM </t>
  </si>
  <si>
    <t>of which included in NPF</t>
  </si>
  <si>
    <t>Inventories</t>
  </si>
  <si>
    <t>Trade receivables</t>
  </si>
  <si>
    <t>Other current assets</t>
  </si>
  <si>
    <t>Current financial assets</t>
  </si>
  <si>
    <t>Non-current asset held for sale</t>
  </si>
  <si>
    <t>Shareholdings and other non-current financial assets</t>
  </si>
  <si>
    <t>Trade payables</t>
  </si>
  <si>
    <t>Other current liabilities</t>
  </si>
  <si>
    <t>Provisions for risks, charges and liabilities for landfills</t>
  </si>
  <si>
    <t>Tangible asset</t>
  </si>
  <si>
    <t>Intangible assets</t>
  </si>
  <si>
    <t>FIXED ASSETS</t>
  </si>
  <si>
    <t xml:space="preserve">OPERATING WORKING CAITAL </t>
  </si>
  <si>
    <t xml:space="preserve">NET WORKING CAPITAL </t>
  </si>
  <si>
    <t>NET INVESTED CAPITAL</t>
  </si>
  <si>
    <t>NET DEBT</t>
  </si>
  <si>
    <t>labour costs</t>
  </si>
  <si>
    <t>Depreciation &amp; Amortization</t>
  </si>
  <si>
    <t>Accurals</t>
  </si>
  <si>
    <t xml:space="preserve">other minor </t>
  </si>
  <si>
    <t>NET PROFIT/LOSS</t>
  </si>
  <si>
    <t>Total debt</t>
  </si>
  <si>
    <t xml:space="preserve">Equity </t>
  </si>
  <si>
    <t>Tax assets</t>
  </si>
  <si>
    <t xml:space="preserve">Tax liabilities </t>
  </si>
  <si>
    <t xml:space="preserve">Other liabilities </t>
  </si>
  <si>
    <t>TOTAL EXPENSES</t>
  </si>
  <si>
    <t>REVENUES</t>
  </si>
  <si>
    <t>(check)</t>
  </si>
  <si>
    <t>Revenues from sale of goods and service</t>
  </si>
  <si>
    <t xml:space="preserve">CASH FLOW STATEMENT </t>
  </si>
  <si>
    <t>Reported taxes</t>
  </si>
  <si>
    <t>NOPAT</t>
  </si>
  <si>
    <t xml:space="preserve">∆ Trade recivables </t>
  </si>
  <si>
    <t xml:space="preserve">∆ Other asset </t>
  </si>
  <si>
    <t xml:space="preserve">∆ Other liabilities </t>
  </si>
  <si>
    <t xml:space="preserve">Net Capital Expenditures </t>
  </si>
  <si>
    <t xml:space="preserve">Depreciation &amp; Ammortization </t>
  </si>
  <si>
    <t xml:space="preserve">∆ Provision </t>
  </si>
  <si>
    <t xml:space="preserve">∆ Employees leaving entitlment </t>
  </si>
  <si>
    <t xml:space="preserve">Other minor </t>
  </si>
  <si>
    <t>FCFF</t>
  </si>
  <si>
    <t>%</t>
  </si>
  <si>
    <t xml:space="preserve">Financial items </t>
  </si>
  <si>
    <t>Financial debt issue/(repayment)</t>
  </si>
  <si>
    <t>FCFE</t>
  </si>
  <si>
    <t xml:space="preserve">% </t>
  </si>
  <si>
    <t xml:space="preserve">Equity movements </t>
  </si>
  <si>
    <t>NCF</t>
  </si>
  <si>
    <t>Cash and cash equivalents at Begin of Period</t>
  </si>
  <si>
    <t xml:space="preserve">Cash and cash equivalents at End of Period </t>
  </si>
  <si>
    <t xml:space="preserve"> ∆ Cash </t>
  </si>
  <si>
    <t>∆ TAX asset</t>
  </si>
  <si>
    <t xml:space="preserve">∆ Trade paylables </t>
  </si>
  <si>
    <t xml:space="preserve">∆ Inventory </t>
  </si>
  <si>
    <t xml:space="preserve">∆ WORKING CAPITAL </t>
  </si>
  <si>
    <t xml:space="preserve">∆  NET WORKING CAPITAL </t>
  </si>
  <si>
    <t>Financial items</t>
  </si>
  <si>
    <t xml:space="preserve">Net deferred tax </t>
  </si>
  <si>
    <t xml:space="preserve">Liabilities directly associated with non current assets held for sale </t>
  </si>
  <si>
    <t xml:space="preserve">Shield on financial items </t>
  </si>
  <si>
    <t>Shield on financial items</t>
  </si>
  <si>
    <r>
      <t xml:space="preserve">Check NCF = </t>
    </r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Biome"/>
        <family val="2"/>
      </rPr>
      <t xml:space="preserve"> Cash? </t>
    </r>
  </si>
  <si>
    <t xml:space="preserve">HERE FULL RATIOS </t>
  </si>
  <si>
    <t xml:space="preserve">WACC </t>
  </si>
  <si>
    <t xml:space="preserve">Approach 1 </t>
  </si>
  <si>
    <t xml:space="preserve">Approach 2 </t>
  </si>
  <si>
    <t xml:space="preserve">Approach 3 </t>
  </si>
  <si>
    <t xml:space="preserve">Risk free rate  (German bunds 10 Y spot rates, daily obs over past two years) </t>
  </si>
  <si>
    <t>Risk free rate</t>
  </si>
  <si>
    <t xml:space="preserve">Default spread on debt (A2A BBB) </t>
  </si>
  <si>
    <t>Spread on debt</t>
  </si>
  <si>
    <t xml:space="preserve">Cost of debt </t>
  </si>
  <si>
    <t xml:space="preserve">Tax Rate </t>
  </si>
  <si>
    <t>Net of taxes cost of debt</t>
  </si>
  <si>
    <t xml:space="preserve">Net of taxes cost of debt </t>
  </si>
  <si>
    <t>Risk free rate (A)</t>
  </si>
  <si>
    <t xml:space="preserve">Stable market risk premium </t>
  </si>
  <si>
    <t xml:space="preserve">Country risk premium </t>
  </si>
  <si>
    <t>Equity risk premium (B)</t>
  </si>
  <si>
    <t>Regression (levered Beta) (C)</t>
  </si>
  <si>
    <t>Bottom up levered beta (C )</t>
  </si>
  <si>
    <t xml:space="preserve">Cost of equity </t>
  </si>
  <si>
    <t>WACC (book value)</t>
  </si>
  <si>
    <t xml:space="preserve">WACC (market value) </t>
  </si>
  <si>
    <t xml:space="preserve">Approach 1: risk free rate, default spread, regression beta </t>
  </si>
  <si>
    <t xml:space="preserve">Approach 2: risk free rate, default sprea, bottom up beta (at market values) </t>
  </si>
  <si>
    <t xml:space="preserve">Approach 3: average cost of debt, regression beta </t>
  </si>
  <si>
    <t>At 31/12/19</t>
  </si>
  <si>
    <t>Equity (bv)</t>
  </si>
  <si>
    <t xml:space="preserve">Equity pertaining to group </t>
  </si>
  <si>
    <t xml:space="preserve">Equity market </t>
  </si>
  <si>
    <t>Market cap (at 31/12/19)</t>
  </si>
  <si>
    <t xml:space="preserve">Debt (Bv) </t>
  </si>
  <si>
    <t xml:space="preserve">Debt( Fair value) </t>
  </si>
  <si>
    <t xml:space="preserve">Fair value of bonds an bank debt </t>
  </si>
  <si>
    <t xml:space="preserve">Non curr fin payables for rights of use </t>
  </si>
  <si>
    <t>Yield to maturity</t>
  </si>
  <si>
    <t>Residual Coup</t>
  </si>
  <si>
    <t>Outstanding bonds</t>
  </si>
  <si>
    <t>Bond2022</t>
  </si>
  <si>
    <t>Bond2025</t>
  </si>
  <si>
    <t>bond2027</t>
  </si>
  <si>
    <t>bond2029</t>
  </si>
  <si>
    <t xml:space="preserve">WACC (book value ) </t>
  </si>
  <si>
    <t xml:space="preserve">Wacc (book value) </t>
  </si>
  <si>
    <t xml:space="preserve">Average Cost of Debt </t>
  </si>
  <si>
    <t xml:space="preserve">Computational references </t>
  </si>
  <si>
    <t xml:space="preserve">For what about cost of Debt in approach 3 </t>
  </si>
  <si>
    <t xml:space="preserve">Average Cost of debt </t>
  </si>
  <si>
    <t xml:space="preserve">Equity to capital (bv) </t>
  </si>
  <si>
    <t>Debt to capital (bv)</t>
  </si>
  <si>
    <t xml:space="preserve">Equity to capital (mv) </t>
  </si>
  <si>
    <t xml:space="preserve">Debt to capital (mv) </t>
  </si>
  <si>
    <t xml:space="preserve">Current value (At 01/04) </t>
  </si>
  <si>
    <t xml:space="preserve">Total Debt </t>
  </si>
  <si>
    <t xml:space="preserve">Bottom up unlevered beta computation </t>
  </si>
  <si>
    <t>Percentage</t>
  </si>
  <si>
    <t xml:space="preserve">Adj Unlev Beta </t>
  </si>
  <si>
    <t xml:space="preserve">Weighted Unlevered Beta </t>
  </si>
  <si>
    <t>Utility (general)</t>
  </si>
  <si>
    <t>Utility (water)</t>
  </si>
  <si>
    <t>Green and renewable energy (25%)</t>
  </si>
  <si>
    <t xml:space="preserve">Environmental and Waste </t>
  </si>
  <si>
    <t xml:space="preserve">Oil/gas distribution </t>
  </si>
  <si>
    <t>Investment &amp; Asset management</t>
  </si>
  <si>
    <t>TOTAL</t>
  </si>
  <si>
    <t xml:space="preserve">Financial balance </t>
  </si>
  <si>
    <t xml:space="preserve">Result after taxes from operating activities </t>
  </si>
  <si>
    <t xml:space="preserve">Net result from discounted operations </t>
  </si>
  <si>
    <t xml:space="preserve">REORGANIZED INCOME STATEMENT (Trailing 12 Months) </t>
  </si>
  <si>
    <t xml:space="preserve">Operating expenses  </t>
  </si>
  <si>
    <t xml:space="preserve">Labour cost </t>
  </si>
  <si>
    <t>Trailing 01/04/15-16</t>
  </si>
  <si>
    <t>01/04/16-17</t>
  </si>
  <si>
    <t>01/04/17-18</t>
  </si>
  <si>
    <t>01/04/18-19</t>
  </si>
  <si>
    <t>01/04/19-20</t>
  </si>
  <si>
    <t xml:space="preserve">Depreciation amortization and write downs </t>
  </si>
  <si>
    <t>Net Result from non-recur. Transactions</t>
  </si>
  <si>
    <t xml:space="preserve">Income taxes </t>
  </si>
  <si>
    <t xml:space="preserve">Net Income </t>
  </si>
  <si>
    <t xml:space="preserve">Minorities </t>
  </si>
  <si>
    <t>Reorganized balance sheet trailing 12 m</t>
  </si>
  <si>
    <t>01/04/15-16</t>
  </si>
  <si>
    <t>Other assets:</t>
  </si>
  <si>
    <t xml:space="preserve">CHECK NET INVESTED CAPITAL </t>
  </si>
  <si>
    <t>SOLVE PROVISION PROBLEM</t>
  </si>
  <si>
    <t>I HAVE TO DECOMPOSE</t>
  </si>
  <si>
    <t>AMORT &amp; DEPR IN ORDER</t>
  </si>
  <si>
    <t>TO REMOVE WRITE DOWNS</t>
  </si>
  <si>
    <t>AND PROVISIONS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</si>
</sst>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3" formatCode="_-* #,##0.00_-;\-* #,##0.00_-;_-* &quot;-&quot;??_-;_-@_-"/>
    <numFmt numFmtId="164" formatCode="_(* #,##0.00_);_(* \(#,##0.00\);_(* &quot;-&quot;??_);_(@_)"/>
    <numFmt numFmtId="165" formatCode="yyyy"/>
    <numFmt numFmtId="166" formatCode="0.000%"/>
    <numFmt numFmtId="167" formatCode="0.000"/>
    <numFmt numFmtId="168" formatCode="0_);\(0\)"/>
    <numFmt numFmtId="169" formatCode="_(* #,##0_);_(* \(#,##0\);_(* &quot;-&quot;??_);_(@_)"/>
    <numFmt numFmtId="170" formatCode="0.000000%"/>
    <numFmt numFmtId="171" formatCode="0.00000%"/>
    <numFmt numFmtId="172" formatCode="_-* #,##0.0000_-;\-* #,##0.0000_-;_-* &quot;-&quot;??_-;_-@_-"/>
    <numFmt numFmtId="173" formatCode="0.0000%"/>
  </numFmts>
  <fonts count="3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8"/>
      <color rgb="FF002060"/>
      <name val="Biome"/>
      <family val="2"/>
    </font>
    <font>
      <sz val="20"/>
      <color rgb="FFFF0000"/>
      <name val="Biome"/>
      <family val="2"/>
    </font>
    <font>
      <b/>
      <sz val="18"/>
      <color rgb="FF002060"/>
      <name val="Biome"/>
      <family val="2"/>
    </font>
    <font>
      <sz val="11"/>
      <color theme="1"/>
      <name val="Biome"/>
      <family val="2"/>
    </font>
    <font>
      <b/>
      <i/>
      <sz val="11"/>
      <color theme="1"/>
      <name val="Biome"/>
      <family val="2"/>
    </font>
    <font>
      <b/>
      <sz val="11"/>
      <color theme="0"/>
      <name val="Biome"/>
      <family val="2"/>
    </font>
    <font>
      <b/>
      <sz val="14"/>
      <color theme="1"/>
      <name val="Biome"/>
      <family val="2"/>
    </font>
    <font>
      <b/>
      <u/>
      <sz val="11"/>
      <color theme="1"/>
      <name val="Biome"/>
      <family val="2"/>
    </font>
    <font>
      <b/>
      <sz val="11"/>
      <color theme="1"/>
      <name val="Biome"/>
      <family val="2"/>
    </font>
    <font>
      <i/>
      <u/>
      <sz val="11"/>
      <color theme="1"/>
      <name val="Biome"/>
      <family val="2"/>
    </font>
    <font>
      <u/>
      <sz val="11"/>
      <color theme="1"/>
      <name val="Biome"/>
      <family val="2"/>
    </font>
    <font>
      <i/>
      <sz val="11"/>
      <color theme="1"/>
      <name val="Biome"/>
      <family val="2"/>
    </font>
    <font>
      <sz val="11"/>
      <name val="Biome"/>
      <family val="2"/>
    </font>
    <font>
      <b/>
      <sz val="16"/>
      <color theme="1"/>
      <name val="Biome"/>
      <family val="2"/>
    </font>
    <font>
      <sz val="11"/>
      <color theme="0" tint="-0.499984740745262"/>
      <name val="Biome"/>
      <family val="2"/>
    </font>
    <font>
      <sz val="12"/>
      <color rgb="FF222222"/>
      <name val="Biome"/>
      <family val="2"/>
    </font>
    <font>
      <sz val="11"/>
      <color rgb="FF000000"/>
      <name val="Calibri"/>
      <family val="2"/>
      <scheme val="minor"/>
    </font>
    <font>
      <sz val="18"/>
      <color theme="1"/>
      <name val="Biome"/>
      <family val="2"/>
    </font>
    <font>
      <b/>
      <i/>
      <sz val="11"/>
      <color theme="8" tint="-0.499984740745262"/>
      <name val="Biome"/>
      <family val="2"/>
    </font>
    <font>
      <sz val="11"/>
      <color theme="8" tint="-0.499984740745262"/>
      <name val="Biome"/>
      <family val="2"/>
    </font>
    <font>
      <sz val="11"/>
      <color theme="0"/>
      <name val="Biome"/>
      <family val="2"/>
    </font>
    <font>
      <b/>
      <sz val="11"/>
      <color rgb="FF002060"/>
      <name val="Biome"/>
      <family val="2"/>
    </font>
    <font>
      <b/>
      <sz val="12"/>
      <color theme="1"/>
      <name val="Biome"/>
      <family val="2"/>
    </font>
    <font>
      <b/>
      <sz val="11"/>
      <name val="Biome"/>
      <family val="2"/>
    </font>
    <font>
      <b/>
      <u/>
      <sz val="16"/>
      <color theme="1"/>
      <name val="Biome"/>
      <family val="2"/>
    </font>
    <font>
      <sz val="8"/>
      <color theme="0"/>
      <name val="Biome"/>
      <family val="2"/>
    </font>
    <font>
      <sz val="11"/>
      <color theme="0" tint="-0.249977111117893"/>
      <name val="Biome"/>
      <family val="2"/>
    </font>
    <font>
      <i/>
      <sz val="11"/>
      <color theme="1"/>
      <name val="Calibri"/>
      <family val="2"/>
      <scheme val="minor"/>
    </font>
    <font>
      <b/>
      <u val="singleAccounting"/>
      <sz val="11"/>
      <color theme="1"/>
      <name val="Biome"/>
      <family val="2"/>
    </font>
    <font>
      <sz val="11"/>
      <color theme="0"/>
      <name val="Calibri"/>
      <family val="2"/>
      <scheme val="minor"/>
    </font>
    <font>
      <sz val="11"/>
      <color theme="1"/>
      <name val="Symbol"/>
      <family val="1"/>
      <charset val="2"/>
    </font>
    <font>
      <sz val="11"/>
      <color theme="2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339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51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auto="1"/>
      </left>
      <right style="medium">
        <color indexed="64"/>
      </right>
      <top/>
      <bottom/>
      <diagonal/>
    </border>
    <border>
      <left/>
      <right style="hair">
        <color auto="1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auto="1"/>
      </left>
      <right style="medium">
        <color indexed="64"/>
      </right>
      <top/>
      <bottom style="medium">
        <color indexed="64"/>
      </bottom>
      <diagonal/>
    </border>
    <border>
      <left style="hair">
        <color auto="1"/>
      </left>
      <right style="hair">
        <color auto="1"/>
      </right>
      <top/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456">
    <xf numFmtId="0" fontId="0" fillId="0" borderId="0" xfId="0"/>
    <xf numFmtId="0" fontId="0" fillId="2" borderId="0" xfId="0" applyFill="1"/>
    <xf numFmtId="0" fontId="2" fillId="2" borderId="0" xfId="0" applyFont="1" applyFill="1"/>
    <xf numFmtId="0" fontId="2" fillId="2" borderId="0" xfId="0" applyFont="1" applyFill="1" applyAlignment="1">
      <alignment wrapText="1"/>
    </xf>
    <xf numFmtId="0" fontId="0" fillId="2" borderId="0" xfId="0" applyFill="1" applyAlignment="1">
      <alignment vertical="center" wrapText="1"/>
    </xf>
    <xf numFmtId="0" fontId="6" fillId="2" borderId="0" xfId="0" applyFont="1" applyFill="1" applyBorder="1"/>
    <xf numFmtId="0" fontId="9" fillId="2" borderId="0" xfId="0" applyFont="1" applyFill="1" applyBorder="1"/>
    <xf numFmtId="14" fontId="6" fillId="2" borderId="0" xfId="0" applyNumberFormat="1" applyFont="1" applyFill="1" applyBorder="1"/>
    <xf numFmtId="0" fontId="11" fillId="2" borderId="0" xfId="0" applyFont="1" applyFill="1" applyBorder="1"/>
    <xf numFmtId="0" fontId="6" fillId="0" borderId="0" xfId="0" applyFont="1" applyBorder="1"/>
    <xf numFmtId="0" fontId="12" fillId="4" borderId="0" xfId="0" applyFont="1" applyFill="1" applyBorder="1"/>
    <xf numFmtId="0" fontId="6" fillId="4" borderId="0" xfId="0" applyFont="1" applyFill="1" applyBorder="1"/>
    <xf numFmtId="0" fontId="13" fillId="4" borderId="0" xfId="0" applyFont="1" applyFill="1" applyBorder="1"/>
    <xf numFmtId="0" fontId="10" fillId="4" borderId="0" xfId="0" applyFont="1" applyFill="1" applyBorder="1"/>
    <xf numFmtId="0" fontId="14" fillId="2" borderId="0" xfId="0" applyFont="1" applyFill="1" applyBorder="1"/>
    <xf numFmtId="0" fontId="11" fillId="6" borderId="0" xfId="0" applyFont="1" applyFill="1" applyBorder="1"/>
    <xf numFmtId="0" fontId="6" fillId="6" borderId="0" xfId="0" applyFont="1" applyFill="1" applyBorder="1"/>
    <xf numFmtId="0" fontId="6" fillId="0" borderId="0" xfId="0" applyFont="1"/>
    <xf numFmtId="0" fontId="11" fillId="7" borderId="0" xfId="0" applyFont="1" applyFill="1" applyBorder="1"/>
    <xf numFmtId="0" fontId="15" fillId="7" borderId="0" xfId="0" applyFont="1" applyFill="1" applyBorder="1"/>
    <xf numFmtId="0" fontId="6" fillId="7" borderId="0" xfId="0" applyFont="1" applyFill="1" applyBorder="1"/>
    <xf numFmtId="0" fontId="15" fillId="2" borderId="0" xfId="0" applyFont="1" applyFill="1" applyBorder="1"/>
    <xf numFmtId="0" fontId="16" fillId="2" borderId="0" xfId="0" applyFont="1" applyFill="1" applyBorder="1"/>
    <xf numFmtId="0" fontId="14" fillId="2" borderId="0" xfId="0" applyFont="1" applyFill="1" applyBorder="1" applyAlignment="1">
      <alignment wrapText="1"/>
    </xf>
    <xf numFmtId="0" fontId="11" fillId="5" borderId="0" xfId="0" applyFont="1" applyFill="1" applyBorder="1"/>
    <xf numFmtId="0" fontId="6" fillId="5" borderId="0" xfId="0" applyFont="1" applyFill="1" applyBorder="1"/>
    <xf numFmtId="0" fontId="11" fillId="2" borderId="0" xfId="0" applyFont="1" applyFill="1" applyBorder="1" applyAlignment="1">
      <alignment wrapText="1"/>
    </xf>
    <xf numFmtId="0" fontId="17" fillId="2" borderId="0" xfId="0" applyFont="1" applyFill="1"/>
    <xf numFmtId="14" fontId="6" fillId="2" borderId="3" xfId="0" applyNumberFormat="1" applyFont="1" applyFill="1" applyBorder="1"/>
    <xf numFmtId="0" fontId="6" fillId="2" borderId="3" xfId="0" applyFont="1" applyFill="1" applyBorder="1"/>
    <xf numFmtId="0" fontId="6" fillId="2" borderId="4" xfId="0" applyFont="1" applyFill="1" applyBorder="1"/>
    <xf numFmtId="0" fontId="6" fillId="2" borderId="2" xfId="0" applyFont="1" applyFill="1" applyBorder="1"/>
    <xf numFmtId="166" fontId="6" fillId="2" borderId="3" xfId="1" applyNumberFormat="1" applyFont="1" applyFill="1" applyBorder="1"/>
    <xf numFmtId="0" fontId="6" fillId="0" borderId="4" xfId="0" applyFont="1" applyBorder="1"/>
    <xf numFmtId="166" fontId="10" fillId="4" borderId="3" xfId="1" applyNumberFormat="1" applyFont="1" applyFill="1" applyBorder="1"/>
    <xf numFmtId="3" fontId="10" fillId="4" borderId="4" xfId="0" applyNumberFormat="1" applyFont="1" applyFill="1" applyBorder="1"/>
    <xf numFmtId="166" fontId="14" fillId="2" borderId="3" xfId="1" applyNumberFormat="1" applyFont="1" applyFill="1" applyBorder="1"/>
    <xf numFmtId="0" fontId="14" fillId="2" borderId="4" xfId="0" applyFont="1" applyFill="1" applyBorder="1"/>
    <xf numFmtId="0" fontId="10" fillId="4" borderId="4" xfId="0" applyFont="1" applyFill="1" applyBorder="1"/>
    <xf numFmtId="166" fontId="11" fillId="6" borderId="3" xfId="1" applyNumberFormat="1" applyFont="1" applyFill="1" applyBorder="1"/>
    <xf numFmtId="0" fontId="11" fillId="6" borderId="4" xfId="0" applyFont="1" applyFill="1" applyBorder="1"/>
    <xf numFmtId="166" fontId="11" fillId="7" borderId="3" xfId="1" applyNumberFormat="1" applyFont="1" applyFill="1" applyBorder="1"/>
    <xf numFmtId="0" fontId="11" fillId="7" borderId="4" xfId="0" applyFont="1" applyFill="1" applyBorder="1"/>
    <xf numFmtId="166" fontId="11" fillId="5" borderId="3" xfId="1" applyNumberFormat="1" applyFont="1" applyFill="1" applyBorder="1"/>
    <xf numFmtId="0" fontId="11" fillId="5" borderId="4" xfId="0" applyFont="1" applyFill="1" applyBorder="1"/>
    <xf numFmtId="0" fontId="17" fillId="2" borderId="2" xfId="0" applyFont="1" applyFill="1" applyBorder="1"/>
    <xf numFmtId="0" fontId="17" fillId="2" borderId="3" xfId="0" applyFont="1" applyFill="1" applyBorder="1"/>
    <xf numFmtId="0" fontId="17" fillId="2" borderId="4" xfId="0" applyFont="1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7" fillId="2" borderId="0" xfId="0" applyFont="1" applyFill="1" applyBorder="1"/>
    <xf numFmtId="0" fontId="0" fillId="2" borderId="0" xfId="0" applyFill="1" applyBorder="1"/>
    <xf numFmtId="166" fontId="11" fillId="2" borderId="3" xfId="1" applyNumberFormat="1" applyFont="1" applyFill="1" applyBorder="1"/>
    <xf numFmtId="3" fontId="11" fillId="2" borderId="4" xfId="0" applyNumberFormat="1" applyFont="1" applyFill="1" applyBorder="1"/>
    <xf numFmtId="0" fontId="18" fillId="0" borderId="0" xfId="0" applyFont="1"/>
    <xf numFmtId="0" fontId="11" fillId="2" borderId="4" xfId="0" applyFont="1" applyFill="1" applyBorder="1"/>
    <xf numFmtId="0" fontId="3" fillId="8" borderId="0" xfId="0" applyFont="1" applyFill="1" applyBorder="1"/>
    <xf numFmtId="0" fontId="4" fillId="8" borderId="1" xfId="0" applyFont="1" applyFill="1" applyBorder="1"/>
    <xf numFmtId="0" fontId="0" fillId="8" borderId="0" xfId="0" applyFill="1"/>
    <xf numFmtId="0" fontId="5" fillId="8" borderId="0" xfId="0" applyFont="1" applyFill="1" applyBorder="1"/>
    <xf numFmtId="0" fontId="6" fillId="8" borderId="0" xfId="0" applyFont="1" applyFill="1" applyBorder="1"/>
    <xf numFmtId="0" fontId="6" fillId="3" borderId="0" xfId="0" applyFont="1" applyFill="1" applyBorder="1"/>
    <xf numFmtId="0" fontId="0" fillId="3" borderId="0" xfId="0" applyFill="1"/>
    <xf numFmtId="0" fontId="0" fillId="10" borderId="6" xfId="0" applyFill="1" applyBorder="1"/>
    <xf numFmtId="14" fontId="0" fillId="5" borderId="1" xfId="0" applyNumberFormat="1" applyFill="1" applyBorder="1"/>
    <xf numFmtId="0" fontId="0" fillId="2" borderId="8" xfId="0" applyFill="1" applyBorder="1"/>
    <xf numFmtId="0" fontId="0" fillId="2" borderId="10" xfId="0" applyFill="1" applyBorder="1"/>
    <xf numFmtId="166" fontId="0" fillId="2" borderId="10" xfId="1" applyNumberFormat="1" applyFont="1" applyFill="1" applyBorder="1"/>
    <xf numFmtId="0" fontId="0" fillId="0" borderId="10" xfId="0" applyBorder="1"/>
    <xf numFmtId="0" fontId="0" fillId="0" borderId="11" xfId="0" applyBorder="1"/>
    <xf numFmtId="166" fontId="0" fillId="2" borderId="12" xfId="1" applyNumberFormat="1" applyFont="1" applyFill="1" applyBorder="1"/>
    <xf numFmtId="0" fontId="2" fillId="2" borderId="14" xfId="0" applyFont="1" applyFill="1" applyBorder="1"/>
    <xf numFmtId="0" fontId="0" fillId="0" borderId="9" xfId="0" applyBorder="1"/>
    <xf numFmtId="0" fontId="0" fillId="2" borderId="15" xfId="0" applyFill="1" applyBorder="1"/>
    <xf numFmtId="0" fontId="0" fillId="2" borderId="16" xfId="0" applyFill="1" applyBorder="1"/>
    <xf numFmtId="0" fontId="0" fillId="2" borderId="17" xfId="0" applyFill="1" applyBorder="1"/>
    <xf numFmtId="0" fontId="0" fillId="2" borderId="18" xfId="0" applyFill="1" applyBorder="1"/>
    <xf numFmtId="0" fontId="0" fillId="2" borderId="12" xfId="0" applyFill="1" applyBorder="1"/>
    <xf numFmtId="0" fontId="0" fillId="0" borderId="13" xfId="0" applyBorder="1"/>
    <xf numFmtId="0" fontId="0" fillId="13" borderId="19" xfId="0" applyFill="1" applyBorder="1"/>
    <xf numFmtId="0" fontId="0" fillId="0" borderId="1" xfId="0" applyBorder="1"/>
    <xf numFmtId="14" fontId="0" fillId="0" borderId="8" xfId="0" applyNumberFormat="1" applyBorder="1"/>
    <xf numFmtId="0" fontId="0" fillId="0" borderId="8" xfId="0" applyBorder="1"/>
    <xf numFmtId="0" fontId="0" fillId="0" borderId="20" xfId="0" applyBorder="1"/>
    <xf numFmtId="14" fontId="0" fillId="0" borderId="0" xfId="0" applyNumberFormat="1"/>
    <xf numFmtId="167" fontId="0" fillId="0" borderId="10" xfId="0" applyNumberFormat="1" applyBorder="1"/>
    <xf numFmtId="166" fontId="0" fillId="0" borderId="10" xfId="1" applyNumberFormat="1" applyFont="1" applyBorder="1"/>
    <xf numFmtId="0" fontId="0" fillId="0" borderId="21" xfId="0" applyBorder="1"/>
    <xf numFmtId="0" fontId="0" fillId="0" borderId="22" xfId="0" applyBorder="1"/>
    <xf numFmtId="166" fontId="0" fillId="0" borderId="12" xfId="0" applyNumberFormat="1" applyBorder="1"/>
    <xf numFmtId="0" fontId="0" fillId="10" borderId="5" xfId="0" applyFill="1" applyBorder="1"/>
    <xf numFmtId="0" fontId="0" fillId="10" borderId="23" xfId="0" applyFill="1" applyBorder="1"/>
    <xf numFmtId="0" fontId="0" fillId="10" borderId="24" xfId="0" applyFill="1" applyBorder="1"/>
    <xf numFmtId="0" fontId="0" fillId="0" borderId="19" xfId="0" applyBorder="1"/>
    <xf numFmtId="4" fontId="0" fillId="0" borderId="25" xfId="0" applyNumberFormat="1" applyBorder="1"/>
    <xf numFmtId="4" fontId="0" fillId="0" borderId="12" xfId="0" applyNumberFormat="1" applyBorder="1"/>
    <xf numFmtId="0" fontId="0" fillId="2" borderId="25" xfId="0" applyFill="1" applyBorder="1"/>
    <xf numFmtId="0" fontId="0" fillId="13" borderId="26" xfId="0" applyFill="1" applyBorder="1"/>
    <xf numFmtId="0" fontId="0" fillId="11" borderId="28" xfId="0" applyFill="1" applyBorder="1"/>
    <xf numFmtId="0" fontId="0" fillId="11" borderId="1" xfId="0" applyFill="1" applyBorder="1"/>
    <xf numFmtId="0" fontId="0" fillId="11" borderId="27" xfId="0" applyFill="1" applyBorder="1"/>
    <xf numFmtId="0" fontId="0" fillId="11" borderId="19" xfId="0" applyFill="1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166" fontId="0" fillId="0" borderId="21" xfId="1" applyNumberFormat="1" applyFont="1" applyBorder="1"/>
    <xf numFmtId="166" fontId="0" fillId="0" borderId="0" xfId="1" applyNumberFormat="1" applyFont="1"/>
    <xf numFmtId="0" fontId="0" fillId="0" borderId="28" xfId="0" applyBorder="1"/>
    <xf numFmtId="0" fontId="0" fillId="0" borderId="27" xfId="0" applyBorder="1"/>
    <xf numFmtId="0" fontId="2" fillId="0" borderId="30" xfId="0" applyFont="1" applyBorder="1"/>
    <xf numFmtId="0" fontId="2" fillId="0" borderId="32" xfId="0" applyFont="1" applyBorder="1"/>
    <xf numFmtId="0" fontId="19" fillId="0" borderId="0" xfId="0" applyFont="1"/>
    <xf numFmtId="43" fontId="0" fillId="0" borderId="0" xfId="0" applyNumberFormat="1"/>
    <xf numFmtId="10" fontId="0" fillId="0" borderId="0" xfId="1" applyNumberFormat="1" applyFont="1"/>
    <xf numFmtId="0" fontId="0" fillId="9" borderId="0" xfId="0" applyFill="1"/>
    <xf numFmtId="0" fontId="2" fillId="12" borderId="33" xfId="0" applyFont="1" applyFill="1" applyBorder="1"/>
    <xf numFmtId="0" fontId="0" fillId="2" borderId="34" xfId="0" applyFill="1" applyBorder="1"/>
    <xf numFmtId="0" fontId="2" fillId="2" borderId="0" xfId="0" applyFont="1" applyFill="1" applyBorder="1"/>
    <xf numFmtId="0" fontId="0" fillId="2" borderId="35" xfId="0" applyFill="1" applyBorder="1"/>
    <xf numFmtId="0" fontId="0" fillId="2" borderId="36" xfId="0" applyFill="1" applyBorder="1"/>
    <xf numFmtId="0" fontId="0" fillId="2" borderId="7" xfId="0" applyFill="1" applyBorder="1"/>
    <xf numFmtId="0" fontId="0" fillId="0" borderId="0" xfId="0" applyBorder="1"/>
    <xf numFmtId="0" fontId="0" fillId="10" borderId="0" xfId="0" applyFill="1" applyBorder="1"/>
    <xf numFmtId="0" fontId="6" fillId="2" borderId="0" xfId="0" applyFont="1" applyFill="1" applyBorder="1" applyAlignment="1">
      <alignment wrapText="1"/>
    </xf>
    <xf numFmtId="0" fontId="6" fillId="14" borderId="0" xfId="0" applyFont="1" applyFill="1" applyBorder="1"/>
    <xf numFmtId="14" fontId="23" fillId="3" borderId="0" xfId="0" applyNumberFormat="1" applyFont="1" applyFill="1" applyBorder="1"/>
    <xf numFmtId="0" fontId="25" fillId="2" borderId="0" xfId="0" applyFont="1" applyFill="1" applyBorder="1"/>
    <xf numFmtId="0" fontId="11" fillId="8" borderId="0" xfId="0" applyFont="1" applyFill="1" applyBorder="1"/>
    <xf numFmtId="0" fontId="14" fillId="8" borderId="0" xfId="0" applyFont="1" applyFill="1" applyBorder="1"/>
    <xf numFmtId="0" fontId="12" fillId="8" borderId="0" xfId="0" applyFont="1" applyFill="1" applyBorder="1"/>
    <xf numFmtId="0" fontId="14" fillId="15" borderId="0" xfId="0" applyFont="1" applyFill="1" applyBorder="1"/>
    <xf numFmtId="0" fontId="6" fillId="15" borderId="0" xfId="0" applyFont="1" applyFill="1" applyBorder="1"/>
    <xf numFmtId="0" fontId="12" fillId="15" borderId="0" xfId="0" applyFont="1" applyFill="1" applyBorder="1"/>
    <xf numFmtId="0" fontId="26" fillId="8" borderId="0" xfId="0" applyFont="1" applyFill="1" applyBorder="1"/>
    <xf numFmtId="0" fontId="15" fillId="8" borderId="0" xfId="0" applyFont="1" applyFill="1" applyBorder="1"/>
    <xf numFmtId="0" fontId="6" fillId="8" borderId="0" xfId="0" applyFont="1" applyFill="1" applyBorder="1" applyAlignment="1"/>
    <xf numFmtId="0" fontId="27" fillId="2" borderId="0" xfId="0" applyFont="1" applyFill="1" applyBorder="1"/>
    <xf numFmtId="166" fontId="6" fillId="2" borderId="0" xfId="1" applyNumberFormat="1" applyFont="1" applyFill="1" applyBorder="1"/>
    <xf numFmtId="0" fontId="23" fillId="3" borderId="0" xfId="0" applyFont="1" applyFill="1" applyBorder="1"/>
    <xf numFmtId="165" fontId="28" fillId="3" borderId="0" xfId="0" applyNumberFormat="1" applyFont="1" applyFill="1" applyBorder="1" applyAlignment="1">
      <alignment horizontal="right" vertical="center" indent="1"/>
    </xf>
    <xf numFmtId="0" fontId="3" fillId="14" borderId="0" xfId="0" applyFont="1" applyFill="1" applyBorder="1"/>
    <xf numFmtId="0" fontId="0" fillId="14" borderId="0" xfId="0" applyFill="1"/>
    <xf numFmtId="14" fontId="23" fillId="3" borderId="0" xfId="0" applyNumberFormat="1" applyFont="1" applyFill="1" applyBorder="1" applyAlignment="1">
      <alignment horizontal="center" vertical="center"/>
    </xf>
    <xf numFmtId="0" fontId="4" fillId="14" borderId="1" xfId="0" applyFont="1" applyFill="1" applyBorder="1"/>
    <xf numFmtId="0" fontId="6" fillId="2" borderId="0" xfId="0" applyFont="1" applyFill="1"/>
    <xf numFmtId="0" fontId="11" fillId="15" borderId="0" xfId="0" applyFont="1" applyFill="1" applyBorder="1"/>
    <xf numFmtId="0" fontId="0" fillId="2" borderId="0" xfId="0" applyFill="1" applyAlignment="1"/>
    <xf numFmtId="0" fontId="11" fillId="2" borderId="0" xfId="0" applyFont="1" applyFill="1" applyBorder="1" applyAlignment="1"/>
    <xf numFmtId="0" fontId="0" fillId="16" borderId="0" xfId="0" applyFill="1"/>
    <xf numFmtId="0" fontId="6" fillId="2" borderId="0" xfId="0" applyFont="1" applyFill="1" applyAlignment="1">
      <alignment wrapText="1"/>
    </xf>
    <xf numFmtId="0" fontId="20" fillId="2" borderId="0" xfId="0" applyFont="1" applyFill="1"/>
    <xf numFmtId="0" fontId="29" fillId="2" borderId="0" xfId="0" applyFont="1" applyFill="1"/>
    <xf numFmtId="0" fontId="14" fillId="2" borderId="0" xfId="0" applyFont="1" applyFill="1"/>
    <xf numFmtId="0" fontId="6" fillId="2" borderId="0" xfId="0" applyFont="1" applyFill="1" applyBorder="1" applyAlignment="1">
      <alignment horizontal="left" wrapText="1"/>
    </xf>
    <xf numFmtId="1" fontId="6" fillId="2" borderId="0" xfId="0" applyNumberFormat="1" applyFont="1" applyFill="1"/>
    <xf numFmtId="2" fontId="6" fillId="2" borderId="0" xfId="0" applyNumberFormat="1" applyFont="1" applyFill="1"/>
    <xf numFmtId="168" fontId="11" fillId="2" borderId="0" xfId="0" applyNumberFormat="1" applyFont="1" applyFill="1" applyBorder="1"/>
    <xf numFmtId="168" fontId="6" fillId="2" borderId="0" xfId="0" applyNumberFormat="1" applyFont="1" applyFill="1" applyBorder="1"/>
    <xf numFmtId="168" fontId="14" fillId="2" borderId="0" xfId="0" applyNumberFormat="1" applyFont="1" applyFill="1" applyBorder="1"/>
    <xf numFmtId="168" fontId="6" fillId="2" borderId="3" xfId="0" applyNumberFormat="1" applyFont="1" applyFill="1" applyBorder="1"/>
    <xf numFmtId="168" fontId="14" fillId="2" borderId="3" xfId="0" applyNumberFormat="1" applyFont="1" applyFill="1" applyBorder="1"/>
    <xf numFmtId="168" fontId="11" fillId="2" borderId="3" xfId="0" applyNumberFormat="1" applyFont="1" applyFill="1" applyBorder="1"/>
    <xf numFmtId="168" fontId="11" fillId="5" borderId="3" xfId="0" applyNumberFormat="1" applyFont="1" applyFill="1" applyBorder="1"/>
    <xf numFmtId="168" fontId="6" fillId="2" borderId="3" xfId="1" applyNumberFormat="1" applyFont="1" applyFill="1" applyBorder="1"/>
    <xf numFmtId="168" fontId="11" fillId="7" borderId="3" xfId="0" applyNumberFormat="1" applyFont="1" applyFill="1" applyBorder="1"/>
    <xf numFmtId="0" fontId="24" fillId="2" borderId="0" xfId="0" applyFont="1" applyFill="1" applyBorder="1" applyAlignment="1"/>
    <xf numFmtId="168" fontId="11" fillId="2" borderId="2" xfId="0" applyNumberFormat="1" applyFont="1" applyFill="1" applyBorder="1"/>
    <xf numFmtId="168" fontId="6" fillId="2" borderId="2" xfId="0" applyNumberFormat="1" applyFont="1" applyFill="1" applyBorder="1"/>
    <xf numFmtId="168" fontId="14" fillId="2" borderId="2" xfId="0" applyNumberFormat="1" applyFont="1" applyFill="1" applyBorder="1"/>
    <xf numFmtId="168" fontId="6" fillId="2" borderId="0" xfId="0" applyNumberFormat="1" applyFont="1" applyFill="1"/>
    <xf numFmtId="168" fontId="6" fillId="2" borderId="0" xfId="0" applyNumberFormat="1" applyFont="1" applyFill="1" applyBorder="1" applyAlignment="1">
      <alignment wrapText="1"/>
    </xf>
    <xf numFmtId="168" fontId="6" fillId="2" borderId="0" xfId="0" applyNumberFormat="1" applyFont="1" applyFill="1" applyAlignment="1">
      <alignment wrapText="1"/>
    </xf>
    <xf numFmtId="168" fontId="6" fillId="2" borderId="0" xfId="1" applyNumberFormat="1" applyFont="1" applyFill="1" applyBorder="1"/>
    <xf numFmtId="168" fontId="11" fillId="7" borderId="0" xfId="0" applyNumberFormat="1" applyFont="1" applyFill="1"/>
    <xf numFmtId="168" fontId="11" fillId="2" borderId="0" xfId="0" applyNumberFormat="1" applyFont="1" applyFill="1"/>
    <xf numFmtId="168" fontId="11" fillId="7" borderId="2" xfId="0" applyNumberFormat="1" applyFont="1" applyFill="1" applyBorder="1"/>
    <xf numFmtId="168" fontId="11" fillId="5" borderId="0" xfId="0" applyNumberFormat="1" applyFont="1" applyFill="1"/>
    <xf numFmtId="168" fontId="11" fillId="5" borderId="2" xfId="0" applyNumberFormat="1" applyFont="1" applyFill="1" applyBorder="1"/>
    <xf numFmtId="168" fontId="6" fillId="5" borderId="0" xfId="0" applyNumberFormat="1" applyFont="1" applyFill="1"/>
    <xf numFmtId="168" fontId="6" fillId="5" borderId="2" xfId="0" applyNumberFormat="1" applyFont="1" applyFill="1" applyBorder="1"/>
    <xf numFmtId="168" fontId="6" fillId="5" borderId="3" xfId="0" applyNumberFormat="1" applyFont="1" applyFill="1" applyBorder="1"/>
    <xf numFmtId="168" fontId="11" fillId="6" borderId="0" xfId="0" applyNumberFormat="1" applyFont="1" applyFill="1"/>
    <xf numFmtId="168" fontId="11" fillId="6" borderId="2" xfId="0" applyNumberFormat="1" applyFont="1" applyFill="1" applyBorder="1"/>
    <xf numFmtId="168" fontId="11" fillId="6" borderId="3" xfId="0" applyNumberFormat="1" applyFont="1" applyFill="1" applyBorder="1"/>
    <xf numFmtId="168" fontId="14" fillId="6" borderId="0" xfId="0" applyNumberFormat="1" applyFont="1" applyFill="1"/>
    <xf numFmtId="168" fontId="14" fillId="6" borderId="2" xfId="0" applyNumberFormat="1" applyFont="1" applyFill="1" applyBorder="1"/>
    <xf numFmtId="168" fontId="14" fillId="6" borderId="3" xfId="0" applyNumberFormat="1" applyFont="1" applyFill="1" applyBorder="1"/>
    <xf numFmtId="168" fontId="14" fillId="2" borderId="0" xfId="0" applyNumberFormat="1" applyFont="1" applyFill="1"/>
    <xf numFmtId="0" fontId="30" fillId="2" borderId="0" xfId="0" applyFont="1" applyFill="1"/>
    <xf numFmtId="0" fontId="4" fillId="2" borderId="1" xfId="0" applyFont="1" applyFill="1" applyBorder="1"/>
    <xf numFmtId="0" fontId="4" fillId="2" borderId="0" xfId="0" applyFont="1" applyFill="1" applyBorder="1"/>
    <xf numFmtId="0" fontId="6" fillId="2" borderId="0" xfId="0" applyFont="1" applyFill="1" applyBorder="1" applyAlignment="1"/>
    <xf numFmtId="14" fontId="8" fillId="2" borderId="0" xfId="0" applyNumberFormat="1" applyFont="1" applyFill="1" applyBorder="1"/>
    <xf numFmtId="0" fontId="8" fillId="2" borderId="0" xfId="0" applyFont="1" applyFill="1" applyBorder="1"/>
    <xf numFmtId="0" fontId="30" fillId="2" borderId="0" xfId="0" applyFont="1" applyFill="1" applyBorder="1"/>
    <xf numFmtId="0" fontId="11" fillId="2" borderId="0" xfId="0" applyFont="1" applyFill="1"/>
    <xf numFmtId="0" fontId="0" fillId="0" borderId="0" xfId="0" applyFont="1" applyBorder="1"/>
    <xf numFmtId="0" fontId="0" fillId="2" borderId="0" xfId="0" applyFont="1" applyFill="1" applyBorder="1"/>
    <xf numFmtId="0" fontId="0" fillId="2" borderId="0" xfId="0" applyFont="1" applyFill="1"/>
    <xf numFmtId="0" fontId="0" fillId="0" borderId="0" xfId="0" applyFont="1"/>
    <xf numFmtId="0" fontId="0" fillId="3" borderId="0" xfId="0" applyFont="1" applyFill="1"/>
    <xf numFmtId="0" fontId="0" fillId="6" borderId="0" xfId="0" applyFont="1" applyFill="1" applyBorder="1"/>
    <xf numFmtId="0" fontId="0" fillId="5" borderId="0" xfId="0" applyFont="1" applyFill="1" applyBorder="1"/>
    <xf numFmtId="168" fontId="0" fillId="0" borderId="3" xfId="0" applyNumberFormat="1" applyFont="1" applyBorder="1"/>
    <xf numFmtId="0" fontId="0" fillId="7" borderId="0" xfId="0" applyFont="1" applyFill="1" applyBorder="1"/>
    <xf numFmtId="0" fontId="0" fillId="2" borderId="2" xfId="0" applyFont="1" applyFill="1" applyBorder="1"/>
    <xf numFmtId="0" fontId="0" fillId="2" borderId="3" xfId="0" applyFont="1" applyFill="1" applyBorder="1"/>
    <xf numFmtId="0" fontId="7" fillId="2" borderId="0" xfId="0" applyFont="1" applyFill="1" applyBorder="1"/>
    <xf numFmtId="0" fontId="6" fillId="2" borderId="29" xfId="0" applyFont="1" applyFill="1" applyBorder="1"/>
    <xf numFmtId="164" fontId="6" fillId="2" borderId="2" xfId="2" applyFont="1" applyFill="1" applyBorder="1"/>
    <xf numFmtId="164" fontId="6" fillId="2" borderId="3" xfId="2" applyFont="1" applyFill="1" applyBorder="1"/>
    <xf numFmtId="169" fontId="11" fillId="2" borderId="2" xfId="2" applyNumberFormat="1" applyFont="1" applyFill="1" applyBorder="1"/>
    <xf numFmtId="169" fontId="11" fillId="2" borderId="3" xfId="2" applyNumberFormat="1" applyFont="1" applyFill="1" applyBorder="1"/>
    <xf numFmtId="169" fontId="6" fillId="2" borderId="2" xfId="2" applyNumberFormat="1" applyFont="1" applyFill="1" applyBorder="1"/>
    <xf numFmtId="169" fontId="6" fillId="2" borderId="3" xfId="2" applyNumberFormat="1" applyFont="1" applyFill="1" applyBorder="1"/>
    <xf numFmtId="169" fontId="6" fillId="5" borderId="2" xfId="2" applyNumberFormat="1" applyFont="1" applyFill="1" applyBorder="1"/>
    <xf numFmtId="169" fontId="6" fillId="5" borderId="3" xfId="2" applyNumberFormat="1" applyFont="1" applyFill="1" applyBorder="1"/>
    <xf numFmtId="169" fontId="6" fillId="7" borderId="2" xfId="2" applyNumberFormat="1" applyFont="1" applyFill="1" applyBorder="1"/>
    <xf numFmtId="169" fontId="6" fillId="7" borderId="3" xfId="2" applyNumberFormat="1" applyFont="1" applyFill="1" applyBorder="1"/>
    <xf numFmtId="169" fontId="6" fillId="2" borderId="2" xfId="0" applyNumberFormat="1" applyFont="1" applyFill="1" applyBorder="1"/>
    <xf numFmtId="169" fontId="6" fillId="2" borderId="3" xfId="0" applyNumberFormat="1" applyFont="1" applyFill="1" applyBorder="1"/>
    <xf numFmtId="10" fontId="6" fillId="2" borderId="2" xfId="2" applyNumberFormat="1" applyFont="1" applyFill="1" applyBorder="1"/>
    <xf numFmtId="164" fontId="14" fillId="2" borderId="2" xfId="2" applyFont="1" applyFill="1" applyBorder="1"/>
    <xf numFmtId="164" fontId="14" fillId="2" borderId="3" xfId="2" applyFont="1" applyFill="1" applyBorder="1"/>
    <xf numFmtId="169" fontId="14" fillId="2" borderId="3" xfId="2" applyNumberFormat="1" applyFont="1" applyFill="1" applyBorder="1"/>
    <xf numFmtId="169" fontId="11" fillId="6" borderId="3" xfId="2" applyNumberFormat="1" applyFont="1" applyFill="1" applyBorder="1"/>
    <xf numFmtId="169" fontId="11" fillId="5" borderId="3" xfId="2" applyNumberFormat="1" applyFont="1" applyFill="1" applyBorder="1"/>
    <xf numFmtId="168" fontId="6" fillId="2" borderId="2" xfId="2" applyNumberFormat="1" applyFont="1" applyFill="1" applyBorder="1"/>
    <xf numFmtId="168" fontId="6" fillId="2" borderId="3" xfId="2" applyNumberFormat="1" applyFont="1" applyFill="1" applyBorder="1"/>
    <xf numFmtId="168" fontId="10" fillId="4" borderId="2" xfId="2" applyNumberFormat="1" applyFont="1" applyFill="1" applyBorder="1"/>
    <xf numFmtId="168" fontId="10" fillId="4" borderId="3" xfId="2" applyNumberFormat="1" applyFont="1" applyFill="1" applyBorder="1"/>
    <xf numFmtId="168" fontId="14" fillId="2" borderId="2" xfId="2" applyNumberFormat="1" applyFont="1" applyFill="1" applyBorder="1"/>
    <xf numFmtId="168" fontId="14" fillId="2" borderId="3" xfId="2" applyNumberFormat="1" applyFont="1" applyFill="1" applyBorder="1"/>
    <xf numFmtId="168" fontId="30" fillId="2" borderId="2" xfId="2" applyNumberFormat="1" applyFont="1" applyFill="1" applyBorder="1"/>
    <xf numFmtId="168" fontId="30" fillId="2" borderId="3" xfId="2" applyNumberFormat="1" applyFont="1" applyFill="1" applyBorder="1"/>
    <xf numFmtId="168" fontId="0" fillId="2" borderId="2" xfId="2" applyNumberFormat="1" applyFont="1" applyFill="1" applyBorder="1"/>
    <xf numFmtId="168" fontId="0" fillId="2" borderId="3" xfId="2" applyNumberFormat="1" applyFont="1" applyFill="1" applyBorder="1"/>
    <xf numFmtId="168" fontId="0" fillId="0" borderId="2" xfId="2" applyNumberFormat="1" applyFont="1" applyBorder="1"/>
    <xf numFmtId="168" fontId="0" fillId="0" borderId="3" xfId="2" applyNumberFormat="1" applyFont="1" applyBorder="1"/>
    <xf numFmtId="168" fontId="11" fillId="2" borderId="2" xfId="2" applyNumberFormat="1" applyFont="1" applyFill="1" applyBorder="1"/>
    <xf numFmtId="168" fontId="11" fillId="2" borderId="3" xfId="2" applyNumberFormat="1" applyFont="1" applyFill="1" applyBorder="1"/>
    <xf numFmtId="168" fontId="11" fillId="6" borderId="2" xfId="2" applyNumberFormat="1" applyFont="1" applyFill="1" applyBorder="1"/>
    <xf numFmtId="168" fontId="11" fillId="6" borderId="3" xfId="2" applyNumberFormat="1" applyFont="1" applyFill="1" applyBorder="1"/>
    <xf numFmtId="168" fontId="6" fillId="0" borderId="2" xfId="2" applyNumberFormat="1" applyFont="1" applyBorder="1"/>
    <xf numFmtId="168" fontId="11" fillId="7" borderId="2" xfId="2" applyNumberFormat="1" applyFont="1" applyFill="1" applyBorder="1"/>
    <xf numFmtId="168" fontId="11" fillId="7" borderId="3" xfId="2" applyNumberFormat="1" applyFont="1" applyFill="1" applyBorder="1"/>
    <xf numFmtId="168" fontId="16" fillId="2" borderId="2" xfId="2" applyNumberFormat="1" applyFont="1" applyFill="1" applyBorder="1"/>
    <xf numFmtId="168" fontId="11" fillId="5" borderId="2" xfId="2" applyNumberFormat="1" applyFont="1" applyFill="1" applyBorder="1"/>
    <xf numFmtId="168" fontId="11" fillId="5" borderId="3" xfId="2" applyNumberFormat="1" applyFont="1" applyFill="1" applyBorder="1"/>
    <xf numFmtId="169" fontId="6" fillId="2" borderId="0" xfId="2" applyNumberFormat="1" applyFont="1" applyFill="1" applyBorder="1"/>
    <xf numFmtId="169" fontId="7" fillId="15" borderId="0" xfId="2" applyNumberFormat="1" applyFont="1" applyFill="1" applyBorder="1"/>
    <xf numFmtId="169" fontId="7" fillId="15" borderId="3" xfId="2" applyNumberFormat="1" applyFont="1" applyFill="1" applyBorder="1"/>
    <xf numFmtId="169" fontId="10" fillId="8" borderId="0" xfId="2" applyNumberFormat="1" applyFont="1" applyFill="1" applyBorder="1"/>
    <xf numFmtId="169" fontId="10" fillId="8" borderId="3" xfId="2" applyNumberFormat="1" applyFont="1" applyFill="1" applyBorder="1"/>
    <xf numFmtId="169" fontId="14" fillId="2" borderId="0" xfId="2" applyNumberFormat="1" applyFont="1" applyFill="1" applyBorder="1"/>
    <xf numFmtId="169" fontId="10" fillId="2" borderId="0" xfId="2" applyNumberFormat="1" applyFont="1" applyFill="1" applyBorder="1"/>
    <xf numFmtId="169" fontId="10" fillId="2" borderId="3" xfId="2" applyNumberFormat="1" applyFont="1" applyFill="1" applyBorder="1"/>
    <xf numFmtId="169" fontId="11" fillId="6" borderId="0" xfId="2" applyNumberFormat="1" applyFont="1" applyFill="1" applyBorder="1"/>
    <xf numFmtId="169" fontId="14" fillId="15" borderId="0" xfId="2" applyNumberFormat="1" applyFont="1" applyFill="1" applyBorder="1"/>
    <xf numFmtId="169" fontId="14" fillId="15" borderId="3" xfId="2" applyNumberFormat="1" applyFont="1" applyFill="1" applyBorder="1"/>
    <xf numFmtId="169" fontId="11" fillId="5" borderId="0" xfId="2" applyNumberFormat="1" applyFont="1" applyFill="1" applyBorder="1"/>
    <xf numFmtId="169" fontId="6" fillId="15" borderId="0" xfId="2" applyNumberFormat="1" applyFont="1" applyFill="1" applyBorder="1"/>
    <xf numFmtId="169" fontId="6" fillId="15" borderId="3" xfId="2" applyNumberFormat="1" applyFont="1" applyFill="1" applyBorder="1"/>
    <xf numFmtId="169" fontId="14" fillId="8" borderId="0" xfId="2" applyNumberFormat="1" applyFont="1" applyFill="1" applyBorder="1"/>
    <xf numFmtId="169" fontId="14" fillId="8" borderId="3" xfId="2" applyNumberFormat="1" applyFont="1" applyFill="1" applyBorder="1"/>
    <xf numFmtId="169" fontId="26" fillId="8" borderId="0" xfId="2" applyNumberFormat="1" applyFont="1" applyFill="1" applyBorder="1"/>
    <xf numFmtId="169" fontId="26" fillId="8" borderId="3" xfId="2" applyNumberFormat="1" applyFont="1" applyFill="1" applyBorder="1"/>
    <xf numFmtId="169" fontId="11" fillId="2" borderId="0" xfId="2" applyNumberFormat="1" applyFont="1" applyFill="1" applyBorder="1"/>
    <xf numFmtId="169" fontId="6" fillId="5" borderId="0" xfId="2" applyNumberFormat="1" applyFont="1" applyFill="1" applyBorder="1"/>
    <xf numFmtId="169" fontId="31" fillId="8" borderId="0" xfId="2" applyNumberFormat="1" applyFont="1" applyFill="1" applyBorder="1"/>
    <xf numFmtId="169" fontId="31" fillId="8" borderId="3" xfId="2" applyNumberFormat="1" applyFont="1" applyFill="1" applyBorder="1"/>
    <xf numFmtId="168" fontId="6" fillId="2" borderId="2" xfId="1" applyNumberFormat="1" applyFont="1" applyFill="1" applyBorder="1"/>
    <xf numFmtId="168" fontId="0" fillId="0" borderId="2" xfId="0" applyNumberFormat="1" applyFont="1" applyBorder="1"/>
    <xf numFmtId="168" fontId="29" fillId="2" borderId="0" xfId="0" applyNumberFormat="1" applyFont="1" applyFill="1"/>
    <xf numFmtId="0" fontId="3" fillId="8" borderId="0" xfId="0" applyFont="1" applyFill="1" applyBorder="1" applyAlignment="1"/>
    <xf numFmtId="0" fontId="22" fillId="8" borderId="0" xfId="0" applyFont="1" applyFill="1" applyBorder="1"/>
    <xf numFmtId="0" fontId="24" fillId="8" borderId="0" xfId="0" applyFont="1" applyFill="1" applyBorder="1"/>
    <xf numFmtId="0" fontId="22" fillId="8" borderId="0" xfId="0" applyFont="1" applyFill="1"/>
    <xf numFmtId="0" fontId="0" fillId="0" borderId="0" xfId="0" applyFill="1"/>
    <xf numFmtId="164" fontId="6" fillId="2" borderId="2" xfId="2" applyNumberFormat="1" applyFont="1" applyFill="1" applyBorder="1"/>
    <xf numFmtId="164" fontId="6" fillId="2" borderId="3" xfId="2" applyNumberFormat="1" applyFont="1" applyFill="1" applyBorder="1"/>
    <xf numFmtId="0" fontId="0" fillId="8" borderId="0" xfId="0" applyFill="1" applyBorder="1"/>
    <xf numFmtId="0" fontId="0" fillId="3" borderId="0" xfId="0" applyFill="1" applyBorder="1"/>
    <xf numFmtId="0" fontId="0" fillId="8" borderId="28" xfId="0" applyFill="1" applyBorder="1"/>
    <xf numFmtId="0" fontId="3" fillId="8" borderId="1" xfId="0" applyFont="1" applyFill="1" applyBorder="1"/>
    <xf numFmtId="0" fontId="0" fillId="8" borderId="1" xfId="0" applyFill="1" applyBorder="1"/>
    <xf numFmtId="0" fontId="6" fillId="8" borderId="1" xfId="0" applyFont="1" applyFill="1" applyBorder="1"/>
    <xf numFmtId="0" fontId="6" fillId="8" borderId="27" xfId="0" applyFont="1" applyFill="1" applyBorder="1"/>
    <xf numFmtId="0" fontId="0" fillId="8" borderId="29" xfId="0" applyFill="1" applyBorder="1"/>
    <xf numFmtId="0" fontId="0" fillId="3" borderId="29" xfId="0" applyFill="1" applyBorder="1"/>
    <xf numFmtId="14" fontId="23" fillId="3" borderId="30" xfId="0" applyNumberFormat="1" applyFont="1" applyFill="1" applyBorder="1"/>
    <xf numFmtId="0" fontId="0" fillId="2" borderId="29" xfId="0" applyFill="1" applyBorder="1"/>
    <xf numFmtId="0" fontId="6" fillId="2" borderId="37" xfId="0" applyFont="1" applyFill="1" applyBorder="1"/>
    <xf numFmtId="169" fontId="11" fillId="2" borderId="37" xfId="2" applyNumberFormat="1" applyFont="1" applyFill="1" applyBorder="1"/>
    <xf numFmtId="169" fontId="6" fillId="2" borderId="37" xfId="2" applyNumberFormat="1" applyFont="1" applyFill="1" applyBorder="1"/>
    <xf numFmtId="164" fontId="6" fillId="2" borderId="37" xfId="2" applyNumberFormat="1" applyFont="1" applyFill="1" applyBorder="1"/>
    <xf numFmtId="169" fontId="6" fillId="5" borderId="37" xfId="2" applyNumberFormat="1" applyFont="1" applyFill="1" applyBorder="1"/>
    <xf numFmtId="169" fontId="6" fillId="2" borderId="30" xfId="2" applyNumberFormat="1" applyFont="1" applyFill="1" applyBorder="1"/>
    <xf numFmtId="169" fontId="6" fillId="7" borderId="30" xfId="2" applyNumberFormat="1" applyFont="1" applyFill="1" applyBorder="1"/>
    <xf numFmtId="10" fontId="6" fillId="2" borderId="30" xfId="2" applyNumberFormat="1" applyFont="1" applyFill="1" applyBorder="1"/>
    <xf numFmtId="169" fontId="6" fillId="7" borderId="37" xfId="2" applyNumberFormat="1" applyFont="1" applyFill="1" applyBorder="1"/>
    <xf numFmtId="169" fontId="6" fillId="2" borderId="37" xfId="0" applyNumberFormat="1" applyFont="1" applyFill="1" applyBorder="1"/>
    <xf numFmtId="169" fontId="6" fillId="2" borderId="30" xfId="0" applyNumberFormat="1" applyFont="1" applyFill="1" applyBorder="1"/>
    <xf numFmtId="0" fontId="0" fillId="2" borderId="31" xfId="0" applyFill="1" applyBorder="1"/>
    <xf numFmtId="0" fontId="6" fillId="2" borderId="22" xfId="0" applyFont="1" applyFill="1" applyBorder="1"/>
    <xf numFmtId="169" fontId="6" fillId="2" borderId="38" xfId="0" applyNumberFormat="1" applyFont="1" applyFill="1" applyBorder="1"/>
    <xf numFmtId="169" fontId="6" fillId="2" borderId="32" xfId="0" applyNumberFormat="1" applyFont="1" applyFill="1" applyBorder="1"/>
    <xf numFmtId="0" fontId="0" fillId="2" borderId="39" xfId="0" applyFill="1" applyBorder="1"/>
    <xf numFmtId="0" fontId="6" fillId="11" borderId="5" xfId="0" applyFont="1" applyFill="1" applyBorder="1"/>
    <xf numFmtId="0" fontId="0" fillId="11" borderId="6" xfId="0" applyFill="1" applyBorder="1"/>
    <xf numFmtId="0" fontId="0" fillId="11" borderId="39" xfId="0" applyFill="1" applyBorder="1"/>
    <xf numFmtId="0" fontId="0" fillId="6" borderId="29" xfId="0" applyFill="1" applyBorder="1"/>
    <xf numFmtId="0" fontId="0" fillId="6" borderId="0" xfId="0" applyFill="1"/>
    <xf numFmtId="171" fontId="0" fillId="0" borderId="0" xfId="1" applyNumberFormat="1" applyFont="1" applyFill="1" applyBorder="1"/>
    <xf numFmtId="9" fontId="0" fillId="0" borderId="0" xfId="1" applyFont="1" applyFill="1" applyBorder="1"/>
    <xf numFmtId="171" fontId="0" fillId="0" borderId="30" xfId="1" applyNumberFormat="1" applyFont="1" applyFill="1" applyBorder="1"/>
    <xf numFmtId="172" fontId="0" fillId="0" borderId="0" xfId="2" applyNumberFormat="1" applyFont="1" applyFill="1" applyBorder="1"/>
    <xf numFmtId="0" fontId="0" fillId="6" borderId="28" xfId="0" applyFill="1" applyBorder="1"/>
    <xf numFmtId="0" fontId="0" fillId="6" borderId="31" xfId="0" applyFill="1" applyBorder="1"/>
    <xf numFmtId="170" fontId="0" fillId="0" borderId="0" xfId="1" applyNumberFormat="1" applyFont="1" applyFill="1" applyBorder="1"/>
    <xf numFmtId="173" fontId="0" fillId="0" borderId="0" xfId="1" applyNumberFormat="1" applyFont="1" applyFill="1" applyBorder="1"/>
    <xf numFmtId="0" fontId="0" fillId="0" borderId="0" xfId="0" applyFill="1" applyBorder="1"/>
    <xf numFmtId="171" fontId="0" fillId="0" borderId="0" xfId="0" applyNumberFormat="1" applyFill="1" applyBorder="1"/>
    <xf numFmtId="10" fontId="0" fillId="0" borderId="0" xfId="0" applyNumberFormat="1" applyFill="1" applyBorder="1"/>
    <xf numFmtId="170" fontId="0" fillId="0" borderId="0" xfId="0" applyNumberFormat="1" applyFill="1" applyBorder="1"/>
    <xf numFmtId="0" fontId="0" fillId="6" borderId="1" xfId="0" applyFill="1" applyBorder="1"/>
    <xf numFmtId="0" fontId="0" fillId="6" borderId="27" xfId="0" applyFill="1" applyBorder="1"/>
    <xf numFmtId="0" fontId="0" fillId="6" borderId="22" xfId="0" applyFill="1" applyBorder="1"/>
    <xf numFmtId="0" fontId="34" fillId="17" borderId="19" xfId="0" applyFont="1" applyFill="1" applyBorder="1"/>
    <xf numFmtId="0" fontId="32" fillId="13" borderId="42" xfId="0" applyFont="1" applyFill="1" applyBorder="1"/>
    <xf numFmtId="0" fontId="32" fillId="19" borderId="40" xfId="0" applyFont="1" applyFill="1" applyBorder="1"/>
    <xf numFmtId="0" fontId="32" fillId="19" borderId="43" xfId="0" applyFont="1" applyFill="1" applyBorder="1"/>
    <xf numFmtId="170" fontId="0" fillId="2" borderId="30" xfId="1" applyNumberFormat="1" applyFont="1" applyFill="1" applyBorder="1"/>
    <xf numFmtId="0" fontId="0" fillId="2" borderId="44" xfId="0" applyFill="1" applyBorder="1"/>
    <xf numFmtId="10" fontId="0" fillId="2" borderId="45" xfId="0" applyNumberFormat="1" applyFill="1" applyBorder="1"/>
    <xf numFmtId="0" fontId="2" fillId="2" borderId="29" xfId="0" applyFont="1" applyFill="1" applyBorder="1"/>
    <xf numFmtId="170" fontId="0" fillId="2" borderId="30" xfId="0" applyNumberFormat="1" applyFill="1" applyBorder="1"/>
    <xf numFmtId="171" fontId="0" fillId="2" borderId="30" xfId="1" applyNumberFormat="1" applyFont="1" applyFill="1" applyBorder="1"/>
    <xf numFmtId="0" fontId="0" fillId="2" borderId="30" xfId="0" applyFill="1" applyBorder="1"/>
    <xf numFmtId="171" fontId="0" fillId="2" borderId="30" xfId="0" applyNumberFormat="1" applyFill="1" applyBorder="1"/>
    <xf numFmtId="0" fontId="2" fillId="2" borderId="44" xfId="0" applyFont="1" applyFill="1" applyBorder="1"/>
    <xf numFmtId="172" fontId="0" fillId="2" borderId="45" xfId="2" applyNumberFormat="1" applyFont="1" applyFill="1" applyBorder="1"/>
    <xf numFmtId="170" fontId="2" fillId="2" borderId="29" xfId="0" applyNumberFormat="1" applyFont="1" applyFill="1" applyBorder="1"/>
    <xf numFmtId="0" fontId="0" fillId="2" borderId="45" xfId="0" applyFill="1" applyBorder="1"/>
    <xf numFmtId="171" fontId="0" fillId="2" borderId="45" xfId="0" applyNumberFormat="1" applyFill="1" applyBorder="1"/>
    <xf numFmtId="9" fontId="0" fillId="2" borderId="30" xfId="1" applyFont="1" applyFill="1" applyBorder="1"/>
    <xf numFmtId="0" fontId="32" fillId="18" borderId="28" xfId="0" applyFont="1" applyFill="1" applyBorder="1"/>
    <xf numFmtId="0" fontId="32" fillId="18" borderId="27" xfId="0" applyFont="1" applyFill="1" applyBorder="1"/>
    <xf numFmtId="0" fontId="32" fillId="18" borderId="5" xfId="0" applyFont="1" applyFill="1" applyBorder="1"/>
    <xf numFmtId="0" fontId="32" fillId="14" borderId="5" xfId="0" applyFont="1" applyFill="1" applyBorder="1"/>
    <xf numFmtId="0" fontId="32" fillId="14" borderId="28" xfId="0" applyFont="1" applyFill="1" applyBorder="1"/>
    <xf numFmtId="0" fontId="0" fillId="2" borderId="27" xfId="0" applyFill="1" applyBorder="1"/>
    <xf numFmtId="0" fontId="0" fillId="2" borderId="11" xfId="0" applyFill="1" applyBorder="1"/>
    <xf numFmtId="0" fontId="0" fillId="2" borderId="46" xfId="0" applyFill="1" applyBorder="1"/>
    <xf numFmtId="0" fontId="0" fillId="2" borderId="13" xfId="0" applyFill="1" applyBorder="1"/>
    <xf numFmtId="0" fontId="0" fillId="2" borderId="47" xfId="0" applyFill="1" applyBorder="1"/>
    <xf numFmtId="171" fontId="0" fillId="2" borderId="0" xfId="1" applyNumberFormat="1" applyFont="1" applyFill="1" applyBorder="1"/>
    <xf numFmtId="0" fontId="0" fillId="2" borderId="22" xfId="0" applyFill="1" applyBorder="1"/>
    <xf numFmtId="0" fontId="0" fillId="2" borderId="32" xfId="0" applyFill="1" applyBorder="1"/>
    <xf numFmtId="0" fontId="0" fillId="2" borderId="1" xfId="0" applyFill="1" applyBorder="1"/>
    <xf numFmtId="0" fontId="2" fillId="2" borderId="27" xfId="0" applyFont="1" applyFill="1" applyBorder="1"/>
    <xf numFmtId="0" fontId="2" fillId="2" borderId="39" xfId="0" applyFont="1" applyFill="1" applyBorder="1"/>
    <xf numFmtId="0" fontId="32" fillId="20" borderId="28" xfId="0" applyFont="1" applyFill="1" applyBorder="1"/>
    <xf numFmtId="0" fontId="32" fillId="20" borderId="29" xfId="0" applyFont="1" applyFill="1" applyBorder="1"/>
    <xf numFmtId="0" fontId="32" fillId="20" borderId="0" xfId="0" applyFont="1" applyFill="1" applyBorder="1"/>
    <xf numFmtId="0" fontId="0" fillId="2" borderId="40" xfId="0" applyFill="1" applyBorder="1"/>
    <xf numFmtId="0" fontId="0" fillId="2" borderId="41" xfId="0" applyFill="1" applyBorder="1"/>
    <xf numFmtId="0" fontId="0" fillId="2" borderId="42" xfId="0" applyFill="1" applyBorder="1"/>
    <xf numFmtId="0" fontId="32" fillId="13" borderId="5" xfId="0" applyFont="1" applyFill="1" applyBorder="1"/>
    <xf numFmtId="171" fontId="32" fillId="13" borderId="39" xfId="1" applyNumberFormat="1" applyFont="1" applyFill="1" applyBorder="1"/>
    <xf numFmtId="0" fontId="2" fillId="2" borderId="30" xfId="0" applyFont="1" applyFill="1" applyBorder="1"/>
    <xf numFmtId="0" fontId="2" fillId="2" borderId="26" xfId="0" applyFont="1" applyFill="1" applyBorder="1"/>
    <xf numFmtId="166" fontId="32" fillId="19" borderId="43" xfId="1" applyNumberFormat="1" applyFont="1" applyFill="1" applyBorder="1"/>
    <xf numFmtId="166" fontId="32" fillId="13" borderId="17" xfId="1" applyNumberFormat="1" applyFont="1" applyFill="1" applyBorder="1"/>
    <xf numFmtId="0" fontId="0" fillId="2" borderId="48" xfId="0" applyFill="1" applyBorder="1"/>
    <xf numFmtId="0" fontId="0" fillId="6" borderId="0" xfId="0" applyFill="1" applyBorder="1"/>
    <xf numFmtId="14" fontId="0" fillId="2" borderId="0" xfId="0" applyNumberFormat="1" applyFill="1" applyBorder="1"/>
    <xf numFmtId="14" fontId="23" fillId="3" borderId="0" xfId="0" applyNumberFormat="1" applyFont="1" applyFill="1" applyBorder="1" applyAlignment="1">
      <alignment horizontal="right"/>
    </xf>
    <xf numFmtId="0" fontId="0" fillId="21" borderId="0" xfId="0" applyFont="1" applyFill="1" applyBorder="1"/>
    <xf numFmtId="168" fontId="6" fillId="21" borderId="3" xfId="0" applyNumberFormat="1" applyFont="1" applyFill="1" applyBorder="1"/>
    <xf numFmtId="169" fontId="0" fillId="2" borderId="0" xfId="2" applyNumberFormat="1" applyFont="1" applyFill="1" applyBorder="1"/>
    <xf numFmtId="14" fontId="0" fillId="0" borderId="0" xfId="0" applyNumberFormat="1" applyFill="1" applyBorder="1"/>
    <xf numFmtId="0" fontId="0" fillId="22" borderId="0" xfId="0" applyFill="1"/>
    <xf numFmtId="0" fontId="4" fillId="14" borderId="27" xfId="0" applyFont="1" applyFill="1" applyBorder="1"/>
    <xf numFmtId="0" fontId="0" fillId="14" borderId="29" xfId="0" applyFill="1" applyBorder="1"/>
    <xf numFmtId="14" fontId="23" fillId="3" borderId="30" xfId="0" applyNumberFormat="1" applyFont="1" applyFill="1" applyBorder="1" applyAlignment="1">
      <alignment horizontal="center" vertical="center"/>
    </xf>
    <xf numFmtId="0" fontId="11" fillId="2" borderId="29" xfId="0" applyFont="1" applyFill="1" applyBorder="1"/>
    <xf numFmtId="168" fontId="6" fillId="2" borderId="29" xfId="0" applyNumberFormat="1" applyFont="1" applyFill="1" applyBorder="1"/>
    <xf numFmtId="168" fontId="6" fillId="2" borderId="37" xfId="0" applyNumberFormat="1" applyFont="1" applyFill="1" applyBorder="1"/>
    <xf numFmtId="168" fontId="11" fillId="5" borderId="29" xfId="0" applyNumberFormat="1" applyFont="1" applyFill="1" applyBorder="1"/>
    <xf numFmtId="168" fontId="11" fillId="5" borderId="0" xfId="0" applyNumberFormat="1" applyFont="1" applyFill="1" applyBorder="1"/>
    <xf numFmtId="168" fontId="11" fillId="5" borderId="37" xfId="0" applyNumberFormat="1" applyFont="1" applyFill="1" applyBorder="1"/>
    <xf numFmtId="168" fontId="11" fillId="6" borderId="29" xfId="0" applyNumberFormat="1" applyFont="1" applyFill="1" applyBorder="1"/>
    <xf numFmtId="168" fontId="11" fillId="6" borderId="0" xfId="0" applyNumberFormat="1" applyFont="1" applyFill="1" applyBorder="1"/>
    <xf numFmtId="168" fontId="11" fillId="6" borderId="37" xfId="0" applyNumberFormat="1" applyFont="1" applyFill="1" applyBorder="1"/>
    <xf numFmtId="168" fontId="11" fillId="2" borderId="29" xfId="0" applyNumberFormat="1" applyFont="1" applyFill="1" applyBorder="1"/>
    <xf numFmtId="168" fontId="11" fillId="2" borderId="37" xfId="0" applyNumberFormat="1" applyFont="1" applyFill="1" applyBorder="1"/>
    <xf numFmtId="168" fontId="14" fillId="2" borderId="29" xfId="0" applyNumberFormat="1" applyFont="1" applyFill="1" applyBorder="1"/>
    <xf numFmtId="168" fontId="6" fillId="2" borderId="29" xfId="0" applyNumberFormat="1" applyFont="1" applyFill="1" applyBorder="1" applyAlignment="1">
      <alignment wrapText="1"/>
    </xf>
    <xf numFmtId="168" fontId="6" fillId="2" borderId="30" xfId="0" applyNumberFormat="1" applyFont="1" applyFill="1" applyBorder="1"/>
    <xf numFmtId="168" fontId="11" fillId="5" borderId="30" xfId="0" applyNumberFormat="1" applyFont="1" applyFill="1" applyBorder="1"/>
    <xf numFmtId="168" fontId="11" fillId="7" borderId="29" xfId="0" applyNumberFormat="1" applyFont="1" applyFill="1" applyBorder="1"/>
    <xf numFmtId="168" fontId="11" fillId="7" borderId="0" xfId="0" applyNumberFormat="1" applyFont="1" applyFill="1" applyBorder="1"/>
    <xf numFmtId="168" fontId="11" fillId="7" borderId="30" xfId="0" applyNumberFormat="1" applyFont="1" applyFill="1" applyBorder="1"/>
    <xf numFmtId="168" fontId="6" fillId="5" borderId="29" xfId="0" applyNumberFormat="1" applyFont="1" applyFill="1" applyBorder="1"/>
    <xf numFmtId="168" fontId="6" fillId="5" borderId="0" xfId="0" applyNumberFormat="1" applyFont="1" applyFill="1" applyBorder="1"/>
    <xf numFmtId="168" fontId="14" fillId="6" borderId="29" xfId="0" applyNumberFormat="1" applyFont="1" applyFill="1" applyBorder="1"/>
    <xf numFmtId="168" fontId="14" fillId="6" borderId="0" xfId="0" applyNumberFormat="1" applyFont="1" applyFill="1" applyBorder="1"/>
    <xf numFmtId="168" fontId="7" fillId="6" borderId="37" xfId="0" applyNumberFormat="1" applyFont="1" applyFill="1" applyBorder="1"/>
    <xf numFmtId="168" fontId="14" fillId="2" borderId="37" xfId="0" applyNumberFormat="1" applyFont="1" applyFill="1" applyBorder="1"/>
    <xf numFmtId="168" fontId="11" fillId="7" borderId="31" xfId="0" applyNumberFormat="1" applyFont="1" applyFill="1" applyBorder="1"/>
    <xf numFmtId="168" fontId="11" fillId="7" borderId="22" xfId="0" applyNumberFormat="1" applyFont="1" applyFill="1" applyBorder="1"/>
    <xf numFmtId="168" fontId="11" fillId="7" borderId="38" xfId="0" applyNumberFormat="1" applyFont="1" applyFill="1" applyBorder="1"/>
    <xf numFmtId="168" fontId="11" fillId="7" borderId="49" xfId="0" applyNumberFormat="1" applyFont="1" applyFill="1" applyBorder="1"/>
    <xf numFmtId="0" fontId="3" fillId="14" borderId="28" xfId="0" applyFont="1" applyFill="1" applyBorder="1"/>
    <xf numFmtId="0" fontId="6" fillId="14" borderId="1" xfId="0" applyFont="1" applyFill="1" applyBorder="1"/>
    <xf numFmtId="0" fontId="6" fillId="14" borderId="27" xfId="0" applyFont="1" applyFill="1" applyBorder="1"/>
    <xf numFmtId="0" fontId="6" fillId="14" borderId="29" xfId="0" applyFont="1" applyFill="1" applyBorder="1"/>
    <xf numFmtId="0" fontId="0" fillId="3" borderId="29" xfId="0" applyFont="1" applyFill="1" applyBorder="1"/>
    <xf numFmtId="14" fontId="23" fillId="3" borderId="30" xfId="0" applyNumberFormat="1" applyFont="1" applyFill="1" applyBorder="1" applyAlignment="1">
      <alignment horizontal="right"/>
    </xf>
    <xf numFmtId="0" fontId="0" fillId="2" borderId="29" xfId="0" applyFont="1" applyFill="1" applyBorder="1"/>
    <xf numFmtId="0" fontId="0" fillId="2" borderId="37" xfId="0" applyFont="1" applyFill="1" applyBorder="1"/>
    <xf numFmtId="0" fontId="11" fillId="5" borderId="29" xfId="0" applyFont="1" applyFill="1" applyBorder="1"/>
    <xf numFmtId="0" fontId="0" fillId="0" borderId="29" xfId="0" applyFont="1" applyBorder="1"/>
    <xf numFmtId="0" fontId="6" fillId="0" borderId="29" xfId="0" applyFont="1" applyBorder="1"/>
    <xf numFmtId="168" fontId="6" fillId="0" borderId="37" xfId="0" applyNumberFormat="1" applyFont="1" applyBorder="1"/>
    <xf numFmtId="0" fontId="6" fillId="21" borderId="29" xfId="0" applyFont="1" applyFill="1" applyBorder="1"/>
    <xf numFmtId="168" fontId="6" fillId="21" borderId="37" xfId="0" applyNumberFormat="1" applyFont="1" applyFill="1" applyBorder="1"/>
    <xf numFmtId="168" fontId="6" fillId="5" borderId="37" xfId="0" applyNumberFormat="1" applyFont="1" applyFill="1" applyBorder="1"/>
    <xf numFmtId="0" fontId="11" fillId="7" borderId="31" xfId="0" applyFont="1" applyFill="1" applyBorder="1"/>
    <xf numFmtId="0" fontId="0" fillId="7" borderId="22" xfId="0" applyFont="1" applyFill="1" applyBorder="1"/>
    <xf numFmtId="168" fontId="11" fillId="7" borderId="50" xfId="0" applyNumberFormat="1" applyFont="1" applyFill="1" applyBorder="1"/>
    <xf numFmtId="14" fontId="33" fillId="0" borderId="0" xfId="0" applyNumberFormat="1" applyFont="1" applyFill="1" applyBorder="1"/>
    <xf numFmtId="0" fontId="3" fillId="8" borderId="28" xfId="0" applyFont="1" applyFill="1" applyBorder="1"/>
    <xf numFmtId="0" fontId="11" fillId="7" borderId="29" xfId="0" applyFont="1" applyFill="1" applyBorder="1"/>
    <xf numFmtId="0" fontId="6" fillId="2" borderId="31" xfId="0" applyFont="1" applyFill="1" applyBorder="1"/>
    <xf numFmtId="0" fontId="37" fillId="16" borderId="0" xfId="0" applyFont="1" applyFill="1"/>
    <xf numFmtId="0" fontId="32" fillId="16" borderId="0" xfId="0" applyFont="1" applyFill="1"/>
    <xf numFmtId="0" fontId="21" fillId="8" borderId="0" xfId="0" applyFont="1" applyFill="1" applyBorder="1" applyAlignment="1">
      <alignment horizontal="center"/>
    </xf>
    <xf numFmtId="0" fontId="21" fillId="14" borderId="0" xfId="0" applyFont="1" applyFill="1" applyBorder="1" applyAlignment="1">
      <alignment horizontal="center"/>
    </xf>
    <xf numFmtId="0" fontId="3" fillId="14" borderId="0" xfId="0" applyFont="1" applyFill="1" applyAlignment="1">
      <alignment horizontal="center"/>
    </xf>
    <xf numFmtId="0" fontId="24" fillId="14" borderId="0" xfId="0" applyFont="1" applyFill="1" applyBorder="1" applyAlignment="1">
      <alignment horizontal="center"/>
    </xf>
    <xf numFmtId="0" fontId="24" fillId="8" borderId="0" xfId="0" applyFont="1" applyFill="1" applyBorder="1" applyAlignment="1">
      <alignment horizontal="center"/>
    </xf>
    <xf numFmtId="0" fontId="24" fillId="8" borderId="30" xfId="0" applyFont="1" applyFill="1" applyBorder="1" applyAlignment="1">
      <alignment horizontal="center"/>
    </xf>
    <xf numFmtId="0" fontId="3" fillId="14" borderId="28" xfId="0" applyFont="1" applyFill="1" applyBorder="1" applyAlignment="1">
      <alignment horizontal="center"/>
    </xf>
    <xf numFmtId="0" fontId="3" fillId="14" borderId="1" xfId="0" applyFont="1" applyFill="1" applyBorder="1" applyAlignment="1">
      <alignment horizontal="center"/>
    </xf>
    <xf numFmtId="0" fontId="21" fillId="14" borderId="30" xfId="0" applyFont="1" applyFill="1" applyBorder="1" applyAlignment="1">
      <alignment horizontal="center"/>
    </xf>
    <xf numFmtId="0" fontId="24" fillId="14" borderId="30" xfId="0" applyFont="1" applyFill="1" applyBorder="1" applyAlignment="1">
      <alignment horizontal="center"/>
    </xf>
    <xf numFmtId="10" fontId="0" fillId="0" borderId="0" xfId="1" applyNumberFormat="1" applyFont="1" applyFill="1" applyBorder="1"/>
    <xf numFmtId="0" fontId="36" fillId="0" borderId="0" xfId="0" applyFont="1" applyFill="1" applyBorder="1"/>
    <xf numFmtId="0" fontId="33" fillId="0" borderId="0" xfId="0" applyFont="1" applyFill="1" applyBorder="1"/>
  </cellXfs>
  <cellStyles count="3">
    <cellStyle name="Migliaia" xfId="2" builtinId="3"/>
    <cellStyle name="Normale" xfId="0" builtinId="0"/>
    <cellStyle name="Percentuale" xfId="1" builtinId="5"/>
  </cellStyles>
  <dxfs count="0"/>
  <tableStyles count="0" defaultTableStyle="TableStyleMedium2" defaultPivotStyle="PivotStyleLight16"/>
  <colors>
    <mruColors>
      <color rgb="FF003399"/>
      <color rgb="FF33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114301</xdr:colOff>
      <xdr:row>85</xdr:row>
      <xdr:rowOff>9525</xdr:rowOff>
    </xdr:from>
    <xdr:to>
      <xdr:col>10</xdr:col>
      <xdr:colOff>3038475</xdr:colOff>
      <xdr:row>88</xdr:row>
      <xdr:rowOff>95251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62FCF630-7643-4B49-9A56-1BDA94217A26}"/>
            </a:ext>
          </a:extLst>
        </xdr:cNvPr>
        <xdr:cNvSpPr txBox="1"/>
      </xdr:nvSpPr>
      <xdr:spPr>
        <a:xfrm>
          <a:off x="10820401" y="16573500"/>
          <a:ext cx="2924174" cy="6572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>
              <a:solidFill>
                <a:srgbClr val="002060"/>
              </a:solidFill>
            </a:rPr>
            <a:t>"Curren tax asset" refers to IRES and IRAP receivables for amounts requested for reimbursement on payments of previous years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190500</xdr:colOff>
      <xdr:row>26</xdr:row>
      <xdr:rowOff>137583</xdr:rowOff>
    </xdr:from>
    <xdr:to>
      <xdr:col>9</xdr:col>
      <xdr:colOff>560916</xdr:colOff>
      <xdr:row>30</xdr:row>
      <xdr:rowOff>21166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0B97413A-7668-42A9-8C78-F17CD8476847}"/>
            </a:ext>
          </a:extLst>
        </xdr:cNvPr>
        <xdr:cNvSpPr txBox="1"/>
      </xdr:nvSpPr>
      <xdr:spPr>
        <a:xfrm>
          <a:off x="9249833" y="3799416"/>
          <a:ext cx="2286000" cy="68791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>
              <a:solidFill>
                <a:srgbClr val="002060"/>
              </a:solidFill>
            </a:rPr>
            <a:t>Notiche that item "Deffered tax" was already reported at net value on Balance sheet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381000</xdr:colOff>
      <xdr:row>18</xdr:row>
      <xdr:rowOff>85725</xdr:rowOff>
    </xdr:from>
    <xdr:to>
      <xdr:col>13</xdr:col>
      <xdr:colOff>466725</xdr:colOff>
      <xdr:row>21</xdr:row>
      <xdr:rowOff>123825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E29431BD-483E-431F-A5A3-A3E096AEDDE2}"/>
            </a:ext>
          </a:extLst>
        </xdr:cNvPr>
        <xdr:cNvSpPr txBox="1"/>
      </xdr:nvSpPr>
      <xdr:spPr>
        <a:xfrm>
          <a:off x="8791575" y="3705225"/>
          <a:ext cx="3133725" cy="609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>
              <a:solidFill>
                <a:srgbClr val="002060"/>
              </a:solidFill>
            </a:rPr>
            <a:t>Adding back "Depreciation &amp; Ammortization"</a:t>
          </a:r>
          <a:r>
            <a:rPr lang="it-IT" sz="1100" baseline="0">
              <a:solidFill>
                <a:srgbClr val="002060"/>
              </a:solidFill>
            </a:rPr>
            <a:t> item allow us to not double count it, because we have already considered it in the computation of EBIT</a:t>
          </a:r>
          <a:endParaRPr lang="it-IT" sz="1100">
            <a:solidFill>
              <a:srgbClr val="002060"/>
            </a:solidFill>
          </a:endParaRPr>
        </a:p>
      </xdr:txBody>
    </xdr:sp>
    <xdr:clientData/>
  </xdr:twoCellAnchor>
  <xdr:twoCellAnchor>
    <xdr:from>
      <xdr:col>8</xdr:col>
      <xdr:colOff>129540</xdr:colOff>
      <xdr:row>5</xdr:row>
      <xdr:rowOff>91440</xdr:rowOff>
    </xdr:from>
    <xdr:to>
      <xdr:col>13</xdr:col>
      <xdr:colOff>320040</xdr:colOff>
      <xdr:row>8</xdr:row>
      <xdr:rowOff>15240</xdr:rowOff>
    </xdr:to>
    <xdr:sp macro="" textlink="">
      <xdr:nvSpPr>
        <xdr:cNvPr id="5" name="CasellaDiTesto 4">
          <a:extLst>
            <a:ext uri="{FF2B5EF4-FFF2-40B4-BE49-F238E27FC236}">
              <a16:creationId xmlns:a16="http://schemas.microsoft.com/office/drawing/2014/main" id="{691E8824-2DFD-430D-99D0-D2AFEB3BB9A0}"/>
            </a:ext>
          </a:extLst>
        </xdr:cNvPr>
        <xdr:cNvSpPr txBox="1"/>
      </xdr:nvSpPr>
      <xdr:spPr>
        <a:xfrm>
          <a:off x="8923020" y="1303020"/>
          <a:ext cx="3238500" cy="5638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/>
            <a:t>Taxes</a:t>
          </a:r>
          <a:r>
            <a:rPr lang="it-IT" sz="1100" baseline="0"/>
            <a:t> paid on a potential full equity firm : I subtract the tax shield generated by financial items at the reported tax rate: reported taxes / EBT </a:t>
          </a:r>
          <a:endParaRPr lang="it-IT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f678740a5a93c0b5/Desktop/Corporate-project-/Project/Corporate-project-/Project/Work%20in%20progress/Gianmarco,s%20par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f678740a5a93c0b5/Desktop/Corporate-project-/Project/Corporate-project-/Project/Work%20in%20progress/Simone's%20pa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S"/>
      <sheetName val="REORGANIZED BS"/>
      <sheetName val="trailing 12-months"/>
      <sheetName val="IS"/>
      <sheetName val="CF S "/>
    </sheetNames>
    <sheetDataSet>
      <sheetData sheetId="0"/>
      <sheetData sheetId="1"/>
      <sheetData sheetId="2"/>
      <sheetData sheetId="3"/>
      <sheetData sheetId="4">
        <row r="22">
          <cell r="C22">
            <v>932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S"/>
      <sheetName val="Reorganized IS"/>
      <sheetName val="IS Trailing 12 months "/>
      <sheetName val="Analysis "/>
      <sheetName val="Bottom up Beta"/>
      <sheetName val="FCFE Computation"/>
      <sheetName val="Ratios "/>
      <sheetName val="Forecasts "/>
      <sheetName val="Foglio1"/>
      <sheetName val="Foglio2"/>
    </sheetNames>
    <sheetDataSet>
      <sheetData sheetId="0"/>
      <sheetData sheetId="1"/>
      <sheetData sheetId="2"/>
      <sheetData sheetId="3"/>
      <sheetData sheetId="4"/>
      <sheetData sheetId="5">
        <row r="11">
          <cell r="D11">
            <v>627</v>
          </cell>
        </row>
      </sheetData>
      <sheetData sheetId="6"/>
      <sheetData sheetId="7"/>
      <sheetData sheetId="8" refreshError="1"/>
      <sheetData sheetId="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N581"/>
  <sheetViews>
    <sheetView topLeftCell="B1" zoomScaleNormal="100" workbookViewId="0">
      <pane xSplit="3" ySplit="3" topLeftCell="E10" activePane="bottomRight" state="frozen"/>
      <selection activeCell="B1" sqref="B1"/>
      <selection pane="topRight" activeCell="D1" sqref="D1"/>
      <selection pane="bottomLeft" activeCell="B4" sqref="B4"/>
      <selection pane="bottomRight" activeCell="F93" sqref="F93"/>
    </sheetView>
  </sheetViews>
  <sheetFormatPr defaultRowHeight="14.4" x14ac:dyDescent="0.3"/>
  <cols>
    <col min="1" max="1" width="9.109375" style="1"/>
    <col min="2" max="2" width="2" style="1" customWidth="1"/>
    <col min="3" max="3" width="68.33203125" customWidth="1"/>
    <col min="4" max="4" width="54.6640625" hidden="1" customWidth="1"/>
    <col min="5" max="5" width="8.109375" style="51" bestFit="1" customWidth="1"/>
    <col min="6" max="10" width="14.33203125" style="52" bestFit="1" customWidth="1"/>
    <col min="11" max="11" width="100.109375" style="52" bestFit="1" customWidth="1"/>
    <col min="12" max="12" width="11.6640625" style="52" customWidth="1"/>
    <col min="13" max="13" width="16.109375" style="52" bestFit="1" customWidth="1"/>
    <col min="14" max="14" width="11.6640625" style="52" customWidth="1"/>
    <col min="15" max="15" width="16.109375" style="53" customWidth="1"/>
    <col min="16" max="19" width="0" hidden="1" customWidth="1"/>
    <col min="20" max="20" width="9.109375" hidden="1" customWidth="1"/>
  </cols>
  <sheetData>
    <row r="1" spans="2:144" ht="27" customHeight="1" x14ac:dyDescent="0.65">
      <c r="B1" s="62"/>
      <c r="C1" s="60" t="s">
        <v>0</v>
      </c>
      <c r="D1" s="61"/>
      <c r="E1" s="61"/>
      <c r="F1" s="61"/>
      <c r="G1" s="61"/>
      <c r="H1" s="61"/>
      <c r="I1" s="61"/>
      <c r="J1" s="61"/>
      <c r="K1" s="194"/>
      <c r="L1" s="194"/>
      <c r="M1" s="194"/>
      <c r="N1" s="194"/>
      <c r="O1" s="195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</row>
    <row r="2" spans="2:144" ht="15" customHeight="1" x14ac:dyDescent="0.6">
      <c r="B2" s="62"/>
      <c r="C2" s="63"/>
      <c r="D2" s="64"/>
      <c r="E2" s="443" t="s">
        <v>158</v>
      </c>
      <c r="F2" s="443"/>
      <c r="G2" s="443"/>
      <c r="H2" s="443"/>
      <c r="I2" s="443"/>
      <c r="J2" s="443"/>
      <c r="K2" s="196"/>
      <c r="L2" s="196"/>
      <c r="M2" s="196"/>
      <c r="N2" s="196"/>
      <c r="O2" s="196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</row>
    <row r="3" spans="2:144" ht="18" customHeight="1" x14ac:dyDescent="0.3">
      <c r="B3" s="66"/>
      <c r="C3" s="144"/>
      <c r="D3" s="65"/>
      <c r="E3" s="144" t="s">
        <v>1</v>
      </c>
      <c r="F3" s="147">
        <v>42369</v>
      </c>
      <c r="G3" s="147">
        <v>42735</v>
      </c>
      <c r="H3" s="147">
        <v>43100</v>
      </c>
      <c r="I3" s="147">
        <v>43465</v>
      </c>
      <c r="J3" s="147">
        <v>43830</v>
      </c>
      <c r="K3" s="55"/>
      <c r="L3" s="55"/>
      <c r="M3" s="55"/>
      <c r="N3" s="55"/>
      <c r="O3" s="55"/>
      <c r="P3" s="197" t="s">
        <v>364</v>
      </c>
      <c r="Q3" s="198" t="s">
        <v>365</v>
      </c>
      <c r="R3" s="198" t="s">
        <v>366</v>
      </c>
      <c r="S3" s="198" t="s">
        <v>367</v>
      </c>
      <c r="T3" s="197">
        <v>43921</v>
      </c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</row>
    <row r="4" spans="2:144" ht="24.6" x14ac:dyDescent="0.55000000000000004">
      <c r="C4" s="141" t="s">
        <v>2</v>
      </c>
      <c r="D4" s="5"/>
      <c r="E4" s="7"/>
      <c r="F4" s="232"/>
      <c r="G4" s="233"/>
      <c r="H4" s="233"/>
      <c r="I4" s="233"/>
      <c r="J4" s="233"/>
      <c r="K4" s="50"/>
      <c r="L4" s="55"/>
      <c r="M4" s="55"/>
      <c r="N4" s="55"/>
      <c r="O4" s="55"/>
      <c r="P4" s="28"/>
      <c r="Q4" s="29"/>
      <c r="R4" s="29"/>
      <c r="S4" s="29"/>
      <c r="T4" s="30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</row>
    <row r="5" spans="2:144" ht="19.2" x14ac:dyDescent="0.4">
      <c r="C5" s="6" t="s">
        <v>3</v>
      </c>
      <c r="D5" s="5" t="s">
        <v>4</v>
      </c>
      <c r="E5" s="5"/>
      <c r="F5" s="232"/>
      <c r="G5" s="233"/>
      <c r="H5" s="233"/>
      <c r="I5" s="233"/>
      <c r="J5" s="233"/>
      <c r="K5" s="50"/>
      <c r="L5" s="55"/>
      <c r="M5" s="55"/>
      <c r="N5" s="55"/>
      <c r="O5" s="55"/>
      <c r="P5" s="29"/>
      <c r="Q5" s="29"/>
      <c r="R5" s="29"/>
      <c r="S5" s="29"/>
      <c r="T5" s="30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</row>
    <row r="6" spans="2:144" ht="16.8" x14ac:dyDescent="0.4">
      <c r="C6" s="8" t="s">
        <v>5</v>
      </c>
      <c r="D6" s="5" t="s">
        <v>6</v>
      </c>
      <c r="E6" s="5"/>
      <c r="F6" s="232"/>
      <c r="G6" s="233"/>
      <c r="H6" s="233"/>
      <c r="I6" s="233"/>
      <c r="J6" s="233"/>
      <c r="K6" s="50"/>
      <c r="L6" s="55"/>
      <c r="M6" s="55"/>
      <c r="N6" s="55"/>
      <c r="O6" s="55"/>
      <c r="P6" s="29"/>
      <c r="Q6" s="29"/>
      <c r="R6" s="29"/>
      <c r="S6" s="29"/>
      <c r="T6" s="30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</row>
    <row r="7" spans="2:144" ht="16.8" x14ac:dyDescent="0.4">
      <c r="C7" s="5" t="s">
        <v>7</v>
      </c>
      <c r="D7" s="5"/>
      <c r="E7" s="5"/>
      <c r="F7" s="232">
        <v>266</v>
      </c>
      <c r="G7" s="233">
        <v>235</v>
      </c>
      <c r="H7" s="233">
        <v>113</v>
      </c>
      <c r="I7" s="233">
        <v>116</v>
      </c>
      <c r="J7" s="233">
        <v>112</v>
      </c>
      <c r="K7" s="50"/>
      <c r="L7" s="55"/>
      <c r="M7" s="55"/>
      <c r="N7" s="55"/>
      <c r="O7" s="55"/>
      <c r="P7" s="32">
        <f t="shared" ref="P7:P16" si="0">SUM(H7,-G7)/G7</f>
        <v>-0.51914893617021274</v>
      </c>
      <c r="Q7" s="32">
        <f t="shared" ref="Q7:Q16" si="1">SUM(I7,-H7)/H7</f>
        <v>2.6548672566371681E-2</v>
      </c>
      <c r="R7" s="32">
        <f t="shared" ref="R7:R16" si="2">SUM(J7,-I7)/I7</f>
        <v>-3.4482758620689655E-2</v>
      </c>
      <c r="S7" s="32"/>
      <c r="T7" s="30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</row>
    <row r="8" spans="2:144" ht="16.8" x14ac:dyDescent="0.4">
      <c r="C8" s="5" t="s">
        <v>8</v>
      </c>
      <c r="D8" s="5"/>
      <c r="E8" s="5"/>
      <c r="F8" s="232">
        <v>913</v>
      </c>
      <c r="G8" s="233">
        <v>821</v>
      </c>
      <c r="H8" s="233">
        <v>606</v>
      </c>
      <c r="I8" s="233">
        <v>590</v>
      </c>
      <c r="J8" s="233">
        <v>594</v>
      </c>
      <c r="K8" s="50"/>
      <c r="L8" s="55"/>
      <c r="M8" s="55"/>
      <c r="N8" s="55"/>
      <c r="O8" s="55"/>
      <c r="P8" s="32">
        <f t="shared" si="0"/>
        <v>-0.26187576126674789</v>
      </c>
      <c r="Q8" s="32">
        <f t="shared" si="1"/>
        <v>-2.6402640264026403E-2</v>
      </c>
      <c r="R8" s="32">
        <f t="shared" si="2"/>
        <v>6.7796610169491523E-3</v>
      </c>
      <c r="S8" s="32"/>
      <c r="T8" s="30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</row>
    <row r="9" spans="2:144" ht="16.8" x14ac:dyDescent="0.4">
      <c r="C9" s="5" t="s">
        <v>9</v>
      </c>
      <c r="D9" s="5"/>
      <c r="E9" s="5"/>
      <c r="F9" s="232">
        <v>3608</v>
      </c>
      <c r="G9" s="233">
        <v>3703</v>
      </c>
      <c r="H9" s="233">
        <v>3459</v>
      </c>
      <c r="I9" s="233">
        <v>3460</v>
      </c>
      <c r="J9" s="233">
        <v>3591</v>
      </c>
      <c r="K9" s="50"/>
      <c r="L9" s="55"/>
      <c r="M9" s="55"/>
      <c r="N9" s="55"/>
      <c r="O9" s="55"/>
      <c r="P9" s="32">
        <f t="shared" si="0"/>
        <v>-6.5892519578719957E-2</v>
      </c>
      <c r="Q9" s="32">
        <f t="shared" si="1"/>
        <v>2.8910089621277829E-4</v>
      </c>
      <c r="R9" s="32">
        <f t="shared" si="2"/>
        <v>3.786127167630058E-2</v>
      </c>
      <c r="S9" s="32"/>
      <c r="T9" s="30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</row>
    <row r="10" spans="2:144" ht="16.8" x14ac:dyDescent="0.4">
      <c r="C10" s="5" t="s">
        <v>10</v>
      </c>
      <c r="D10" s="5"/>
      <c r="E10" s="5"/>
      <c r="F10" s="232">
        <v>24</v>
      </c>
      <c r="G10" s="233">
        <v>33</v>
      </c>
      <c r="H10" s="233">
        <v>36</v>
      </c>
      <c r="I10" s="233">
        <v>38</v>
      </c>
      <c r="J10" s="233">
        <v>45</v>
      </c>
      <c r="K10" s="50"/>
      <c r="L10" s="55"/>
      <c r="M10" s="55"/>
      <c r="N10" s="55"/>
      <c r="O10" s="55"/>
      <c r="P10" s="32">
        <f t="shared" si="0"/>
        <v>9.0909090909090912E-2</v>
      </c>
      <c r="Q10" s="32">
        <f t="shared" si="1"/>
        <v>5.5555555555555552E-2</v>
      </c>
      <c r="R10" s="32">
        <f t="shared" si="2"/>
        <v>0.18421052631578946</v>
      </c>
      <c r="S10" s="32"/>
      <c r="T10" s="30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</row>
    <row r="11" spans="2:144" ht="16.8" x14ac:dyDescent="0.4">
      <c r="C11" s="5" t="s">
        <v>11</v>
      </c>
      <c r="D11" s="5"/>
      <c r="E11" s="5"/>
      <c r="F11" s="232">
        <v>56</v>
      </c>
      <c r="G11" s="233">
        <v>72</v>
      </c>
      <c r="H11" s="233">
        <v>98</v>
      </c>
      <c r="I11" s="233">
        <v>120</v>
      </c>
      <c r="J11" s="233">
        <v>127</v>
      </c>
      <c r="K11" s="50"/>
      <c r="L11" s="55"/>
      <c r="M11" s="55"/>
      <c r="N11" s="55"/>
      <c r="O11" s="55"/>
      <c r="P11" s="32">
        <f t="shared" si="0"/>
        <v>0.3611111111111111</v>
      </c>
      <c r="Q11" s="32">
        <f t="shared" si="1"/>
        <v>0.22448979591836735</v>
      </c>
      <c r="R11" s="32">
        <f t="shared" si="2"/>
        <v>5.8333333333333334E-2</v>
      </c>
      <c r="S11" s="32"/>
      <c r="T11" s="30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</row>
    <row r="12" spans="2:144" ht="16.8" x14ac:dyDescent="0.4">
      <c r="C12" s="5" t="s">
        <v>12</v>
      </c>
      <c r="D12" s="5"/>
      <c r="E12" s="5"/>
      <c r="F12" s="232">
        <v>23</v>
      </c>
      <c r="G12" s="233">
        <v>73</v>
      </c>
      <c r="H12" s="233">
        <v>66</v>
      </c>
      <c r="I12" s="233">
        <v>66</v>
      </c>
      <c r="J12" s="233">
        <v>28</v>
      </c>
      <c r="K12" s="50"/>
      <c r="L12" s="55"/>
      <c r="M12" s="55"/>
      <c r="N12" s="55"/>
      <c r="O12" s="55"/>
      <c r="P12" s="32">
        <f t="shared" si="0"/>
        <v>-9.5890410958904104E-2</v>
      </c>
      <c r="Q12" s="32">
        <f t="shared" si="1"/>
        <v>0</v>
      </c>
      <c r="R12" s="32">
        <f t="shared" si="2"/>
        <v>-0.5757575757575758</v>
      </c>
      <c r="S12" s="32"/>
      <c r="T12" s="30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</row>
    <row r="13" spans="2:144" ht="16.8" x14ac:dyDescent="0.4">
      <c r="C13" s="5" t="s">
        <v>13</v>
      </c>
      <c r="D13" s="5"/>
      <c r="E13" s="5"/>
      <c r="F13" s="232">
        <v>103</v>
      </c>
      <c r="G13" s="233">
        <v>101</v>
      </c>
      <c r="H13" s="233">
        <v>95</v>
      </c>
      <c r="I13" s="233">
        <v>85</v>
      </c>
      <c r="J13" s="233">
        <v>131</v>
      </c>
      <c r="K13" s="50"/>
      <c r="L13" s="126"/>
      <c r="M13" s="55"/>
      <c r="N13" s="55"/>
      <c r="O13" s="55"/>
      <c r="P13" s="32">
        <f t="shared" si="0"/>
        <v>-5.9405940594059403E-2</v>
      </c>
      <c r="Q13" s="32">
        <f t="shared" si="1"/>
        <v>-0.10526315789473684</v>
      </c>
      <c r="R13" s="32">
        <f t="shared" si="2"/>
        <v>0.54117647058823526</v>
      </c>
      <c r="S13" s="32"/>
      <c r="T13" s="30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</row>
    <row r="14" spans="2:144" ht="16.8" x14ac:dyDescent="0.4">
      <c r="C14" s="5" t="s">
        <v>14</v>
      </c>
      <c r="D14" s="5"/>
      <c r="E14" s="5"/>
      <c r="F14" s="232">
        <v>72</v>
      </c>
      <c r="G14" s="233">
        <v>82</v>
      </c>
      <c r="H14" s="233">
        <v>83</v>
      </c>
      <c r="I14" s="233">
        <v>91</v>
      </c>
      <c r="J14" s="233">
        <v>101</v>
      </c>
      <c r="K14" s="50"/>
      <c r="L14" s="55"/>
      <c r="M14" s="55"/>
      <c r="N14" s="55"/>
      <c r="O14" s="55"/>
      <c r="P14" s="32">
        <f t="shared" si="0"/>
        <v>1.2195121951219513E-2</v>
      </c>
      <c r="Q14" s="32">
        <f t="shared" si="1"/>
        <v>9.6385542168674704E-2</v>
      </c>
      <c r="R14" s="32">
        <f t="shared" si="2"/>
        <v>0.10989010989010989</v>
      </c>
      <c r="S14" s="32"/>
      <c r="T14" s="30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</row>
    <row r="15" spans="2:144" ht="16.8" x14ac:dyDescent="0.4">
      <c r="C15" s="5" t="s">
        <v>15</v>
      </c>
      <c r="D15" s="5"/>
      <c r="E15" s="5"/>
      <c r="F15" s="232">
        <v>2</v>
      </c>
      <c r="G15" s="233">
        <v>9</v>
      </c>
      <c r="H15" s="233">
        <v>50</v>
      </c>
      <c r="I15" s="233">
        <v>54</v>
      </c>
      <c r="J15" s="233">
        <v>140</v>
      </c>
      <c r="K15" s="50"/>
      <c r="L15" s="55"/>
      <c r="M15" s="55"/>
      <c r="N15" s="55"/>
      <c r="O15" s="55"/>
      <c r="P15" s="32">
        <f t="shared" si="0"/>
        <v>4.5555555555555554</v>
      </c>
      <c r="Q15" s="32">
        <f t="shared" si="1"/>
        <v>0.08</v>
      </c>
      <c r="R15" s="32">
        <f t="shared" si="2"/>
        <v>1.5925925925925926</v>
      </c>
      <c r="S15" s="32"/>
      <c r="T15" s="33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</row>
    <row r="16" spans="2:144" ht="16.8" x14ac:dyDescent="0.4">
      <c r="C16" s="10" t="s">
        <v>16</v>
      </c>
      <c r="D16" s="11"/>
      <c r="E16" s="12"/>
      <c r="F16" s="234">
        <f t="shared" ref="F16:G16" si="3">SUM(F7:F15)</f>
        <v>5067</v>
      </c>
      <c r="G16" s="234">
        <f t="shared" si="3"/>
        <v>5129</v>
      </c>
      <c r="H16" s="235">
        <f>SUM(H7:H15)</f>
        <v>4606</v>
      </c>
      <c r="I16" s="235">
        <f>SUM(I7:I15)</f>
        <v>4620</v>
      </c>
      <c r="J16" s="235">
        <f>SUM(J7:J15)</f>
        <v>4869</v>
      </c>
      <c r="K16" s="50"/>
      <c r="L16" s="55"/>
      <c r="M16" s="55"/>
      <c r="N16" s="55"/>
      <c r="O16" s="55"/>
      <c r="P16" s="34">
        <f t="shared" si="0"/>
        <v>-0.10196919477480991</v>
      </c>
      <c r="Q16" s="34">
        <f t="shared" si="1"/>
        <v>3.0395136778115501E-3</v>
      </c>
      <c r="R16" s="34">
        <f t="shared" si="2"/>
        <v>5.3896103896103893E-2</v>
      </c>
      <c r="S16" s="34">
        <f>SUM(T16,-J16)/J16</f>
        <v>9.8582871226124465E-3</v>
      </c>
      <c r="T16" s="35">
        <v>4917</v>
      </c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</row>
    <row r="17" spans="3:144" ht="16.8" x14ac:dyDescent="0.4">
      <c r="C17" s="14" t="s">
        <v>17</v>
      </c>
      <c r="D17" s="14"/>
      <c r="E17" s="14"/>
      <c r="F17" s="236"/>
      <c r="G17" s="237"/>
      <c r="H17" s="237"/>
      <c r="I17" s="237"/>
      <c r="J17" s="237"/>
      <c r="K17" s="50"/>
      <c r="L17" s="55"/>
      <c r="M17" s="55"/>
      <c r="N17" s="55"/>
      <c r="O17" s="55"/>
      <c r="P17" s="36"/>
      <c r="Q17" s="36"/>
      <c r="R17" s="36"/>
      <c r="S17" s="36"/>
      <c r="T17" s="37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</row>
    <row r="18" spans="3:144" ht="16.8" x14ac:dyDescent="0.4">
      <c r="C18" s="14" t="s">
        <v>18</v>
      </c>
      <c r="D18" s="14"/>
      <c r="E18" s="14"/>
      <c r="F18" s="236">
        <v>9838</v>
      </c>
      <c r="G18" s="237">
        <v>10421</v>
      </c>
      <c r="H18" s="237">
        <v>10070</v>
      </c>
      <c r="I18" s="237">
        <v>10520</v>
      </c>
      <c r="J18" s="237">
        <v>11065</v>
      </c>
      <c r="K18" s="50"/>
      <c r="L18" s="55"/>
      <c r="M18" s="55"/>
      <c r="N18" s="55"/>
      <c r="O18" s="55"/>
      <c r="P18" s="36">
        <f t="shared" ref="P18:R20" si="4">SUM(H18,-G18)/G18</f>
        <v>-3.3681988292870169E-2</v>
      </c>
      <c r="Q18" s="36">
        <f t="shared" si="4"/>
        <v>4.4687189672293945E-2</v>
      </c>
      <c r="R18" s="36">
        <f t="shared" si="4"/>
        <v>5.1806083650190113E-2</v>
      </c>
      <c r="S18" s="36">
        <f>SUM(T18,-J18)/J18</f>
        <v>-1</v>
      </c>
      <c r="T18" s="37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</row>
    <row r="19" spans="3:144" ht="16.8" x14ac:dyDescent="0.4">
      <c r="C19" s="14" t="s">
        <v>19</v>
      </c>
      <c r="D19" s="14"/>
      <c r="E19" s="14"/>
      <c r="F19" s="236">
        <v>-4253</v>
      </c>
      <c r="G19" s="237">
        <v>-4553</v>
      </c>
      <c r="H19" s="237">
        <v>-4725</v>
      </c>
      <c r="I19" s="237">
        <v>-5045</v>
      </c>
      <c r="J19" s="237">
        <v>-5376</v>
      </c>
      <c r="K19" s="50"/>
      <c r="L19" s="55"/>
      <c r="M19" s="55"/>
      <c r="N19" s="55"/>
      <c r="O19" s="55"/>
      <c r="P19" s="36">
        <f t="shared" si="4"/>
        <v>3.7777289699099492E-2</v>
      </c>
      <c r="Q19" s="36">
        <f t="shared" si="4"/>
        <v>6.7724867724867729E-2</v>
      </c>
      <c r="R19" s="36">
        <f t="shared" si="4"/>
        <v>6.5609514370664021E-2</v>
      </c>
      <c r="S19" s="36">
        <f>SUM(T19,-J19)/J19</f>
        <v>-1</v>
      </c>
      <c r="T19" s="37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</row>
    <row r="20" spans="3:144" ht="16.8" x14ac:dyDescent="0.4">
      <c r="C20" s="14" t="s">
        <v>20</v>
      </c>
      <c r="D20" s="14"/>
      <c r="E20" s="14"/>
      <c r="F20" s="236">
        <v>-518</v>
      </c>
      <c r="G20" s="237">
        <v>-739</v>
      </c>
      <c r="H20" s="237">
        <v>-739</v>
      </c>
      <c r="I20" s="237">
        <v>-855</v>
      </c>
      <c r="J20" s="237">
        <v>-820</v>
      </c>
      <c r="K20" s="50"/>
      <c r="L20" s="55"/>
      <c r="M20" s="55"/>
      <c r="N20" s="55"/>
      <c r="O20" s="55"/>
      <c r="P20" s="36">
        <f t="shared" si="4"/>
        <v>0</v>
      </c>
      <c r="Q20" s="36">
        <f t="shared" si="4"/>
        <v>0.15696887686062247</v>
      </c>
      <c r="R20" s="36">
        <f t="shared" si="4"/>
        <v>-4.0935672514619881E-2</v>
      </c>
      <c r="S20" s="36">
        <f>SUM(T20,-J20)/J20</f>
        <v>-1</v>
      </c>
      <c r="T20" s="37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</row>
    <row r="21" spans="3:144" ht="16.8" x14ac:dyDescent="0.4">
      <c r="C21" s="8" t="s">
        <v>21</v>
      </c>
      <c r="D21" s="5" t="s">
        <v>22</v>
      </c>
      <c r="E21" s="5"/>
      <c r="F21" s="232"/>
      <c r="G21" s="233"/>
      <c r="H21" s="233"/>
      <c r="I21" s="233"/>
      <c r="J21" s="233"/>
      <c r="K21" s="50"/>
      <c r="L21" s="55"/>
      <c r="M21" s="55"/>
      <c r="N21" s="55"/>
      <c r="O21" s="55"/>
      <c r="P21" s="32"/>
      <c r="Q21" s="32"/>
      <c r="R21" s="32"/>
      <c r="S21" s="32"/>
      <c r="T21" s="30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</row>
    <row r="22" spans="3:144" ht="16.8" x14ac:dyDescent="0.4">
      <c r="C22" s="5" t="s">
        <v>23</v>
      </c>
      <c r="D22" s="5"/>
      <c r="E22" s="5"/>
      <c r="F22" s="232">
        <v>26</v>
      </c>
      <c r="G22" s="233">
        <v>21</v>
      </c>
      <c r="H22" s="233">
        <v>19</v>
      </c>
      <c r="I22" s="233">
        <v>24</v>
      </c>
      <c r="J22" s="233">
        <v>31</v>
      </c>
      <c r="K22" s="50"/>
      <c r="L22" s="55"/>
      <c r="M22" s="55"/>
      <c r="N22" s="55"/>
      <c r="O22" s="55"/>
      <c r="P22" s="32">
        <f t="shared" ref="P22:R27" si="5">SUM(H22,-G22)/G22</f>
        <v>-9.5238095238095233E-2</v>
      </c>
      <c r="Q22" s="32">
        <f t="shared" si="5"/>
        <v>0.26315789473684209</v>
      </c>
      <c r="R22" s="32">
        <f t="shared" si="5"/>
        <v>0.29166666666666669</v>
      </c>
      <c r="S22" s="32"/>
      <c r="T22" s="30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</row>
    <row r="23" spans="3:144" ht="16.8" x14ac:dyDescent="0.4">
      <c r="C23" s="5" t="s">
        <v>24</v>
      </c>
      <c r="D23" s="5"/>
      <c r="E23" s="5"/>
      <c r="F23" s="232">
        <v>799</v>
      </c>
      <c r="G23" s="233">
        <v>1046</v>
      </c>
      <c r="H23" s="233">
        <v>1130</v>
      </c>
      <c r="I23" s="233">
        <v>1502</v>
      </c>
      <c r="J23" s="233">
        <v>1616</v>
      </c>
      <c r="K23" s="50"/>
      <c r="L23" s="55"/>
      <c r="M23" s="55"/>
      <c r="N23" s="55"/>
      <c r="O23" s="55"/>
      <c r="P23" s="32">
        <f t="shared" si="5"/>
        <v>8.0305927342256209E-2</v>
      </c>
      <c r="Q23" s="32">
        <f t="shared" si="5"/>
        <v>0.32920353982300887</v>
      </c>
      <c r="R23" s="32">
        <f t="shared" si="5"/>
        <v>7.5898801597869506E-2</v>
      </c>
      <c r="S23" s="32"/>
      <c r="T23" s="30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</row>
    <row r="24" spans="3:144" ht="16.8" x14ac:dyDescent="0.4">
      <c r="C24" s="5" t="s">
        <v>25</v>
      </c>
      <c r="D24" s="5"/>
      <c r="E24" s="5"/>
      <c r="F24" s="232">
        <v>20</v>
      </c>
      <c r="G24" s="233">
        <v>500</v>
      </c>
      <c r="H24" s="233">
        <v>457</v>
      </c>
      <c r="I24" s="233">
        <v>444</v>
      </c>
      <c r="J24" s="233">
        <v>374</v>
      </c>
      <c r="K24" s="50"/>
      <c r="L24" s="55"/>
      <c r="M24" s="55"/>
      <c r="N24" s="55"/>
      <c r="O24" s="55"/>
      <c r="P24" s="32">
        <f t="shared" si="5"/>
        <v>-8.5999999999999993E-2</v>
      </c>
      <c r="Q24" s="32">
        <f t="shared" si="5"/>
        <v>-2.8446389496717725E-2</v>
      </c>
      <c r="R24" s="32">
        <f t="shared" si="5"/>
        <v>-0.15765765765765766</v>
      </c>
      <c r="S24" s="32"/>
      <c r="T24" s="30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</row>
    <row r="25" spans="3:144" ht="16.8" x14ac:dyDescent="0.4">
      <c r="C25" s="5" t="s">
        <v>26</v>
      </c>
      <c r="D25" s="5"/>
      <c r="E25" s="5"/>
      <c r="F25" s="232">
        <v>21</v>
      </c>
      <c r="G25" s="233">
        <v>26</v>
      </c>
      <c r="H25" s="233">
        <v>40</v>
      </c>
      <c r="I25" s="233">
        <v>44</v>
      </c>
      <c r="J25" s="233">
        <v>62</v>
      </c>
      <c r="K25" s="50"/>
      <c r="L25" s="55"/>
      <c r="M25" s="55"/>
      <c r="N25" s="55"/>
      <c r="O25" s="55"/>
      <c r="P25" s="32">
        <f t="shared" si="5"/>
        <v>0.53846153846153844</v>
      </c>
      <c r="Q25" s="32">
        <f t="shared" si="5"/>
        <v>0.1</v>
      </c>
      <c r="R25" s="32">
        <f t="shared" si="5"/>
        <v>0.40909090909090912</v>
      </c>
      <c r="S25" s="32"/>
      <c r="T25" s="30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</row>
    <row r="26" spans="3:144" ht="16.8" x14ac:dyDescent="0.4">
      <c r="C26" s="5" t="s">
        <v>27</v>
      </c>
      <c r="D26" s="5"/>
      <c r="E26" s="5"/>
      <c r="F26" s="232">
        <v>482</v>
      </c>
      <c r="G26" s="233">
        <v>111</v>
      </c>
      <c r="H26" s="233">
        <v>217</v>
      </c>
      <c r="I26" s="233">
        <v>288</v>
      </c>
      <c r="J26" s="233">
        <v>296</v>
      </c>
      <c r="K26" s="50"/>
      <c r="L26" s="55"/>
      <c r="M26" s="55"/>
      <c r="N26" s="55"/>
      <c r="O26" s="55"/>
      <c r="P26" s="32">
        <f t="shared" si="5"/>
        <v>0.95495495495495497</v>
      </c>
      <c r="Q26" s="32">
        <f t="shared" si="5"/>
        <v>0.32718894009216593</v>
      </c>
      <c r="R26" s="32">
        <f t="shared" si="5"/>
        <v>2.7777777777777776E-2</v>
      </c>
      <c r="S26" s="32"/>
      <c r="T26" s="30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</row>
    <row r="27" spans="3:144" ht="16.8" x14ac:dyDescent="0.4">
      <c r="C27" s="10" t="s">
        <v>16</v>
      </c>
      <c r="D27" s="12"/>
      <c r="E27" s="12"/>
      <c r="F27" s="234">
        <f t="shared" ref="F27:G27" si="6">SUM(F22:F26)</f>
        <v>1348</v>
      </c>
      <c r="G27" s="235">
        <f t="shared" si="6"/>
        <v>1704</v>
      </c>
      <c r="H27" s="235">
        <f>SUM(H22:H26)</f>
        <v>1863</v>
      </c>
      <c r="I27" s="235">
        <f>SUM(I22:I26)</f>
        <v>2302</v>
      </c>
      <c r="J27" s="235">
        <f>SUM(J22:J26)</f>
        <v>2379</v>
      </c>
      <c r="K27" s="50"/>
      <c r="L27" s="55"/>
      <c r="M27" s="55"/>
      <c r="N27" s="55"/>
      <c r="O27" s="55"/>
      <c r="P27" s="34">
        <f t="shared" si="5"/>
        <v>9.3309859154929578E-2</v>
      </c>
      <c r="Q27" s="34">
        <f t="shared" si="5"/>
        <v>0.23564143853998926</v>
      </c>
      <c r="R27" s="34">
        <f t="shared" si="5"/>
        <v>3.3449174630755862E-2</v>
      </c>
      <c r="S27" s="34">
        <f>SUM(T27,-J27)/J27</f>
        <v>2.1017234131988232E-2</v>
      </c>
      <c r="T27" s="35">
        <v>2429</v>
      </c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</row>
    <row r="28" spans="3:144" ht="16.8" x14ac:dyDescent="0.4">
      <c r="C28" s="8" t="s">
        <v>28</v>
      </c>
      <c r="D28" s="5"/>
      <c r="E28" s="5"/>
      <c r="F28" s="232"/>
      <c r="G28" s="233"/>
      <c r="H28" s="233"/>
      <c r="I28" s="233"/>
      <c r="J28" s="233"/>
      <c r="K28" s="50"/>
      <c r="L28" s="55"/>
      <c r="M28" s="55"/>
      <c r="N28" s="55"/>
      <c r="O28" s="55"/>
      <c r="P28" s="32"/>
      <c r="Q28" s="32"/>
      <c r="R28" s="32"/>
      <c r="S28" s="32"/>
      <c r="T28" s="30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</row>
    <row r="29" spans="3:144" ht="16.8" x14ac:dyDescent="0.4">
      <c r="C29" s="5" t="s">
        <v>29</v>
      </c>
      <c r="D29" s="5" t="s">
        <v>30</v>
      </c>
      <c r="E29" s="5"/>
      <c r="F29" s="232">
        <v>68</v>
      </c>
      <c r="G29" s="233">
        <v>67</v>
      </c>
      <c r="H29" s="233">
        <v>63</v>
      </c>
      <c r="I29" s="233">
        <v>16</v>
      </c>
      <c r="J29" s="233">
        <v>38</v>
      </c>
      <c r="K29" s="50"/>
      <c r="L29" s="55"/>
      <c r="M29" s="55"/>
      <c r="N29" s="55"/>
      <c r="O29" s="55"/>
      <c r="P29" s="32">
        <f t="shared" ref="P29:R31" si="7">SUM(H29,-G29)/G29</f>
        <v>-5.9701492537313432E-2</v>
      </c>
      <c r="Q29" s="32">
        <f t="shared" si="7"/>
        <v>-0.74603174603174605</v>
      </c>
      <c r="R29" s="32">
        <f t="shared" si="7"/>
        <v>1.375</v>
      </c>
      <c r="S29" s="32">
        <f>SUM(T29,-J29)/J29</f>
        <v>-0.36842105263157893</v>
      </c>
      <c r="T29" s="30">
        <v>24</v>
      </c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</row>
    <row r="30" spans="3:144" x14ac:dyDescent="0.3">
      <c r="C30" s="5" t="s">
        <v>31</v>
      </c>
      <c r="D30" s="5" t="s">
        <v>32</v>
      </c>
      <c r="E30" s="5"/>
      <c r="F30" s="232">
        <v>69</v>
      </c>
      <c r="G30" s="233">
        <v>69</v>
      </c>
      <c r="H30" s="233">
        <v>44</v>
      </c>
      <c r="I30" s="233">
        <v>29</v>
      </c>
      <c r="J30" s="233">
        <v>27</v>
      </c>
      <c r="K30" s="50"/>
      <c r="L30" s="55"/>
      <c r="M30" s="55"/>
      <c r="N30" s="55"/>
      <c r="O30" s="55"/>
      <c r="P30" s="32">
        <f t="shared" si="7"/>
        <v>-0.36231884057971014</v>
      </c>
      <c r="Q30" s="32">
        <f t="shared" si="7"/>
        <v>-0.34090909090909088</v>
      </c>
      <c r="R30" s="32">
        <f t="shared" si="7"/>
        <v>-6.8965517241379309E-2</v>
      </c>
      <c r="S30" s="32">
        <f>SUM(T30,-J30)/J30</f>
        <v>1.6296296296296295</v>
      </c>
      <c r="T30" s="30">
        <v>71</v>
      </c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</row>
    <row r="31" spans="3:144" ht="16.8" x14ac:dyDescent="0.4">
      <c r="C31" s="10" t="s">
        <v>16</v>
      </c>
      <c r="D31" s="12"/>
      <c r="E31" s="12"/>
      <c r="F31" s="234">
        <f ca="1">SUM(F29:F31)</f>
        <v>137</v>
      </c>
      <c r="G31" s="235">
        <f ca="1">SUM(G29:G31)</f>
        <v>136</v>
      </c>
      <c r="H31" s="235">
        <f ca="1">SUM(H29:H31)</f>
        <v>107</v>
      </c>
      <c r="I31" s="235">
        <f ca="1">SUM(I29:I31)</f>
        <v>45</v>
      </c>
      <c r="J31" s="235">
        <f ca="1">SUM(J29:J31)</f>
        <v>65</v>
      </c>
      <c r="K31" s="50"/>
      <c r="L31" s="55"/>
      <c r="M31" s="55"/>
      <c r="N31" s="55"/>
      <c r="O31" s="55"/>
      <c r="P31" s="34">
        <f t="shared" ca="1" si="7"/>
        <v>-0.21323529411764705</v>
      </c>
      <c r="Q31" s="34">
        <f t="shared" ca="1" si="7"/>
        <v>-0.57943925233644855</v>
      </c>
      <c r="R31" s="34">
        <f t="shared" ca="1" si="7"/>
        <v>0.44444444444444442</v>
      </c>
      <c r="S31" s="34">
        <f ca="1">SUM(T31,-J31)/J31</f>
        <v>0.46153846153846156</v>
      </c>
      <c r="T31" s="35">
        <f>SUM(T29:T30)</f>
        <v>95</v>
      </c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</row>
    <row r="32" spans="3:144" ht="16.8" x14ac:dyDescent="0.4">
      <c r="C32" s="14" t="s">
        <v>371</v>
      </c>
      <c r="D32" s="193"/>
      <c r="E32" s="199"/>
      <c r="F32" s="238">
        <v>57</v>
      </c>
      <c r="G32" s="239">
        <v>56</v>
      </c>
      <c r="H32" s="239">
        <v>36</v>
      </c>
      <c r="I32" s="239">
        <v>22</v>
      </c>
      <c r="J32" s="239">
        <v>20</v>
      </c>
      <c r="K32" s="50"/>
      <c r="L32" s="55"/>
      <c r="M32" s="55"/>
      <c r="N32" s="55"/>
      <c r="O32" s="55"/>
      <c r="P32" s="56">
        <f>SUM(H35,-G35)/G35</f>
        <v>-0.11730205278592376</v>
      </c>
      <c r="Q32" s="56">
        <f>SUM(I35,-H35)/H35</f>
        <v>-0.12292358803986711</v>
      </c>
      <c r="R32" s="56">
        <f>SUM(J35,-I35)/I35</f>
        <v>4.924242424242424E-2</v>
      </c>
      <c r="S32" s="56">
        <f>SUM(T32,-J35)/J35</f>
        <v>3.2490974729241874E-2</v>
      </c>
      <c r="T32" s="57">
        <v>286</v>
      </c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</row>
    <row r="33" spans="3:144" ht="16.8" x14ac:dyDescent="0.4">
      <c r="C33" s="1"/>
      <c r="D33" s="1"/>
      <c r="E33" s="55"/>
      <c r="F33" s="240"/>
      <c r="G33" s="241"/>
      <c r="H33" s="241"/>
      <c r="I33" s="241"/>
      <c r="J33" s="241"/>
      <c r="K33" s="50"/>
      <c r="L33" s="55"/>
      <c r="M33" s="55"/>
      <c r="N33" s="55"/>
      <c r="O33" s="55"/>
      <c r="P33" s="32"/>
      <c r="Q33" s="32"/>
      <c r="R33" s="32"/>
      <c r="S33" s="32"/>
      <c r="T33" s="30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</row>
    <row r="34" spans="3:144" ht="16.8" x14ac:dyDescent="0.4">
      <c r="E34" s="55"/>
      <c r="F34" s="242"/>
      <c r="G34" s="243"/>
      <c r="H34" s="243"/>
      <c r="I34" s="243"/>
      <c r="J34" s="243"/>
      <c r="K34" s="53"/>
      <c r="L34" s="55"/>
      <c r="M34" s="55"/>
      <c r="N34" s="55"/>
      <c r="O34" s="55"/>
      <c r="P34" s="32">
        <f>SUM(H37,-G37)/G37</f>
        <v>-1</v>
      </c>
      <c r="Q34" s="32"/>
      <c r="R34" s="32">
        <f>SUM(J37,-I37)/I37</f>
        <v>-0.75</v>
      </c>
      <c r="S34" s="32"/>
      <c r="T34" s="30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</row>
    <row r="35" spans="3:144" x14ac:dyDescent="0.3">
      <c r="C35" s="8" t="s">
        <v>33</v>
      </c>
      <c r="D35" s="5" t="s">
        <v>34</v>
      </c>
      <c r="E35" s="5"/>
      <c r="F35" s="244">
        <v>308</v>
      </c>
      <c r="G35" s="245">
        <v>341</v>
      </c>
      <c r="H35" s="245">
        <v>301</v>
      </c>
      <c r="I35" s="245">
        <v>264</v>
      </c>
      <c r="J35" s="245">
        <v>277</v>
      </c>
      <c r="K35" s="50"/>
      <c r="L35" s="55"/>
      <c r="M35" s="55"/>
      <c r="N35" s="55"/>
      <c r="O35" s="55"/>
      <c r="P35" s="32">
        <f>SUM(H38,-G38)/G38</f>
        <v>0</v>
      </c>
      <c r="Q35" s="32">
        <f>SUM(I38,-H38)/H38</f>
        <v>0.5</v>
      </c>
      <c r="R35" s="32">
        <f>SUM(J38,-I38)/I38</f>
        <v>0.91666666666666663</v>
      </c>
      <c r="S35" s="32"/>
      <c r="T35" s="30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</row>
    <row r="36" spans="3:144" x14ac:dyDescent="0.3">
      <c r="C36" s="8" t="s">
        <v>35</v>
      </c>
      <c r="D36" s="5" t="s">
        <v>32</v>
      </c>
      <c r="E36" s="5"/>
      <c r="F36" s="232"/>
      <c r="G36" s="233"/>
      <c r="H36" s="233"/>
      <c r="I36" s="233"/>
      <c r="J36" s="233"/>
      <c r="K36" s="50"/>
      <c r="L36" s="55"/>
      <c r="M36" s="55"/>
      <c r="N36" s="55"/>
      <c r="O36" s="55"/>
      <c r="P36" s="34">
        <f>SUM(H40,-G40)/G40</f>
        <v>-0.33333333333333331</v>
      </c>
      <c r="Q36" s="34">
        <f>SUM(I40,-H40)/H40</f>
        <v>1.5</v>
      </c>
      <c r="R36" s="34">
        <f>SUM(J40,-I40)/I40</f>
        <v>0.25</v>
      </c>
      <c r="S36" s="34">
        <f>SUM(T36,-J40)/J40</f>
        <v>0.12</v>
      </c>
      <c r="T36" s="38">
        <v>28</v>
      </c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</row>
    <row r="37" spans="3:144" x14ac:dyDescent="0.3">
      <c r="C37" s="5" t="s">
        <v>36</v>
      </c>
      <c r="D37" s="5"/>
      <c r="E37" s="5"/>
      <c r="F37" s="214">
        <v>0</v>
      </c>
      <c r="G37" s="233">
        <v>4</v>
      </c>
      <c r="H37" s="215">
        <v>0</v>
      </c>
      <c r="I37" s="233">
        <v>8</v>
      </c>
      <c r="J37" s="233">
        <v>2</v>
      </c>
      <c r="K37" s="50"/>
      <c r="L37" s="55"/>
      <c r="M37" s="55"/>
      <c r="N37" s="55"/>
      <c r="O37" s="55"/>
      <c r="P37" s="39">
        <f ca="1">SUM(H44,-G44)/G44</f>
        <v>-5.9683146681234638E-2</v>
      </c>
      <c r="Q37" s="39">
        <f ca="1">SUM(I44,-H44)/H44</f>
        <v>5.3159041394335513E-2</v>
      </c>
      <c r="R37" s="39">
        <f ca="1">SUM(J44,-I44)/I44</f>
        <v>5.019997241759757E-2</v>
      </c>
      <c r="S37" s="39">
        <f ca="1">SUM(T37,-J44)/J44</f>
        <v>1.8384766907419567E-2</v>
      </c>
      <c r="T37" s="40">
        <f>SUM(T16,T27,T31,T32,T36)</f>
        <v>7755</v>
      </c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</row>
    <row r="38" spans="3:144" x14ac:dyDescent="0.3">
      <c r="C38" s="5" t="s">
        <v>37</v>
      </c>
      <c r="D38" s="5"/>
      <c r="E38" s="5"/>
      <c r="F38" s="232">
        <v>6</v>
      </c>
      <c r="G38" s="233">
        <v>8</v>
      </c>
      <c r="H38" s="233">
        <v>8</v>
      </c>
      <c r="I38" s="233">
        <v>12</v>
      </c>
      <c r="J38" s="233">
        <v>23</v>
      </c>
      <c r="K38" s="50"/>
      <c r="L38" s="126"/>
      <c r="M38" s="55"/>
      <c r="N38" s="55"/>
      <c r="O38" s="55"/>
      <c r="P38" s="32"/>
      <c r="Q38" s="32"/>
      <c r="R38" s="32"/>
      <c r="S38" s="32"/>
      <c r="T38" s="30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</row>
    <row r="39" spans="3:144" x14ac:dyDescent="0.3">
      <c r="E39" s="55"/>
      <c r="F39" s="242"/>
      <c r="G39" s="243"/>
      <c r="H39" s="243"/>
      <c r="I39" s="243"/>
      <c r="J39" s="243"/>
      <c r="K39" s="50"/>
      <c r="L39" s="55"/>
      <c r="M39" s="55"/>
      <c r="N39" s="55"/>
      <c r="O39" s="55"/>
      <c r="P39" s="32"/>
      <c r="Q39" s="32"/>
      <c r="R39" s="32"/>
      <c r="S39" s="32"/>
      <c r="T39" s="30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</row>
    <row r="40" spans="3:144" x14ac:dyDescent="0.3">
      <c r="C40" s="10" t="s">
        <v>16</v>
      </c>
      <c r="D40" s="12"/>
      <c r="E40" s="13"/>
      <c r="F40" s="234">
        <f>SUM(F37:F38)</f>
        <v>6</v>
      </c>
      <c r="G40" s="235">
        <f>SUM(G37:G38)</f>
        <v>12</v>
      </c>
      <c r="H40" s="235">
        <f>SUM(H37:H38)</f>
        <v>8</v>
      </c>
      <c r="I40" s="235">
        <f>SUM(I37:I38)</f>
        <v>20</v>
      </c>
      <c r="J40" s="235">
        <f>SUM(J37:J38)</f>
        <v>25</v>
      </c>
      <c r="K40" s="50"/>
      <c r="L40" s="55"/>
      <c r="M40" s="55"/>
      <c r="N40" s="55"/>
      <c r="O40" s="55"/>
      <c r="P40" s="32"/>
      <c r="Q40" s="32"/>
      <c r="R40" s="32"/>
      <c r="S40" s="32"/>
      <c r="T40" s="30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</row>
    <row r="41" spans="3:144" x14ac:dyDescent="0.3">
      <c r="C41" s="14" t="s">
        <v>371</v>
      </c>
      <c r="D41" s="14"/>
      <c r="E41" s="14"/>
      <c r="F41" s="227">
        <v>0</v>
      </c>
      <c r="G41" s="237">
        <v>4</v>
      </c>
      <c r="H41" s="228">
        <v>0</v>
      </c>
      <c r="I41" s="237">
        <v>8</v>
      </c>
      <c r="J41" s="237">
        <v>2</v>
      </c>
      <c r="K41" s="50"/>
      <c r="L41" s="55"/>
      <c r="M41" s="55"/>
      <c r="N41" s="55"/>
      <c r="O41" s="55"/>
      <c r="P41" s="32">
        <f t="shared" ref="P41:R48" si="8">SUM(H48,-G48)/G48</f>
        <v>-0.26041666666666669</v>
      </c>
      <c r="Q41" s="32">
        <f t="shared" si="8"/>
        <v>-2.8169014084507043E-2</v>
      </c>
      <c r="R41" s="32">
        <f t="shared" si="8"/>
        <v>8.6956521739130432E-2</v>
      </c>
      <c r="S41" s="32"/>
      <c r="T41" s="30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</row>
    <row r="42" spans="3:144" x14ac:dyDescent="0.3">
      <c r="C42" s="5"/>
      <c r="D42" s="5"/>
      <c r="E42" s="5"/>
      <c r="F42" s="232"/>
      <c r="G42" s="233"/>
      <c r="H42" s="233"/>
      <c r="I42" s="233"/>
      <c r="J42" s="233"/>
      <c r="K42" s="50"/>
      <c r="L42" s="55"/>
      <c r="M42" s="55"/>
      <c r="N42" s="55"/>
      <c r="O42" s="55"/>
      <c r="P42" s="32">
        <f t="shared" si="8"/>
        <v>-0.33333333333333331</v>
      </c>
      <c r="Q42" s="32">
        <f t="shared" si="8"/>
        <v>-0.15</v>
      </c>
      <c r="R42" s="32">
        <f t="shared" si="8"/>
        <v>5.8823529411764705E-2</v>
      </c>
      <c r="S42" s="32"/>
      <c r="T42" s="30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</row>
    <row r="43" spans="3:144" x14ac:dyDescent="0.3">
      <c r="E43" s="55"/>
      <c r="F43" s="242"/>
      <c r="G43" s="243"/>
      <c r="H43" s="243"/>
      <c r="I43" s="243"/>
      <c r="J43" s="243"/>
      <c r="K43" s="50"/>
      <c r="L43" s="55"/>
      <c r="M43" s="55"/>
      <c r="N43" s="55"/>
      <c r="O43" s="55"/>
      <c r="P43" s="32">
        <f t="shared" si="8"/>
        <v>-0.22727272727272727</v>
      </c>
      <c r="Q43" s="32">
        <f t="shared" si="8"/>
        <v>1.9607843137254902E-2</v>
      </c>
      <c r="R43" s="32">
        <f t="shared" si="8"/>
        <v>9.6153846153846159E-2</v>
      </c>
      <c r="S43" s="32"/>
      <c r="T43" s="30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</row>
    <row r="44" spans="3:144" x14ac:dyDescent="0.3">
      <c r="C44" s="15" t="s">
        <v>38</v>
      </c>
      <c r="D44" s="16"/>
      <c r="E44" s="15"/>
      <c r="F44" s="246">
        <f ca="1">SUM(F16,F27,F31,F35,F40)</f>
        <v>6866</v>
      </c>
      <c r="G44" s="247">
        <f ca="1">SUM(G16,G27,G31,G35,G40)</f>
        <v>7322</v>
      </c>
      <c r="H44" s="247">
        <f ca="1">SUM(H16,H27,H31,H35,H40)</f>
        <v>6885</v>
      </c>
      <c r="I44" s="247">
        <f ca="1">SUM(I16,I27,I31,I35,I40)</f>
        <v>7251</v>
      </c>
      <c r="J44" s="247">
        <f ca="1">SUM(J16,J27,J31,J35,J40)</f>
        <v>7615</v>
      </c>
      <c r="K44" s="50"/>
      <c r="L44" s="55"/>
      <c r="M44" s="55"/>
      <c r="N44" s="55"/>
      <c r="O44" s="55"/>
      <c r="P44" s="32">
        <f t="shared" si="8"/>
        <v>0.18181818181818182</v>
      </c>
      <c r="Q44" s="32">
        <f t="shared" si="8"/>
        <v>0.4175824175824176</v>
      </c>
      <c r="R44" s="32">
        <f t="shared" si="8"/>
        <v>-0.13178294573643412</v>
      </c>
      <c r="S44" s="32"/>
      <c r="T44" s="30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</row>
    <row r="45" spans="3:144" x14ac:dyDescent="0.3">
      <c r="C45" s="8"/>
      <c r="D45" s="5"/>
      <c r="E45" s="5"/>
      <c r="F45" s="232"/>
      <c r="G45" s="233"/>
      <c r="H45" s="233"/>
      <c r="I45" s="233"/>
      <c r="J45" s="233"/>
      <c r="K45" s="50"/>
      <c r="L45" s="55"/>
      <c r="M45" s="55"/>
      <c r="N45" s="55"/>
      <c r="O45" s="55"/>
      <c r="P45" s="32">
        <f t="shared" si="8"/>
        <v>-0.88888888888888884</v>
      </c>
      <c r="Q45" s="32">
        <f t="shared" si="8"/>
        <v>1</v>
      </c>
      <c r="R45" s="32">
        <f t="shared" si="8"/>
        <v>1</v>
      </c>
      <c r="S45" s="32"/>
      <c r="T45" s="30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</row>
    <row r="46" spans="3:144" ht="19.2" x14ac:dyDescent="0.4">
      <c r="C46" s="6" t="s">
        <v>39</v>
      </c>
      <c r="D46" s="5"/>
      <c r="E46" s="5"/>
      <c r="F46" s="232"/>
      <c r="G46" s="233"/>
      <c r="H46" s="233"/>
      <c r="I46" s="233"/>
      <c r="J46" s="233"/>
      <c r="K46" s="50"/>
      <c r="L46" s="55"/>
      <c r="M46" s="55"/>
      <c r="N46" s="55"/>
      <c r="O46" s="55"/>
      <c r="P46" s="32">
        <f t="shared" si="8"/>
        <v>-5.921052631578947E-2</v>
      </c>
      <c r="Q46" s="32">
        <f t="shared" si="8"/>
        <v>0.27972027972027974</v>
      </c>
      <c r="R46" s="32">
        <f t="shared" si="8"/>
        <v>-5.4644808743169397E-2</v>
      </c>
      <c r="S46" s="32"/>
      <c r="T46" s="30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</row>
    <row r="47" spans="3:144" x14ac:dyDescent="0.3">
      <c r="C47" s="8" t="s">
        <v>40</v>
      </c>
      <c r="D47" s="5"/>
      <c r="E47" s="5"/>
      <c r="F47" s="232"/>
      <c r="G47" s="233"/>
      <c r="H47" s="233"/>
      <c r="I47" s="233"/>
      <c r="J47" s="233"/>
      <c r="K47" s="50"/>
      <c r="L47" s="55"/>
      <c r="M47" s="55"/>
      <c r="N47" s="55"/>
      <c r="O47" s="55"/>
      <c r="P47" s="32">
        <f t="shared" si="8"/>
        <v>-0.42857142857142855</v>
      </c>
      <c r="Q47" s="32">
        <f t="shared" si="8"/>
        <v>0</v>
      </c>
      <c r="R47" s="32">
        <f t="shared" si="8"/>
        <v>1.75</v>
      </c>
      <c r="S47" s="32"/>
      <c r="T47" s="30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</row>
    <row r="48" spans="3:144" x14ac:dyDescent="0.3">
      <c r="C48" s="5" t="s">
        <v>41</v>
      </c>
      <c r="D48" s="5"/>
      <c r="E48" s="5"/>
      <c r="F48" s="232">
        <v>86</v>
      </c>
      <c r="G48" s="233">
        <v>96</v>
      </c>
      <c r="H48" s="233">
        <v>71</v>
      </c>
      <c r="I48" s="233">
        <v>69</v>
      </c>
      <c r="J48" s="233">
        <v>75</v>
      </c>
      <c r="K48" s="50"/>
      <c r="L48" s="55"/>
      <c r="M48" s="55"/>
      <c r="N48" s="55"/>
      <c r="O48" s="55"/>
      <c r="P48" s="34">
        <f t="shared" si="8"/>
        <v>-7.5471698113207544E-2</v>
      </c>
      <c r="Q48" s="34">
        <f t="shared" si="8"/>
        <v>0.27210884353741499</v>
      </c>
      <c r="R48" s="34">
        <f t="shared" si="8"/>
        <v>-1.6042780748663103E-2</v>
      </c>
      <c r="S48" s="34">
        <f>SUM(T48,-J55)/J55</f>
        <v>-0.43478260869565216</v>
      </c>
      <c r="T48" s="35">
        <v>104</v>
      </c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</row>
    <row r="49" spans="3:144" x14ac:dyDescent="0.3">
      <c r="C49" s="5" t="s">
        <v>42</v>
      </c>
      <c r="D49" s="5"/>
      <c r="E49" s="5"/>
      <c r="F49" s="232">
        <v>-26</v>
      </c>
      <c r="G49" s="233">
        <v>-30</v>
      </c>
      <c r="H49" s="233">
        <v>-20</v>
      </c>
      <c r="I49" s="233">
        <v>-17</v>
      </c>
      <c r="J49" s="233">
        <v>-18</v>
      </c>
      <c r="K49" s="50"/>
      <c r="L49" s="55"/>
      <c r="M49" s="55"/>
      <c r="N49" s="55"/>
      <c r="O49" s="55"/>
      <c r="P49" s="32"/>
      <c r="Q49" s="32"/>
      <c r="R49" s="32"/>
      <c r="S49" s="32"/>
      <c r="T49" s="30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</row>
    <row r="50" spans="3:144" x14ac:dyDescent="0.3">
      <c r="C50" s="5" t="s">
        <v>43</v>
      </c>
      <c r="D50" s="5"/>
      <c r="E50" s="5"/>
      <c r="F50" s="232">
        <f>SUM(F48:F49)</f>
        <v>60</v>
      </c>
      <c r="G50" s="232">
        <f t="shared" ref="G50:J50" si="9">SUM(G48:G49)</f>
        <v>66</v>
      </c>
      <c r="H50" s="232">
        <f t="shared" si="9"/>
        <v>51</v>
      </c>
      <c r="I50" s="232">
        <f t="shared" si="9"/>
        <v>52</v>
      </c>
      <c r="J50" s="232">
        <f t="shared" si="9"/>
        <v>57</v>
      </c>
      <c r="K50" s="50"/>
      <c r="L50" s="55"/>
      <c r="M50" s="55"/>
      <c r="N50" s="55"/>
      <c r="O50" s="55"/>
      <c r="P50" s="32">
        <f t="shared" ref="P50:R53" si="10">SUM(H57,-G57)/G57</f>
        <v>-0.11859582542694497</v>
      </c>
      <c r="Q50" s="32">
        <f t="shared" si="10"/>
        <v>0.10871905274488698</v>
      </c>
      <c r="R50" s="32">
        <f t="shared" si="10"/>
        <v>-0.26601941747572816</v>
      </c>
      <c r="S50" s="32"/>
      <c r="T50" s="30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</row>
    <row r="51" spans="3:144" x14ac:dyDescent="0.3">
      <c r="C51" s="5" t="s">
        <v>44</v>
      </c>
      <c r="D51" s="5"/>
      <c r="E51" s="5"/>
      <c r="F51" s="232">
        <v>99</v>
      </c>
      <c r="G51" s="233">
        <v>77</v>
      </c>
      <c r="H51" s="233">
        <v>91</v>
      </c>
      <c r="I51" s="233">
        <v>129</v>
      </c>
      <c r="J51" s="233">
        <v>112</v>
      </c>
      <c r="K51" s="50"/>
      <c r="L51" s="55"/>
      <c r="M51" s="55"/>
      <c r="N51" s="55"/>
      <c r="O51" s="55"/>
      <c r="P51" s="32">
        <f t="shared" si="10"/>
        <v>-0.19910714285714284</v>
      </c>
      <c r="Q51" s="32">
        <f t="shared" si="10"/>
        <v>1.89520624303233E-2</v>
      </c>
      <c r="R51" s="32">
        <f t="shared" si="10"/>
        <v>0.3172866520787746</v>
      </c>
      <c r="S51" s="32"/>
      <c r="T51" s="30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</row>
    <row r="52" spans="3:144" x14ac:dyDescent="0.3">
      <c r="C52" s="5" t="s">
        <v>45</v>
      </c>
      <c r="D52" s="5"/>
      <c r="E52" s="5"/>
      <c r="F52" s="232">
        <v>22</v>
      </c>
      <c r="G52" s="233">
        <v>9</v>
      </c>
      <c r="H52" s="233">
        <v>1</v>
      </c>
      <c r="I52" s="233">
        <v>2</v>
      </c>
      <c r="J52" s="233">
        <v>4</v>
      </c>
      <c r="K52" s="50"/>
      <c r="L52" s="55"/>
      <c r="M52" s="55"/>
      <c r="N52" s="55"/>
      <c r="O52" s="55"/>
      <c r="P52" s="32">
        <f t="shared" si="10"/>
        <v>-0.56090651558073656</v>
      </c>
      <c r="Q52" s="32">
        <f t="shared" si="10"/>
        <v>5.1612903225806452E-2</v>
      </c>
      <c r="R52" s="32">
        <f t="shared" si="10"/>
        <v>-0.33742331288343558</v>
      </c>
      <c r="S52" s="32"/>
      <c r="T52" s="30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</row>
    <row r="53" spans="3:144" x14ac:dyDescent="0.3">
      <c r="C53" s="8" t="s">
        <v>46</v>
      </c>
      <c r="D53" s="5"/>
      <c r="E53" s="5"/>
      <c r="F53" s="232">
        <v>181</v>
      </c>
      <c r="G53" s="233">
        <f t="shared" ref="G53" si="11">SUM(G51,G50,G52)</f>
        <v>152</v>
      </c>
      <c r="H53" s="233">
        <f>SUM(H51,H50,H52)</f>
        <v>143</v>
      </c>
      <c r="I53" s="233">
        <f>SUM(I51,I50,I52)</f>
        <v>183</v>
      </c>
      <c r="J53" s="233">
        <f>SUM(J51,J50,J52)</f>
        <v>173</v>
      </c>
      <c r="K53" s="50"/>
      <c r="L53" s="55"/>
      <c r="M53" s="55"/>
      <c r="N53" s="55"/>
      <c r="O53" s="55"/>
      <c r="P53" s="34">
        <f t="shared" si="10"/>
        <v>-8.2372322899505759E-2</v>
      </c>
      <c r="Q53" s="34">
        <f t="shared" si="10"/>
        <v>6.5828845002992215E-2</v>
      </c>
      <c r="R53" s="34">
        <f t="shared" si="10"/>
        <v>3.9865244244806287E-2</v>
      </c>
      <c r="S53" s="34">
        <f>SUM(T53,-J60)/J60</f>
        <v>0.1101511879049676</v>
      </c>
      <c r="T53" s="35">
        <v>2056</v>
      </c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</row>
    <row r="54" spans="3:144" x14ac:dyDescent="0.3">
      <c r="C54" s="5" t="s">
        <v>47</v>
      </c>
      <c r="D54" s="5"/>
      <c r="E54" s="5"/>
      <c r="F54" s="232">
        <v>3</v>
      </c>
      <c r="G54" s="233">
        <v>7</v>
      </c>
      <c r="H54" s="233">
        <v>4</v>
      </c>
      <c r="I54" s="233">
        <v>4</v>
      </c>
      <c r="J54" s="233">
        <v>11</v>
      </c>
      <c r="K54" s="50"/>
      <c r="L54" s="55"/>
      <c r="M54" s="55"/>
      <c r="N54" s="55"/>
      <c r="O54" s="55"/>
      <c r="P54" s="32"/>
      <c r="Q54" s="32"/>
      <c r="R54" s="32"/>
      <c r="S54" s="32"/>
      <c r="T54" s="30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</row>
    <row r="55" spans="3:144" x14ac:dyDescent="0.3">
      <c r="C55" s="10" t="s">
        <v>16</v>
      </c>
      <c r="D55" s="12"/>
      <c r="E55" s="12"/>
      <c r="F55" s="234">
        <f t="shared" ref="F55:G55" si="12">SUM(F53,F54)</f>
        <v>184</v>
      </c>
      <c r="G55" s="235">
        <f t="shared" si="12"/>
        <v>159</v>
      </c>
      <c r="H55" s="235">
        <f>SUM(H53,H54)</f>
        <v>147</v>
      </c>
      <c r="I55" s="235">
        <f>SUM(I53,I54)</f>
        <v>187</v>
      </c>
      <c r="J55" s="235">
        <f>SUM(J53,J54)</f>
        <v>184</v>
      </c>
      <c r="K55" s="50"/>
      <c r="L55" s="55"/>
      <c r="M55" s="55"/>
      <c r="N55" s="55"/>
      <c r="O55" s="55"/>
      <c r="P55" s="32">
        <f t="shared" ref="P55:P63" si="13">SUM(H62,-G62)/G62</f>
        <v>-0.63773584905660374</v>
      </c>
      <c r="Q55" s="32">
        <f t="shared" ref="Q55:Q63" si="14">SUM(I62,-H62)/H62</f>
        <v>0.69791666666666663</v>
      </c>
      <c r="R55" s="32">
        <f t="shared" ref="R55:R63" si="15">SUM(J62,-I62)/I62</f>
        <v>1.2760736196319018</v>
      </c>
      <c r="S55" s="32"/>
      <c r="T55" s="30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</row>
    <row r="56" spans="3:144" x14ac:dyDescent="0.3">
      <c r="C56" s="8" t="s">
        <v>48</v>
      </c>
      <c r="D56" s="5"/>
      <c r="E56" s="5"/>
      <c r="F56" s="232"/>
      <c r="G56" s="233"/>
      <c r="H56" s="233"/>
      <c r="I56" s="233"/>
      <c r="J56" s="233"/>
      <c r="K56" s="50"/>
      <c r="L56" s="55"/>
      <c r="M56" s="55"/>
      <c r="N56" s="55"/>
      <c r="O56" s="55"/>
      <c r="P56" s="32">
        <f t="shared" si="13"/>
        <v>-3.2258064516129031E-2</v>
      </c>
      <c r="Q56" s="32">
        <f t="shared" si="14"/>
        <v>0.25</v>
      </c>
      <c r="R56" s="32">
        <f t="shared" si="15"/>
        <v>0.30666666666666664</v>
      </c>
      <c r="S56" s="32"/>
      <c r="T56" s="30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</row>
    <row r="57" spans="3:144" x14ac:dyDescent="0.3">
      <c r="C57" s="5" t="s">
        <v>49</v>
      </c>
      <c r="D57" s="5"/>
      <c r="E57" s="5"/>
      <c r="F57" s="232">
        <v>1066</v>
      </c>
      <c r="G57" s="233">
        <v>1054</v>
      </c>
      <c r="H57" s="233">
        <v>929</v>
      </c>
      <c r="I57" s="233">
        <v>1030</v>
      </c>
      <c r="J57" s="233">
        <v>756</v>
      </c>
      <c r="K57" s="50"/>
      <c r="L57" s="55"/>
      <c r="M57" s="55"/>
      <c r="N57" s="55"/>
      <c r="O57" s="55"/>
      <c r="P57" s="32">
        <f t="shared" si="13"/>
        <v>0.22500000000000001</v>
      </c>
      <c r="Q57" s="32">
        <f t="shared" si="14"/>
        <v>-6.1224489795918366E-2</v>
      </c>
      <c r="R57" s="32">
        <f t="shared" si="15"/>
        <v>0.5</v>
      </c>
      <c r="S57" s="32"/>
      <c r="T57" s="30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</row>
    <row r="58" spans="3:144" x14ac:dyDescent="0.3">
      <c r="C58" s="5" t="s">
        <v>50</v>
      </c>
      <c r="D58" s="5"/>
      <c r="E58" s="5"/>
      <c r="F58" s="232">
        <v>734</v>
      </c>
      <c r="G58" s="233">
        <v>1120</v>
      </c>
      <c r="H58" s="233">
        <v>897</v>
      </c>
      <c r="I58" s="233">
        <v>914</v>
      </c>
      <c r="J58" s="233">
        <v>1204</v>
      </c>
      <c r="K58" s="50"/>
      <c r="L58" s="55"/>
      <c r="M58" s="55"/>
      <c r="N58" s="55"/>
      <c r="O58" s="55"/>
      <c r="P58" s="32">
        <f t="shared" si="13"/>
        <v>1.2727272727272727</v>
      </c>
      <c r="Q58" s="32">
        <f t="shared" si="14"/>
        <v>0.4</v>
      </c>
      <c r="R58" s="32">
        <f t="shared" si="15"/>
        <v>0.11428571428571428</v>
      </c>
      <c r="S58" s="32"/>
      <c r="T58" s="30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</row>
    <row r="59" spans="3:144" x14ac:dyDescent="0.3">
      <c r="C59" s="5" t="s">
        <v>51</v>
      </c>
      <c r="D59" s="5"/>
      <c r="E59" s="5"/>
      <c r="F59" s="232">
        <v>-315</v>
      </c>
      <c r="G59" s="233">
        <v>-353</v>
      </c>
      <c r="H59" s="233">
        <v>-155</v>
      </c>
      <c r="I59" s="233">
        <v>-163</v>
      </c>
      <c r="J59" s="233">
        <v>-108</v>
      </c>
      <c r="K59" s="50"/>
      <c r="L59" s="55"/>
      <c r="M59" s="55"/>
      <c r="N59" s="55"/>
      <c r="O59" s="55"/>
      <c r="P59" s="32">
        <f t="shared" si="13"/>
        <v>0</v>
      </c>
      <c r="Q59" s="32">
        <f t="shared" si="14"/>
        <v>0</v>
      </c>
      <c r="R59" s="32">
        <f t="shared" si="15"/>
        <v>0</v>
      </c>
      <c r="S59" s="32"/>
      <c r="T59" s="30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</row>
    <row r="60" spans="3:144" x14ac:dyDescent="0.3">
      <c r="C60" s="10" t="s">
        <v>16</v>
      </c>
      <c r="D60" s="12"/>
      <c r="E60" s="12"/>
      <c r="F60" s="234">
        <f t="shared" ref="F60:G60" si="16">SUM(F57:F59)</f>
        <v>1485</v>
      </c>
      <c r="G60" s="235">
        <f t="shared" si="16"/>
        <v>1821</v>
      </c>
      <c r="H60" s="235">
        <f>SUM(H57:H59)</f>
        <v>1671</v>
      </c>
      <c r="I60" s="235">
        <f>SUM(I57:I59)</f>
        <v>1781</v>
      </c>
      <c r="J60" s="235">
        <f>SUM(J57:J59)</f>
        <v>1852</v>
      </c>
      <c r="K60" s="50"/>
      <c r="L60" s="55"/>
      <c r="M60" s="55"/>
      <c r="N60" s="55"/>
      <c r="O60" s="55"/>
      <c r="P60" s="32">
        <f t="shared" si="13"/>
        <v>-0.5</v>
      </c>
      <c r="Q60" s="32">
        <f t="shared" si="14"/>
        <v>0.66666666666666663</v>
      </c>
      <c r="R60" s="32">
        <f t="shared" si="15"/>
        <v>0.4</v>
      </c>
      <c r="S60" s="32"/>
      <c r="T60" s="30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</row>
    <row r="61" spans="3:144" x14ac:dyDescent="0.3">
      <c r="C61" s="8" t="s">
        <v>52</v>
      </c>
      <c r="D61" s="5"/>
      <c r="E61" s="5"/>
      <c r="F61" s="232"/>
      <c r="G61" s="233"/>
      <c r="H61" s="233"/>
      <c r="I61" s="233"/>
      <c r="J61" s="233"/>
      <c r="K61" s="50"/>
      <c r="L61" s="55"/>
      <c r="M61" s="55"/>
      <c r="N61" s="55"/>
      <c r="O61" s="55"/>
      <c r="P61" s="32">
        <f t="shared" si="13"/>
        <v>0</v>
      </c>
      <c r="Q61" s="32">
        <f t="shared" si="14"/>
        <v>0.5714285714285714</v>
      </c>
      <c r="R61" s="32">
        <f t="shared" si="15"/>
        <v>4.5454545454545456E-2</v>
      </c>
      <c r="S61" s="32"/>
      <c r="T61" s="30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</row>
    <row r="62" spans="3:144" x14ac:dyDescent="0.3">
      <c r="C62" s="8" t="s">
        <v>53</v>
      </c>
      <c r="D62" s="5" t="s">
        <v>54</v>
      </c>
      <c r="E62" s="5"/>
      <c r="F62" s="218">
        <v>55</v>
      </c>
      <c r="G62" s="219">
        <v>265</v>
      </c>
      <c r="H62" s="219">
        <v>96</v>
      </c>
      <c r="I62" s="219">
        <v>163</v>
      </c>
      <c r="J62" s="219">
        <v>371</v>
      </c>
      <c r="K62" s="50"/>
      <c r="L62" s="55"/>
      <c r="M62" s="55"/>
      <c r="N62" s="55"/>
      <c r="O62" s="55"/>
      <c r="P62" s="32">
        <f t="shared" si="13"/>
        <v>-0.77777777777777779</v>
      </c>
      <c r="Q62" s="32">
        <f t="shared" si="14"/>
        <v>0</v>
      </c>
      <c r="R62" s="32">
        <f t="shared" si="15"/>
        <v>0</v>
      </c>
      <c r="S62" s="32"/>
      <c r="T62" s="30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</row>
    <row r="63" spans="3:144" x14ac:dyDescent="0.3">
      <c r="C63" s="8" t="s">
        <v>55</v>
      </c>
      <c r="D63" s="5"/>
      <c r="E63" s="5"/>
      <c r="F63" s="218">
        <v>128</v>
      </c>
      <c r="G63" s="219">
        <v>124</v>
      </c>
      <c r="H63" s="219">
        <v>120</v>
      </c>
      <c r="I63" s="219">
        <v>150</v>
      </c>
      <c r="J63" s="219">
        <v>196</v>
      </c>
      <c r="K63" s="50"/>
      <c r="L63" s="55"/>
      <c r="M63" s="55"/>
      <c r="N63" s="55"/>
      <c r="O63" s="55"/>
      <c r="P63" s="32">
        <f t="shared" si="13"/>
        <v>0</v>
      </c>
      <c r="Q63" s="32">
        <f t="shared" si="14"/>
        <v>0</v>
      </c>
      <c r="R63" s="32">
        <f t="shared" si="15"/>
        <v>0</v>
      </c>
      <c r="S63" s="32"/>
      <c r="T63" s="30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</row>
    <row r="64" spans="3:144" x14ac:dyDescent="0.3">
      <c r="C64" s="5" t="s">
        <v>56</v>
      </c>
      <c r="D64" s="5"/>
      <c r="E64" s="5"/>
      <c r="F64" s="218">
        <v>52</v>
      </c>
      <c r="G64" s="219">
        <v>40</v>
      </c>
      <c r="H64" s="219">
        <v>49</v>
      </c>
      <c r="I64" s="219">
        <v>46</v>
      </c>
      <c r="J64" s="219">
        <v>69</v>
      </c>
      <c r="K64" s="50"/>
      <c r="L64" s="55"/>
      <c r="M64" s="55"/>
      <c r="N64" s="55"/>
      <c r="O64" s="55"/>
      <c r="P64" s="32"/>
      <c r="Q64" s="32">
        <f t="shared" ref="Q64:R67" si="17">SUM(I71,-H71)/H71</f>
        <v>0</v>
      </c>
      <c r="R64" s="32">
        <f t="shared" si="17"/>
        <v>0</v>
      </c>
      <c r="S64" s="32"/>
      <c r="T64" s="30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</row>
    <row r="65" spans="3:144" x14ac:dyDescent="0.3">
      <c r="C65" s="5" t="s">
        <v>57</v>
      </c>
      <c r="D65" s="5"/>
      <c r="E65" s="5"/>
      <c r="F65" s="218">
        <v>7</v>
      </c>
      <c r="G65" s="219">
        <v>11</v>
      </c>
      <c r="H65" s="219">
        <v>25</v>
      </c>
      <c r="I65" s="219">
        <v>35</v>
      </c>
      <c r="J65" s="219">
        <v>39</v>
      </c>
      <c r="K65" s="50"/>
      <c r="L65" s="55"/>
      <c r="M65" s="55"/>
      <c r="N65" s="55"/>
      <c r="O65" s="55"/>
      <c r="P65" s="32">
        <f t="shared" ref="P65:P73" si="18">SUM(H72,-G72)/G72</f>
        <v>0</v>
      </c>
      <c r="Q65" s="32">
        <f t="shared" si="17"/>
        <v>0</v>
      </c>
      <c r="R65" s="32">
        <f t="shared" si="17"/>
        <v>1</v>
      </c>
      <c r="S65" s="32"/>
      <c r="T65" s="30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</row>
    <row r="66" spans="3:144" x14ac:dyDescent="0.3">
      <c r="C66" s="5" t="s">
        <v>58</v>
      </c>
      <c r="D66" s="5"/>
      <c r="E66" s="5"/>
      <c r="F66" s="218">
        <v>1</v>
      </c>
      <c r="G66" s="219">
        <v>1</v>
      </c>
      <c r="H66" s="219">
        <v>1</v>
      </c>
      <c r="I66" s="219">
        <v>1</v>
      </c>
      <c r="J66" s="219">
        <v>1</v>
      </c>
      <c r="K66" s="50"/>
      <c r="L66" s="55"/>
      <c r="M66" s="55"/>
      <c r="N66" s="55"/>
      <c r="O66" s="55"/>
      <c r="P66" s="32" t="e">
        <f t="shared" si="18"/>
        <v>#DIV/0!</v>
      </c>
      <c r="Q66" s="32" t="e">
        <f t="shared" si="17"/>
        <v>#DIV/0!</v>
      </c>
      <c r="R66" s="32" t="e">
        <f t="shared" si="17"/>
        <v>#DIV/0!</v>
      </c>
      <c r="S66" s="32"/>
      <c r="T66" s="30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</row>
    <row r="67" spans="3:144" x14ac:dyDescent="0.3">
      <c r="C67" s="5" t="s">
        <v>59</v>
      </c>
      <c r="D67" s="5"/>
      <c r="E67" s="5"/>
      <c r="F67" s="218">
        <v>4</v>
      </c>
      <c r="G67" s="219">
        <v>12</v>
      </c>
      <c r="H67" s="219">
        <v>6</v>
      </c>
      <c r="I67" s="219">
        <v>10</v>
      </c>
      <c r="J67" s="219">
        <v>14</v>
      </c>
      <c r="K67" s="50"/>
      <c r="L67" s="55"/>
      <c r="M67" s="55"/>
      <c r="N67" s="55"/>
      <c r="O67" s="55"/>
      <c r="P67" s="32">
        <f t="shared" si="18"/>
        <v>-1</v>
      </c>
      <c r="Q67" s="32" t="e">
        <f t="shared" si="17"/>
        <v>#DIV/0!</v>
      </c>
      <c r="R67" s="32" t="e">
        <f t="shared" si="17"/>
        <v>#DIV/0!</v>
      </c>
      <c r="S67" s="32"/>
      <c r="T67" s="30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</row>
    <row r="68" spans="3:144" x14ac:dyDescent="0.3">
      <c r="C68" s="5" t="s">
        <v>60</v>
      </c>
      <c r="D68" s="5"/>
      <c r="E68" s="5"/>
      <c r="F68" s="218">
        <v>12</v>
      </c>
      <c r="G68" s="219">
        <v>14</v>
      </c>
      <c r="H68" s="219">
        <v>14</v>
      </c>
      <c r="I68" s="219">
        <v>22</v>
      </c>
      <c r="J68" s="219">
        <v>23</v>
      </c>
      <c r="K68" s="50"/>
      <c r="L68" s="55"/>
      <c r="M68" s="55"/>
      <c r="N68" s="55"/>
      <c r="O68" s="55"/>
      <c r="P68" s="32">
        <f t="shared" si="18"/>
        <v>-0.4</v>
      </c>
      <c r="Q68" s="32">
        <f t="shared" ref="Q68:Q73" si="19">SUM(I75,-H75)/H75</f>
        <v>-1</v>
      </c>
      <c r="R68" s="32"/>
      <c r="S68" s="32"/>
      <c r="T68" s="30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</row>
    <row r="69" spans="3:144" x14ac:dyDescent="0.3">
      <c r="C69" s="5" t="s">
        <v>61</v>
      </c>
      <c r="D69" s="5"/>
      <c r="E69" s="5"/>
      <c r="F69" s="218">
        <v>19</v>
      </c>
      <c r="G69" s="219">
        <v>9</v>
      </c>
      <c r="H69" s="219">
        <v>2</v>
      </c>
      <c r="I69" s="219">
        <v>2</v>
      </c>
      <c r="J69" s="219">
        <v>2</v>
      </c>
      <c r="K69" s="50"/>
      <c r="L69" s="55"/>
      <c r="M69" s="55"/>
      <c r="N69" s="55"/>
      <c r="O69" s="55"/>
      <c r="P69" s="32">
        <f t="shared" si="18"/>
        <v>0</v>
      </c>
      <c r="Q69" s="32">
        <f t="shared" si="19"/>
        <v>1</v>
      </c>
      <c r="R69" s="32">
        <f>SUM(J76,-I76)/I76</f>
        <v>0</v>
      </c>
      <c r="S69" s="32"/>
      <c r="T69" s="30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</row>
    <row r="70" spans="3:144" x14ac:dyDescent="0.3">
      <c r="C70" s="5" t="s">
        <v>62</v>
      </c>
      <c r="D70" s="5"/>
      <c r="E70" s="5"/>
      <c r="F70" s="218">
        <v>3</v>
      </c>
      <c r="G70" s="219">
        <v>3</v>
      </c>
      <c r="H70" s="219">
        <v>3</v>
      </c>
      <c r="I70" s="219">
        <v>3</v>
      </c>
      <c r="J70" s="219">
        <v>3</v>
      </c>
      <c r="K70" s="50"/>
      <c r="L70" s="55"/>
      <c r="M70" s="55"/>
      <c r="N70" s="55"/>
      <c r="O70" s="55"/>
      <c r="P70" s="32">
        <f t="shared" si="18"/>
        <v>0</v>
      </c>
      <c r="Q70" s="32">
        <f t="shared" si="19"/>
        <v>-0.33333333333333331</v>
      </c>
      <c r="R70" s="32">
        <f>SUM(J77,-I77)/I77</f>
        <v>0.5</v>
      </c>
      <c r="S70" s="32"/>
      <c r="T70" s="30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</row>
    <row r="71" spans="3:144" x14ac:dyDescent="0.3">
      <c r="C71" s="5" t="s">
        <v>63</v>
      </c>
      <c r="D71" s="5"/>
      <c r="E71" s="5"/>
      <c r="F71" s="218">
        <v>1</v>
      </c>
      <c r="G71" s="219">
        <v>0</v>
      </c>
      <c r="H71" s="219">
        <v>1</v>
      </c>
      <c r="I71" s="219">
        <v>1</v>
      </c>
      <c r="J71" s="219">
        <v>1</v>
      </c>
      <c r="K71" s="50"/>
      <c r="L71" s="55"/>
      <c r="M71" s="55"/>
      <c r="N71" s="55"/>
      <c r="O71" s="55"/>
      <c r="P71" s="32">
        <f t="shared" si="18"/>
        <v>-1</v>
      </c>
      <c r="Q71" s="32" t="e">
        <f t="shared" si="19"/>
        <v>#DIV/0!</v>
      </c>
      <c r="R71" s="32"/>
      <c r="S71" s="32"/>
      <c r="T71" s="30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</row>
    <row r="72" spans="3:144" x14ac:dyDescent="0.3">
      <c r="C72" s="5" t="s">
        <v>64</v>
      </c>
      <c r="D72" s="5"/>
      <c r="E72" s="5"/>
      <c r="F72" s="218">
        <v>1</v>
      </c>
      <c r="G72" s="219">
        <v>1</v>
      </c>
      <c r="H72" s="219">
        <v>1</v>
      </c>
      <c r="I72" s="219">
        <v>1</v>
      </c>
      <c r="J72" s="219">
        <v>2</v>
      </c>
      <c r="K72" s="50"/>
      <c r="L72" s="55"/>
      <c r="M72" s="55"/>
      <c r="N72" s="55"/>
      <c r="O72" s="55"/>
      <c r="P72" s="32">
        <f t="shared" si="18"/>
        <v>0.375</v>
      </c>
      <c r="Q72" s="32">
        <f t="shared" si="19"/>
        <v>1.2727272727272727</v>
      </c>
      <c r="R72" s="32">
        <f>SUM(J79,-I79)/I79</f>
        <v>0.4</v>
      </c>
      <c r="S72" s="32"/>
      <c r="T72" s="30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</row>
    <row r="73" spans="3:144" ht="16.2" x14ac:dyDescent="0.35">
      <c r="C73" s="58" t="s">
        <v>162</v>
      </c>
      <c r="D73" s="5"/>
      <c r="E73" s="5"/>
      <c r="F73" s="218">
        <v>1</v>
      </c>
      <c r="G73" s="219">
        <v>0</v>
      </c>
      <c r="H73" s="219">
        <v>0</v>
      </c>
      <c r="I73" s="219">
        <v>0</v>
      </c>
      <c r="J73" s="219">
        <v>0</v>
      </c>
      <c r="K73" s="50"/>
      <c r="L73" s="55"/>
      <c r="M73" s="55"/>
      <c r="N73" s="55"/>
      <c r="O73" s="55"/>
      <c r="P73" s="34">
        <f t="shared" si="18"/>
        <v>-0.44473007712082263</v>
      </c>
      <c r="Q73" s="34">
        <f t="shared" si="19"/>
        <v>0.44907407407407407</v>
      </c>
      <c r="R73" s="34">
        <f>SUM(J80,-I80)/I80</f>
        <v>0.81150159744408945</v>
      </c>
      <c r="S73" s="34">
        <f>SUM(T73,-J80)/J80</f>
        <v>0.66843033509700178</v>
      </c>
      <c r="T73" s="38">
        <v>946</v>
      </c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</row>
    <row r="74" spans="3:144" x14ac:dyDescent="0.3">
      <c r="C74" s="5" t="s">
        <v>65</v>
      </c>
      <c r="D74" s="5"/>
      <c r="E74" s="5"/>
      <c r="F74" s="218">
        <v>12</v>
      </c>
      <c r="G74" s="219">
        <v>13</v>
      </c>
      <c r="H74" s="219">
        <v>0</v>
      </c>
      <c r="I74" s="219">
        <v>0</v>
      </c>
      <c r="J74" s="219">
        <v>0</v>
      </c>
      <c r="K74" s="50"/>
      <c r="L74" s="55"/>
      <c r="M74" s="55"/>
      <c r="N74" s="55"/>
      <c r="O74" s="55"/>
      <c r="P74" s="32"/>
      <c r="Q74" s="32"/>
      <c r="R74" s="32"/>
      <c r="S74" s="32"/>
      <c r="T74" s="30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</row>
    <row r="75" spans="3:144" x14ac:dyDescent="0.3">
      <c r="C75" s="5" t="s">
        <v>66</v>
      </c>
      <c r="D75" s="5"/>
      <c r="E75" s="5"/>
      <c r="F75" s="218">
        <v>5</v>
      </c>
      <c r="G75" s="219">
        <v>5</v>
      </c>
      <c r="H75" s="219">
        <v>3</v>
      </c>
      <c r="I75" s="219">
        <v>0</v>
      </c>
      <c r="J75" s="219">
        <v>2</v>
      </c>
      <c r="K75" s="50"/>
      <c r="L75" s="55"/>
      <c r="M75" s="55"/>
      <c r="N75" s="55"/>
      <c r="O75" s="55"/>
      <c r="P75" s="32">
        <f t="shared" ref="P75:R76" si="20">SUM(H82,-G82)/G82</f>
        <v>-0.96601941747572817</v>
      </c>
      <c r="Q75" s="32">
        <f t="shared" si="20"/>
        <v>1.1428571428571428</v>
      </c>
      <c r="R75" s="32">
        <f t="shared" si="20"/>
        <v>-0.4</v>
      </c>
      <c r="S75" s="32"/>
      <c r="T75" s="30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</row>
    <row r="76" spans="3:144" x14ac:dyDescent="0.3">
      <c r="C76" s="5" t="s">
        <v>67</v>
      </c>
      <c r="D76" s="5"/>
      <c r="E76" s="5"/>
      <c r="F76" s="218">
        <v>1</v>
      </c>
      <c r="G76" s="219">
        <v>1</v>
      </c>
      <c r="H76" s="219">
        <v>1</v>
      </c>
      <c r="I76" s="219">
        <v>2</v>
      </c>
      <c r="J76" s="219">
        <v>2</v>
      </c>
      <c r="K76" s="50"/>
      <c r="L76" s="55"/>
      <c r="M76" s="55"/>
      <c r="N76" s="55"/>
      <c r="O76" s="55"/>
      <c r="P76" s="32">
        <f t="shared" si="20"/>
        <v>-0.9</v>
      </c>
      <c r="Q76" s="32">
        <f t="shared" si="20"/>
        <v>0</v>
      </c>
      <c r="R76" s="32">
        <f t="shared" si="20"/>
        <v>0</v>
      </c>
      <c r="S76" s="32"/>
      <c r="T76" s="30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</row>
    <row r="77" spans="3:144" x14ac:dyDescent="0.3">
      <c r="C77" s="5" t="s">
        <v>68</v>
      </c>
      <c r="D77" s="5"/>
      <c r="E77" s="5"/>
      <c r="F77" s="218">
        <v>0</v>
      </c>
      <c r="G77" s="219">
        <v>3</v>
      </c>
      <c r="H77" s="219">
        <v>3</v>
      </c>
      <c r="I77" s="219">
        <v>2</v>
      </c>
      <c r="J77" s="219">
        <v>3</v>
      </c>
      <c r="K77" s="50"/>
      <c r="L77" s="55"/>
      <c r="M77" s="55"/>
      <c r="N77" s="55"/>
      <c r="O77" s="55"/>
      <c r="P77" s="32">
        <f>SUM(H84,-G84)/G84</f>
        <v>-1</v>
      </c>
      <c r="Q77" s="32"/>
      <c r="R77" s="32"/>
      <c r="S77" s="32"/>
      <c r="T77" s="30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</row>
    <row r="78" spans="3:144" x14ac:dyDescent="0.3">
      <c r="C78" s="5" t="s">
        <v>69</v>
      </c>
      <c r="D78" s="5"/>
      <c r="E78" s="5"/>
      <c r="F78" s="218">
        <v>0</v>
      </c>
      <c r="G78" s="219">
        <v>3</v>
      </c>
      <c r="H78" s="219">
        <v>0</v>
      </c>
      <c r="I78" s="219">
        <v>0</v>
      </c>
      <c r="J78" s="219">
        <v>0</v>
      </c>
      <c r="K78" s="50"/>
      <c r="L78" s="55"/>
      <c r="M78" s="55"/>
      <c r="N78" s="55"/>
      <c r="O78" s="55"/>
      <c r="P78" s="34">
        <f>SUM(H85,-G85)/G85</f>
        <v>-0.96330275229357798</v>
      </c>
      <c r="Q78" s="34">
        <f>SUM(I85,-H85)/H85</f>
        <v>1</v>
      </c>
      <c r="R78" s="34">
        <f>SUM(J85,-I85)/I85</f>
        <v>-0.375</v>
      </c>
      <c r="S78" s="34">
        <f>SUM(T78,-J85)/J85</f>
        <v>0.3</v>
      </c>
      <c r="T78" s="38">
        <v>13</v>
      </c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</row>
    <row r="79" spans="3:144" x14ac:dyDescent="0.3">
      <c r="C79" s="5" t="s">
        <v>70</v>
      </c>
      <c r="D79" s="5"/>
      <c r="E79" s="5"/>
      <c r="F79" s="218">
        <v>9</v>
      </c>
      <c r="G79" s="219">
        <v>8</v>
      </c>
      <c r="H79" s="219">
        <v>11</v>
      </c>
      <c r="I79" s="219">
        <v>25</v>
      </c>
      <c r="J79" s="219">
        <v>35</v>
      </c>
      <c r="K79" s="50"/>
      <c r="L79" s="55"/>
      <c r="M79" s="55"/>
      <c r="N79" s="55"/>
      <c r="O79" s="55"/>
      <c r="P79" s="56">
        <f t="shared" ref="P79:R81" si="21">SUM(H87,-G87)/G87</f>
        <v>0.52857142857142858</v>
      </c>
      <c r="Q79" s="56">
        <f t="shared" si="21"/>
        <v>-0.54205607476635509</v>
      </c>
      <c r="R79" s="56">
        <f t="shared" si="21"/>
        <v>0.2857142857142857</v>
      </c>
      <c r="S79" s="56">
        <f>SUM(T79,-J87)/J87</f>
        <v>-0.19047619047619047</v>
      </c>
      <c r="T79" s="59">
        <v>51</v>
      </c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</row>
    <row r="80" spans="3:144" x14ac:dyDescent="0.3">
      <c r="C80" s="10" t="s">
        <v>16</v>
      </c>
      <c r="D80" s="11"/>
      <c r="E80" s="12"/>
      <c r="F80" s="234">
        <f>SUM(F62,F63)</f>
        <v>183</v>
      </c>
      <c r="G80" s="235">
        <f>SUM(G62,G63)</f>
        <v>389</v>
      </c>
      <c r="H80" s="235">
        <f>SUM(H62,H63)</f>
        <v>216</v>
      </c>
      <c r="I80" s="235">
        <f>SUM(I62,I63)</f>
        <v>313</v>
      </c>
      <c r="J80" s="235">
        <f>SUM(J62,J63)</f>
        <v>567</v>
      </c>
      <c r="K80" s="53"/>
      <c r="L80" s="55"/>
      <c r="M80" s="55"/>
      <c r="N80" s="55"/>
      <c r="O80" s="55"/>
      <c r="P80" s="56">
        <f t="shared" si="21"/>
        <v>0.71890547263681592</v>
      </c>
      <c r="Q80" s="56">
        <f t="shared" si="21"/>
        <v>-9.6960926193921854E-2</v>
      </c>
      <c r="R80" s="56">
        <f t="shared" si="21"/>
        <v>-0.30448717948717946</v>
      </c>
      <c r="S80" s="56">
        <f>SUM(T80,-J88)/J88</f>
        <v>-0.29262672811059909</v>
      </c>
      <c r="T80" s="59">
        <v>307</v>
      </c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</row>
    <row r="81" spans="3:144" x14ac:dyDescent="0.3">
      <c r="C81" s="8" t="s">
        <v>71</v>
      </c>
      <c r="D81" s="5"/>
      <c r="E81" s="5"/>
      <c r="F81" s="232"/>
      <c r="G81" s="233"/>
      <c r="H81" s="233"/>
      <c r="I81" s="233"/>
      <c r="J81" s="233"/>
      <c r="K81" s="50"/>
      <c r="L81" s="55"/>
      <c r="M81" s="55"/>
      <c r="N81" s="55"/>
      <c r="O81" s="55"/>
      <c r="P81" s="39">
        <f t="shared" si="21"/>
        <v>-7.159202353710363E-2</v>
      </c>
      <c r="Q81" s="39">
        <f t="shared" si="21"/>
        <v>4.5774647887323945E-2</v>
      </c>
      <c r="R81" s="39">
        <f t="shared" si="21"/>
        <v>4.7138047138047139E-2</v>
      </c>
      <c r="S81" s="39">
        <f>SUM(T81,-J89)/J89</f>
        <v>0.1180064308681672</v>
      </c>
      <c r="T81" s="40">
        <f>SUM(T80,T79,T78,T73,T53,T48,)</f>
        <v>3477</v>
      </c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</row>
    <row r="82" spans="3:144" x14ac:dyDescent="0.3">
      <c r="C82" s="5" t="s">
        <v>72</v>
      </c>
      <c r="D82" s="5"/>
      <c r="E82" s="5"/>
      <c r="F82" s="218">
        <v>165</v>
      </c>
      <c r="G82" s="219">
        <v>206</v>
      </c>
      <c r="H82" s="219">
        <v>7</v>
      </c>
      <c r="I82" s="219">
        <v>15</v>
      </c>
      <c r="J82" s="219">
        <v>9</v>
      </c>
      <c r="K82" s="50"/>
      <c r="L82" s="55"/>
      <c r="M82" s="55"/>
      <c r="N82" s="55"/>
      <c r="O82" s="55"/>
      <c r="P82" s="29"/>
      <c r="Q82" s="29"/>
      <c r="R82" s="29"/>
      <c r="S82" s="29"/>
      <c r="T82" s="30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</row>
    <row r="83" spans="3:144" x14ac:dyDescent="0.3">
      <c r="C83" s="5" t="s">
        <v>73</v>
      </c>
      <c r="D83" s="5"/>
      <c r="E83" s="5"/>
      <c r="F83" s="218">
        <v>6</v>
      </c>
      <c r="G83" s="219">
        <v>10</v>
      </c>
      <c r="H83" s="219">
        <v>1</v>
      </c>
      <c r="I83" s="219">
        <v>1</v>
      </c>
      <c r="J83" s="219">
        <v>1</v>
      </c>
      <c r="K83" s="50"/>
      <c r="L83" s="55"/>
      <c r="M83" s="55"/>
      <c r="N83" s="55"/>
      <c r="O83" s="55"/>
      <c r="P83" s="56">
        <f>SUM(H91,-G91)/G91</f>
        <v>36.333333333333336</v>
      </c>
      <c r="Q83" s="56">
        <f>SUM(I91,-H91)/H91</f>
        <v>-0.5</v>
      </c>
      <c r="R83" s="56">
        <f>SUM(J91,-I91)/I91</f>
        <v>-1</v>
      </c>
      <c r="S83" s="56"/>
      <c r="T83" s="59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</row>
    <row r="84" spans="3:144" x14ac:dyDescent="0.3">
      <c r="C84" s="5" t="s">
        <v>74</v>
      </c>
      <c r="D84" s="5"/>
      <c r="E84" s="5"/>
      <c r="F84" s="218">
        <v>0</v>
      </c>
      <c r="G84" s="219">
        <v>2</v>
      </c>
      <c r="H84" s="219">
        <v>0</v>
      </c>
      <c r="I84" s="219">
        <v>0</v>
      </c>
      <c r="J84" s="219">
        <v>0</v>
      </c>
      <c r="K84" s="50"/>
      <c r="L84" s="55"/>
      <c r="M84" s="55"/>
      <c r="N84" s="55"/>
      <c r="O84" s="55"/>
      <c r="P84" s="29"/>
      <c r="Q84" s="29"/>
      <c r="R84" s="29"/>
      <c r="S84" s="29"/>
      <c r="T84" s="30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</row>
    <row r="85" spans="3:144" x14ac:dyDescent="0.3">
      <c r="C85" s="10" t="s">
        <v>16</v>
      </c>
      <c r="D85" s="11"/>
      <c r="E85" s="11"/>
      <c r="F85" s="234">
        <f>SUM(F82:F84)</f>
        <v>171</v>
      </c>
      <c r="G85" s="235">
        <f>SUM(G82:G84)</f>
        <v>218</v>
      </c>
      <c r="H85" s="235">
        <f>SUM(H82:H84)</f>
        <v>8</v>
      </c>
      <c r="I85" s="235">
        <f>SUM(I82:I84)</f>
        <v>16</v>
      </c>
      <c r="J85" s="235">
        <f>SUM(J82:J84)</f>
        <v>10</v>
      </c>
      <c r="K85" s="50"/>
      <c r="L85" s="55"/>
      <c r="M85" s="55"/>
      <c r="N85" s="55"/>
      <c r="O85" s="55"/>
      <c r="P85" s="41">
        <f ca="1">SUM(H93,-G93)/G93</f>
        <v>-4.216809473380187E-2</v>
      </c>
      <c r="Q85" s="41">
        <f ca="1">SUM(I93,-H93)/H93</f>
        <v>3.8596843903909939E-2</v>
      </c>
      <c r="R85" s="41">
        <f ca="1">SUM(J93,-I93)/I93</f>
        <v>3.7936707635730184E-2</v>
      </c>
      <c r="S85" s="41">
        <f ca="1">SUM(T85,-J93)/J93</f>
        <v>4.7272727272727272E-2</v>
      </c>
      <c r="T85" s="42">
        <f>SUM(T83,T81,T37)</f>
        <v>11232</v>
      </c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</row>
    <row r="86" spans="3:144" x14ac:dyDescent="0.3">
      <c r="C86" s="14" t="s">
        <v>371</v>
      </c>
      <c r="D86" s="14"/>
      <c r="E86" s="14"/>
      <c r="F86" s="236">
        <v>171</v>
      </c>
      <c r="G86" s="237">
        <v>218</v>
      </c>
      <c r="H86" s="237">
        <v>8</v>
      </c>
      <c r="I86" s="237">
        <v>16</v>
      </c>
      <c r="J86" s="237">
        <v>10</v>
      </c>
      <c r="K86" s="53"/>
      <c r="L86" s="55"/>
      <c r="M86" s="55"/>
      <c r="N86" s="55"/>
      <c r="O86" s="55"/>
      <c r="P86" s="32"/>
      <c r="Q86" s="32"/>
      <c r="R86" s="32"/>
      <c r="S86" s="32"/>
      <c r="T86" s="30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</row>
    <row r="87" spans="3:144" x14ac:dyDescent="0.3">
      <c r="C87" s="8" t="s">
        <v>75</v>
      </c>
      <c r="D87" s="5" t="s">
        <v>76</v>
      </c>
      <c r="E87" s="5"/>
      <c r="F87" s="244">
        <v>71</v>
      </c>
      <c r="G87" s="245">
        <v>70</v>
      </c>
      <c r="H87" s="245">
        <v>107</v>
      </c>
      <c r="I87" s="245">
        <v>49</v>
      </c>
      <c r="J87" s="245">
        <v>63</v>
      </c>
      <c r="K87" s="50"/>
      <c r="L87" s="55"/>
      <c r="M87" s="55"/>
      <c r="N87" s="55"/>
      <c r="O87" s="55"/>
      <c r="P87" s="32">
        <f t="shared" ref="P87:R89" si="22">SUM(H97,-G97)/G97</f>
        <v>0</v>
      </c>
      <c r="Q87" s="32">
        <f t="shared" si="22"/>
        <v>0</v>
      </c>
      <c r="R87" s="32">
        <f t="shared" si="22"/>
        <v>0</v>
      </c>
      <c r="S87" s="32">
        <f>SUM(T87,-J97)/J97</f>
        <v>0</v>
      </c>
      <c r="T87" s="30">
        <v>1629</v>
      </c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</row>
    <row r="88" spans="3:144" x14ac:dyDescent="0.3">
      <c r="C88" s="8" t="s">
        <v>77</v>
      </c>
      <c r="D88" s="5" t="s">
        <v>78</v>
      </c>
      <c r="E88" s="5"/>
      <c r="F88" s="244">
        <v>636</v>
      </c>
      <c r="G88" s="245">
        <v>402</v>
      </c>
      <c r="H88" s="245">
        <v>691</v>
      </c>
      <c r="I88" s="245">
        <v>624</v>
      </c>
      <c r="J88" s="245">
        <v>434</v>
      </c>
      <c r="K88" s="50"/>
      <c r="L88" s="55"/>
      <c r="M88" s="55"/>
      <c r="N88" s="55"/>
      <c r="O88" s="55"/>
      <c r="P88" s="32">
        <f t="shared" si="22"/>
        <v>0</v>
      </c>
      <c r="Q88" s="32">
        <f t="shared" si="22"/>
        <v>0</v>
      </c>
      <c r="R88" s="32">
        <f t="shared" si="22"/>
        <v>0</v>
      </c>
      <c r="S88" s="32">
        <f>SUM(T88,-J98)/J98</f>
        <v>0</v>
      </c>
      <c r="T88" s="30">
        <v>-54</v>
      </c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</row>
    <row r="89" spans="3:144" x14ac:dyDescent="0.3">
      <c r="C89" s="15" t="s">
        <v>79</v>
      </c>
      <c r="D89" s="16"/>
      <c r="E89" s="16"/>
      <c r="F89" s="246">
        <f>SUM(F88,F87,F85,F80,F60,F55,)</f>
        <v>2730</v>
      </c>
      <c r="G89" s="247">
        <f>SUM(G88,G87,G85,G80,G60,G55,)</f>
        <v>3059</v>
      </c>
      <c r="H89" s="247">
        <f>SUM(H88,H87,H85,H80,H60,H55,)</f>
        <v>2840</v>
      </c>
      <c r="I89" s="247">
        <f>SUM(I88,I87,I85,I80,I60,I55,)</f>
        <v>2970</v>
      </c>
      <c r="J89" s="247">
        <f>SUM(J88,J87,J85,J80,J60,J55,)</f>
        <v>3110</v>
      </c>
      <c r="K89" s="50"/>
      <c r="L89" s="55"/>
      <c r="M89" s="55"/>
      <c r="N89" s="55"/>
      <c r="O89" s="55"/>
      <c r="P89" s="32">
        <f t="shared" si="22"/>
        <v>9.9020674646354737E-2</v>
      </c>
      <c r="Q89" s="32">
        <f t="shared" si="22"/>
        <v>0.20396039603960395</v>
      </c>
      <c r="R89" s="32">
        <f t="shared" si="22"/>
        <v>8.9638157894736836E-2</v>
      </c>
      <c r="S89" s="32">
        <f>SUM(T89,-J99)/J99</f>
        <v>0.26867924528301884</v>
      </c>
      <c r="T89" s="30">
        <v>1681</v>
      </c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</row>
    <row r="90" spans="3:144" x14ac:dyDescent="0.3">
      <c r="C90" s="17"/>
      <c r="D90" s="17"/>
      <c r="E90" s="5"/>
      <c r="F90" s="248"/>
      <c r="G90" s="233"/>
      <c r="H90" s="233"/>
      <c r="I90" s="233"/>
      <c r="J90" s="233"/>
      <c r="K90" s="50"/>
      <c r="L90" s="55"/>
      <c r="M90" s="55"/>
      <c r="N90" s="55"/>
      <c r="O90" s="55"/>
      <c r="P90" s="36"/>
      <c r="Q90" s="36"/>
      <c r="R90" s="36"/>
      <c r="S90" s="36"/>
      <c r="T90" s="37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/>
      <c r="EK90" s="1"/>
      <c r="EL90" s="1"/>
      <c r="EM90" s="1"/>
      <c r="EN90" s="1"/>
    </row>
    <row r="91" spans="3:144" x14ac:dyDescent="0.3">
      <c r="C91" s="8" t="s">
        <v>80</v>
      </c>
      <c r="D91" s="5" t="s">
        <v>81</v>
      </c>
      <c r="E91" s="5"/>
      <c r="F91" s="244">
        <v>205</v>
      </c>
      <c r="G91" s="245">
        <v>6</v>
      </c>
      <c r="H91" s="245">
        <v>224</v>
      </c>
      <c r="I91" s="245">
        <v>112</v>
      </c>
      <c r="J91" s="245">
        <v>0</v>
      </c>
      <c r="K91" s="50"/>
      <c r="L91" s="55"/>
      <c r="M91" s="55"/>
      <c r="N91" s="55"/>
      <c r="O91" s="55"/>
      <c r="P91" s="36">
        <f>SUM(H101,G101)/G101</f>
        <v>14.5</v>
      </c>
      <c r="Q91" s="36">
        <f t="shared" ref="Q91:Q100" si="23">SUM(I101,-H101)/H101</f>
        <v>-0.66666666666666663</v>
      </c>
      <c r="R91" s="36">
        <f t="shared" ref="R91:R100" si="24">SUM(J101,-I101)/I101</f>
        <v>3.5555555555555554</v>
      </c>
      <c r="S91" s="36"/>
      <c r="T91" s="37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1"/>
      <c r="EK91" s="1"/>
      <c r="EL91" s="1"/>
      <c r="EM91" s="1"/>
      <c r="EN91" s="1"/>
    </row>
    <row r="92" spans="3:144" x14ac:dyDescent="0.3">
      <c r="C92" s="17"/>
      <c r="D92" s="17"/>
      <c r="E92" s="5"/>
      <c r="F92" s="232"/>
      <c r="G92" s="233"/>
      <c r="H92" s="233"/>
      <c r="I92" s="233"/>
      <c r="J92" s="233"/>
      <c r="K92" s="50"/>
      <c r="L92" s="55"/>
      <c r="M92" s="55"/>
      <c r="N92" s="55"/>
      <c r="O92" s="55"/>
      <c r="P92" s="36"/>
      <c r="Q92" s="36">
        <f t="shared" si="23"/>
        <v>-0.7142857142857143</v>
      </c>
      <c r="R92" s="36">
        <f t="shared" si="24"/>
        <v>4.5</v>
      </c>
      <c r="S92" s="36"/>
      <c r="T92" s="37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  <c r="DZ92" s="1"/>
      <c r="EA92" s="1"/>
      <c r="EB92" s="1"/>
      <c r="EC92" s="1"/>
      <c r="ED92" s="1"/>
      <c r="EE92" s="1"/>
      <c r="EF92" s="1"/>
      <c r="EG92" s="1"/>
      <c r="EH92" s="1"/>
      <c r="EI92" s="1"/>
      <c r="EJ92" s="1"/>
      <c r="EK92" s="1"/>
      <c r="EL92" s="1"/>
      <c r="EM92" s="1"/>
      <c r="EN92" s="1"/>
    </row>
    <row r="93" spans="3:144" x14ac:dyDescent="0.3">
      <c r="C93" s="18" t="s">
        <v>82</v>
      </c>
      <c r="D93" s="19" t="s">
        <v>83</v>
      </c>
      <c r="E93" s="20"/>
      <c r="F93" s="249">
        <f ca="1">SUM(F91,F89,F44)</f>
        <v>9801</v>
      </c>
      <c r="G93" s="250">
        <f ca="1">SUM(G91,G89,G44)</f>
        <v>10387</v>
      </c>
      <c r="H93" s="250">
        <f ca="1">SUM(H91,H89,H44)</f>
        <v>9949</v>
      </c>
      <c r="I93" s="250">
        <f ca="1">SUM(I91,I89,I44)</f>
        <v>10333</v>
      </c>
      <c r="J93" s="250">
        <f ca="1">SUM(J91,J89,J44)</f>
        <v>10725</v>
      </c>
      <c r="K93" s="50"/>
      <c r="L93" s="55"/>
      <c r="M93" s="55"/>
      <c r="N93" s="55"/>
      <c r="O93" s="55"/>
      <c r="P93" s="32">
        <f t="shared" ref="P93:P100" si="25">SUM(H103,-G103)/G103</f>
        <v>9</v>
      </c>
      <c r="Q93" s="32">
        <f t="shared" si="23"/>
        <v>-0.65</v>
      </c>
      <c r="R93" s="32">
        <f t="shared" si="24"/>
        <v>3.2857142857142856</v>
      </c>
      <c r="S93" s="32"/>
      <c r="T93" s="30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1"/>
      <c r="DZ93" s="1"/>
      <c r="EA93" s="1"/>
      <c r="EB93" s="1"/>
      <c r="EC93" s="1"/>
      <c r="ED93" s="1"/>
      <c r="EE93" s="1"/>
      <c r="EF93" s="1"/>
      <c r="EG93" s="1"/>
      <c r="EH93" s="1"/>
      <c r="EI93" s="1"/>
      <c r="EJ93" s="1"/>
      <c r="EK93" s="1"/>
      <c r="EL93" s="1"/>
      <c r="EM93" s="1"/>
      <c r="EN93" s="1"/>
    </row>
    <row r="94" spans="3:144" x14ac:dyDescent="0.3">
      <c r="C94" s="8"/>
      <c r="D94" s="21"/>
      <c r="E94" s="5"/>
      <c r="F94" s="232"/>
      <c r="G94" s="233"/>
      <c r="H94" s="233"/>
      <c r="I94" s="233"/>
      <c r="J94" s="233"/>
      <c r="K94" s="50"/>
      <c r="L94" s="55"/>
      <c r="M94" s="55"/>
      <c r="N94" s="55"/>
      <c r="O94" s="55"/>
      <c r="P94" s="32">
        <f t="shared" si="25"/>
        <v>-0.2087912087912088</v>
      </c>
      <c r="Q94" s="32">
        <f t="shared" si="23"/>
        <v>-2.7777777777777776E-2</v>
      </c>
      <c r="R94" s="32">
        <f t="shared" si="24"/>
        <v>0.1</v>
      </c>
      <c r="S94" s="32"/>
      <c r="T94" s="30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1"/>
      <c r="DZ94" s="1"/>
      <c r="EA94" s="1"/>
      <c r="EB94" s="1"/>
      <c r="EC94" s="1"/>
      <c r="ED94" s="1"/>
      <c r="EE94" s="1"/>
      <c r="EF94" s="1"/>
      <c r="EG94" s="1"/>
      <c r="EH94" s="1"/>
      <c r="EI94" s="1"/>
      <c r="EJ94" s="1"/>
      <c r="EK94" s="1"/>
      <c r="EL94" s="1"/>
      <c r="EM94" s="1"/>
      <c r="EN94" s="1"/>
    </row>
    <row r="95" spans="3:144" ht="21" x14ac:dyDescent="0.4">
      <c r="C95" s="141" t="s">
        <v>84</v>
      </c>
      <c r="D95" s="22"/>
      <c r="E95" s="22"/>
      <c r="F95" s="251"/>
      <c r="G95" s="233"/>
      <c r="H95" s="233"/>
      <c r="I95" s="233"/>
      <c r="J95" s="233"/>
      <c r="K95" s="50"/>
      <c r="L95" s="55"/>
      <c r="M95" s="55"/>
      <c r="N95" s="55"/>
      <c r="O95" s="55"/>
      <c r="P95" s="32">
        <f t="shared" si="25"/>
        <v>-0.26923076923076922</v>
      </c>
      <c r="Q95" s="32">
        <f t="shared" si="23"/>
        <v>-5.2631578947368418E-2</v>
      </c>
      <c r="R95" s="32">
        <f t="shared" si="24"/>
        <v>0.1111111111111111</v>
      </c>
      <c r="S95" s="32"/>
      <c r="T95" s="30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1"/>
      <c r="DZ95" s="1"/>
      <c r="EA95" s="1"/>
      <c r="EB95" s="1"/>
      <c r="EC95" s="1"/>
      <c r="ED95" s="1"/>
      <c r="EE95" s="1"/>
      <c r="EF95" s="1"/>
      <c r="EG95" s="1"/>
      <c r="EH95" s="1"/>
      <c r="EI95" s="1"/>
      <c r="EJ95" s="1"/>
      <c r="EK95" s="1"/>
      <c r="EL95" s="1"/>
      <c r="EM95" s="1"/>
      <c r="EN95" s="1"/>
    </row>
    <row r="96" spans="3:144" ht="19.2" x14ac:dyDescent="0.4">
      <c r="C96" s="6" t="s">
        <v>85</v>
      </c>
      <c r="D96" s="5" t="s">
        <v>86</v>
      </c>
      <c r="E96" s="5"/>
      <c r="F96" s="232"/>
      <c r="G96" s="233"/>
      <c r="H96" s="233"/>
      <c r="I96" s="233"/>
      <c r="J96" s="233"/>
      <c r="K96" s="50"/>
      <c r="L96" s="55"/>
      <c r="M96" s="55"/>
      <c r="N96" s="55"/>
      <c r="O96" s="55"/>
      <c r="P96" s="32">
        <f t="shared" si="25"/>
        <v>-0.18461538461538463</v>
      </c>
      <c r="Q96" s="32">
        <f t="shared" si="23"/>
        <v>-1.8867924528301886E-2</v>
      </c>
      <c r="R96" s="32">
        <f t="shared" si="24"/>
        <v>9.6153846153846159E-2</v>
      </c>
      <c r="S96" s="32"/>
      <c r="T96" s="30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  <c r="DY96" s="1"/>
      <c r="DZ96" s="1"/>
      <c r="EA96" s="1"/>
      <c r="EB96" s="1"/>
      <c r="EC96" s="1"/>
      <c r="ED96" s="1"/>
      <c r="EE96" s="1"/>
      <c r="EF96" s="1"/>
      <c r="EG96" s="1"/>
      <c r="EH96" s="1"/>
      <c r="EI96" s="1"/>
      <c r="EJ96" s="1"/>
      <c r="EK96" s="1"/>
      <c r="EL96" s="1"/>
      <c r="EM96" s="1"/>
      <c r="EN96" s="1"/>
    </row>
    <row r="97" spans="3:144" x14ac:dyDescent="0.3">
      <c r="C97" s="5" t="s">
        <v>87</v>
      </c>
      <c r="D97" s="5" t="s">
        <v>88</v>
      </c>
      <c r="E97" s="5"/>
      <c r="F97" s="232">
        <v>1629</v>
      </c>
      <c r="G97" s="233">
        <v>1629</v>
      </c>
      <c r="H97" s="233">
        <v>1629</v>
      </c>
      <c r="I97" s="233">
        <v>1629</v>
      </c>
      <c r="J97" s="233">
        <v>1629</v>
      </c>
      <c r="K97" s="50"/>
      <c r="L97" s="55"/>
      <c r="M97" s="55"/>
      <c r="N97" s="55"/>
      <c r="O97" s="55"/>
      <c r="P97" s="32">
        <f t="shared" si="25"/>
        <v>0.26293103448275862</v>
      </c>
      <c r="Q97" s="32">
        <f t="shared" si="23"/>
        <v>0.17406143344709898</v>
      </c>
      <c r="R97" s="32">
        <f t="shared" si="24"/>
        <v>0.1308139534883721</v>
      </c>
      <c r="S97" s="32">
        <f>SUM(T97,-J107)/J107</f>
        <v>-0.71208226221079696</v>
      </c>
      <c r="T97" s="30">
        <v>112</v>
      </c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1"/>
      <c r="DZ97" s="1"/>
      <c r="EA97" s="1"/>
      <c r="EB97" s="1"/>
      <c r="EC97" s="1"/>
      <c r="ED97" s="1"/>
      <c r="EE97" s="1"/>
      <c r="EF97" s="1"/>
      <c r="EG97" s="1"/>
      <c r="EH97" s="1"/>
      <c r="EI97" s="1"/>
      <c r="EJ97" s="1"/>
      <c r="EK97" s="1"/>
      <c r="EL97" s="1"/>
      <c r="EM97" s="1"/>
      <c r="EN97" s="1"/>
    </row>
    <row r="98" spans="3:144" x14ac:dyDescent="0.3">
      <c r="C98" s="5" t="s">
        <v>161</v>
      </c>
      <c r="D98" s="5" t="s">
        <v>89</v>
      </c>
      <c r="E98" s="5"/>
      <c r="F98" s="232">
        <v>-61</v>
      </c>
      <c r="G98" s="233">
        <v>-54</v>
      </c>
      <c r="H98" s="233">
        <v>-54</v>
      </c>
      <c r="I98" s="233">
        <v>-54</v>
      </c>
      <c r="J98" s="233">
        <v>-54</v>
      </c>
      <c r="K98" s="50"/>
      <c r="L98" s="55"/>
      <c r="M98" s="55"/>
      <c r="N98" s="55"/>
      <c r="O98" s="55"/>
      <c r="P98" s="39">
        <f t="shared" si="25"/>
        <v>5.5759354365370509E-2</v>
      </c>
      <c r="Q98" s="39">
        <f t="shared" si="23"/>
        <v>8.9298123697011816E-2</v>
      </c>
      <c r="R98" s="39">
        <f t="shared" si="24"/>
        <v>4.912280701754386E-2</v>
      </c>
      <c r="S98" s="39">
        <f>SUM(T98,-J108)/J108</f>
        <v>2.4019458802067496E-2</v>
      </c>
      <c r="T98" s="40">
        <f t="shared" ref="T98" si="26">SUM(T87,T88,T89,T97,)</f>
        <v>3368</v>
      </c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  <c r="DY98" s="1"/>
      <c r="DZ98" s="1"/>
      <c r="EA98" s="1"/>
      <c r="EB98" s="1"/>
      <c r="EC98" s="1"/>
      <c r="ED98" s="1"/>
      <c r="EE98" s="1"/>
      <c r="EF98" s="1"/>
      <c r="EG98" s="1"/>
      <c r="EH98" s="1"/>
      <c r="EI98" s="1"/>
      <c r="EJ98" s="1"/>
      <c r="EK98" s="1"/>
      <c r="EL98" s="1"/>
      <c r="EM98" s="1"/>
      <c r="EN98" s="1"/>
    </row>
    <row r="99" spans="3:144" x14ac:dyDescent="0.3">
      <c r="C99" s="5" t="s">
        <v>160</v>
      </c>
      <c r="D99" s="5" t="s">
        <v>90</v>
      </c>
      <c r="E99" s="5"/>
      <c r="F99" s="232">
        <v>1005</v>
      </c>
      <c r="G99" s="233">
        <v>919</v>
      </c>
      <c r="H99" s="233">
        <v>1010</v>
      </c>
      <c r="I99" s="233">
        <v>1216</v>
      </c>
      <c r="J99" s="233">
        <v>1325</v>
      </c>
      <c r="K99" s="50"/>
      <c r="L99" s="55"/>
      <c r="M99" s="55"/>
      <c r="N99" s="55"/>
      <c r="O99" s="55"/>
      <c r="P99" s="32">
        <f t="shared" si="25"/>
        <v>-0.75587703435804698</v>
      </c>
      <c r="Q99" s="32">
        <f t="shared" si="23"/>
        <v>1.874074074074074</v>
      </c>
      <c r="R99" s="32">
        <f t="shared" si="24"/>
        <v>-6.7010309278350513E-2</v>
      </c>
      <c r="S99" s="32">
        <f>SUM(T99,-J109)/J109</f>
        <v>4.4198895027624308E-2</v>
      </c>
      <c r="T99" s="30">
        <v>378</v>
      </c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  <c r="DY99" s="1"/>
      <c r="DZ99" s="1"/>
      <c r="EA99" s="1"/>
      <c r="EB99" s="1"/>
      <c r="EC99" s="1"/>
      <c r="ED99" s="1"/>
      <c r="EE99" s="1"/>
      <c r="EF99" s="1"/>
      <c r="EG99" s="1"/>
      <c r="EH99" s="1"/>
      <c r="EI99" s="1"/>
      <c r="EJ99" s="1"/>
      <c r="EK99" s="1"/>
      <c r="EL99" s="1"/>
      <c r="EM99" s="1"/>
      <c r="EN99" s="1"/>
    </row>
    <row r="100" spans="3:144" x14ac:dyDescent="0.3">
      <c r="C100" s="14" t="s">
        <v>17</v>
      </c>
      <c r="D100" s="14"/>
      <c r="E100" s="14"/>
      <c r="F100" s="236"/>
      <c r="G100" s="237"/>
      <c r="H100" s="237"/>
      <c r="I100" s="237"/>
      <c r="J100" s="237"/>
      <c r="K100" s="50"/>
      <c r="L100" s="55"/>
      <c r="M100" s="55"/>
      <c r="N100" s="55"/>
      <c r="O100" s="55"/>
      <c r="P100" s="43">
        <f t="shared" si="25"/>
        <v>-8.1122293382128702E-2</v>
      </c>
      <c r="Q100" s="43">
        <f t="shared" si="23"/>
        <v>0.16926651178227681</v>
      </c>
      <c r="R100" s="43">
        <f t="shared" si="24"/>
        <v>3.6332671019017881E-2</v>
      </c>
      <c r="S100" s="43">
        <f>SUM(T100,-J110)/J110</f>
        <v>2.6020268419611064E-2</v>
      </c>
      <c r="T100" s="44">
        <f t="shared" ref="T100" si="27">SUM(T99,T98)</f>
        <v>3746</v>
      </c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/>
      <c r="DV100" s="1"/>
      <c r="DW100" s="1"/>
      <c r="DX100" s="1"/>
      <c r="DY100" s="1"/>
      <c r="DZ100" s="1"/>
      <c r="EA100" s="1"/>
      <c r="EB100" s="1"/>
      <c r="EC100" s="1"/>
      <c r="ED100" s="1"/>
      <c r="EE100" s="1"/>
      <c r="EF100" s="1"/>
      <c r="EG100" s="1"/>
      <c r="EH100" s="1"/>
      <c r="EI100" s="1"/>
      <c r="EJ100" s="1"/>
      <c r="EK100" s="1"/>
      <c r="EL100" s="1"/>
      <c r="EM100" s="1"/>
      <c r="EN100" s="1"/>
    </row>
    <row r="101" spans="3:144" ht="28.8" x14ac:dyDescent="0.3">
      <c r="C101" s="23" t="s">
        <v>91</v>
      </c>
      <c r="D101" s="14"/>
      <c r="E101" s="14"/>
      <c r="F101" s="236">
        <v>-33</v>
      </c>
      <c r="G101" s="237">
        <v>-2</v>
      </c>
      <c r="H101" s="237">
        <v>-27</v>
      </c>
      <c r="I101" s="237">
        <v>-9</v>
      </c>
      <c r="J101" s="237">
        <v>-41</v>
      </c>
      <c r="K101" s="50"/>
      <c r="L101" s="55"/>
      <c r="M101" s="55"/>
      <c r="N101" s="55"/>
      <c r="O101" s="55"/>
      <c r="P101" s="32"/>
      <c r="Q101" s="32"/>
      <c r="R101" s="32"/>
      <c r="S101" s="32"/>
      <c r="T101" s="30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1"/>
      <c r="DZ101" s="1"/>
      <c r="EA101" s="1"/>
      <c r="EB101" s="1"/>
      <c r="EC101" s="1"/>
      <c r="ED101" s="1"/>
      <c r="EE101" s="1"/>
      <c r="EF101" s="1"/>
      <c r="EG101" s="1"/>
      <c r="EH101" s="1"/>
      <c r="EI101" s="1"/>
      <c r="EJ101" s="1"/>
      <c r="EK101" s="1"/>
      <c r="EL101" s="1"/>
      <c r="EM101" s="1"/>
      <c r="EN101" s="1"/>
    </row>
    <row r="102" spans="3:144" x14ac:dyDescent="0.3">
      <c r="C102" s="14" t="s">
        <v>92</v>
      </c>
      <c r="D102" s="14"/>
      <c r="E102" s="14"/>
      <c r="F102" s="236">
        <v>8</v>
      </c>
      <c r="G102" s="237">
        <v>0</v>
      </c>
      <c r="H102" s="237">
        <v>7</v>
      </c>
      <c r="I102" s="237">
        <v>2</v>
      </c>
      <c r="J102" s="237">
        <v>11</v>
      </c>
      <c r="K102" s="50"/>
      <c r="L102" s="55"/>
      <c r="M102" s="55"/>
      <c r="N102" s="55"/>
      <c r="O102" s="55"/>
      <c r="P102" s="32"/>
      <c r="Q102" s="32"/>
      <c r="R102" s="32"/>
      <c r="S102" s="32"/>
      <c r="T102" s="30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  <c r="DY102" s="1"/>
      <c r="DZ102" s="1"/>
      <c r="EA102" s="1"/>
      <c r="EB102" s="1"/>
      <c r="EC102" s="1"/>
      <c r="ED102" s="1"/>
      <c r="EE102" s="1"/>
      <c r="EF102" s="1"/>
      <c r="EG102" s="1"/>
      <c r="EH102" s="1"/>
      <c r="EI102" s="1"/>
      <c r="EJ102" s="1"/>
      <c r="EK102" s="1"/>
      <c r="EL102" s="1"/>
      <c r="EM102" s="1"/>
      <c r="EN102" s="1"/>
    </row>
    <row r="103" spans="3:144" x14ac:dyDescent="0.3">
      <c r="C103" s="14" t="s">
        <v>93</v>
      </c>
      <c r="D103" s="5"/>
      <c r="E103" s="5"/>
      <c r="F103" s="232">
        <v>-25</v>
      </c>
      <c r="G103" s="233">
        <f>SUM(G101:G102)</f>
        <v>-2</v>
      </c>
      <c r="H103" s="233">
        <f>SUM(H101:H102)</f>
        <v>-20</v>
      </c>
      <c r="I103" s="233">
        <f>SUM(I101:I102)</f>
        <v>-7</v>
      </c>
      <c r="J103" s="233">
        <f>SUM(J101:J102)</f>
        <v>-30</v>
      </c>
      <c r="K103" s="50"/>
      <c r="L103" s="55"/>
      <c r="M103" s="55"/>
      <c r="N103" s="55"/>
      <c r="O103" s="55"/>
      <c r="P103" s="32"/>
      <c r="Q103" s="32"/>
      <c r="R103" s="32"/>
      <c r="S103" s="32"/>
      <c r="T103" s="30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/>
      <c r="DW103" s="1"/>
      <c r="DX103" s="1"/>
      <c r="DY103" s="1"/>
      <c r="DZ103" s="1"/>
      <c r="EA103" s="1"/>
      <c r="EB103" s="1"/>
      <c r="EC103" s="1"/>
      <c r="ED103" s="1"/>
      <c r="EE103" s="1"/>
      <c r="EF103" s="1"/>
      <c r="EG103" s="1"/>
      <c r="EH103" s="1"/>
      <c r="EI103" s="1"/>
      <c r="EJ103" s="1"/>
      <c r="EK103" s="1"/>
      <c r="EL103" s="1"/>
      <c r="EM103" s="1"/>
      <c r="EN103" s="1"/>
    </row>
    <row r="104" spans="3:144" x14ac:dyDescent="0.3">
      <c r="C104" s="14" t="s">
        <v>94</v>
      </c>
      <c r="D104" s="5"/>
      <c r="E104" s="5"/>
      <c r="F104" s="232">
        <v>-64</v>
      </c>
      <c r="G104" s="233">
        <v>-91</v>
      </c>
      <c r="H104" s="233">
        <v>-72</v>
      </c>
      <c r="I104" s="233">
        <v>-70</v>
      </c>
      <c r="J104" s="233">
        <v>-77</v>
      </c>
      <c r="K104" s="50"/>
      <c r="L104" s="55"/>
      <c r="M104" s="55"/>
      <c r="N104" s="55"/>
      <c r="O104" s="55"/>
      <c r="P104" s="32"/>
      <c r="Q104" s="32"/>
      <c r="R104" s="32"/>
      <c r="S104" s="32"/>
      <c r="T104" s="30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  <c r="DY104" s="1"/>
      <c r="DZ104" s="1"/>
      <c r="EA104" s="1"/>
      <c r="EB104" s="1"/>
      <c r="EC104" s="1"/>
      <c r="ED104" s="1"/>
      <c r="EE104" s="1"/>
      <c r="EF104" s="1"/>
      <c r="EG104" s="1"/>
      <c r="EH104" s="1"/>
      <c r="EI104" s="1"/>
      <c r="EJ104" s="1"/>
      <c r="EK104" s="1"/>
      <c r="EL104" s="1"/>
      <c r="EM104" s="1"/>
      <c r="EN104" s="1"/>
    </row>
    <row r="105" spans="3:144" x14ac:dyDescent="0.3">
      <c r="C105" s="14" t="s">
        <v>92</v>
      </c>
      <c r="D105" s="5"/>
      <c r="E105" s="5"/>
      <c r="F105" s="232">
        <v>16</v>
      </c>
      <c r="G105" s="233">
        <v>26</v>
      </c>
      <c r="H105" s="233">
        <v>19</v>
      </c>
      <c r="I105" s="233">
        <v>18</v>
      </c>
      <c r="J105" s="233">
        <v>20</v>
      </c>
      <c r="K105" s="50"/>
      <c r="L105" s="55"/>
      <c r="M105" s="55"/>
      <c r="N105" s="55"/>
      <c r="O105" s="55"/>
      <c r="P105" s="32">
        <f t="shared" ref="P105:R109" si="28">SUM(H115,-G115)/G115</f>
        <v>6.8548387096774188E-2</v>
      </c>
      <c r="Q105" s="32">
        <f t="shared" si="28"/>
        <v>-0.17735849056603772</v>
      </c>
      <c r="R105" s="32">
        <f t="shared" si="28"/>
        <v>0.16972477064220184</v>
      </c>
      <c r="S105" s="32"/>
      <c r="T105" s="30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1"/>
      <c r="DZ105" s="1"/>
      <c r="EA105" s="1"/>
      <c r="EB105" s="1"/>
      <c r="EC105" s="1"/>
      <c r="ED105" s="1"/>
      <c r="EE105" s="1"/>
      <c r="EF105" s="1"/>
      <c r="EG105" s="1"/>
      <c r="EH105" s="1"/>
      <c r="EI105" s="1"/>
      <c r="EJ105" s="1"/>
      <c r="EK105" s="1"/>
      <c r="EL105" s="1"/>
      <c r="EM105" s="1"/>
      <c r="EN105" s="1"/>
    </row>
    <row r="106" spans="3:144" x14ac:dyDescent="0.3">
      <c r="C106" s="14" t="s">
        <v>95</v>
      </c>
      <c r="D106" s="5"/>
      <c r="E106" s="5"/>
      <c r="F106" s="232">
        <v>-48</v>
      </c>
      <c r="G106" s="233">
        <f>SUM(G104:G105)</f>
        <v>-65</v>
      </c>
      <c r="H106" s="233">
        <f>SUM(H104:H105)</f>
        <v>-53</v>
      </c>
      <c r="I106" s="233">
        <f>SUM(I104:I105)</f>
        <v>-52</v>
      </c>
      <c r="J106" s="233">
        <f>SUM(J104:J105)</f>
        <v>-57</v>
      </c>
      <c r="K106" s="50"/>
      <c r="L106" s="55"/>
      <c r="M106" s="55"/>
      <c r="N106" s="55"/>
      <c r="O106" s="55"/>
      <c r="P106" s="32">
        <f t="shared" si="28"/>
        <v>-0.14693446088794926</v>
      </c>
      <c r="Q106" s="32">
        <f t="shared" si="28"/>
        <v>-6.4436183395291197E-2</v>
      </c>
      <c r="R106" s="32">
        <f t="shared" si="28"/>
        <v>-0.15496688741721854</v>
      </c>
      <c r="S106" s="32"/>
      <c r="T106" s="30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  <c r="DU106" s="1"/>
      <c r="DV106" s="1"/>
      <c r="DW106" s="1"/>
      <c r="DX106" s="1"/>
      <c r="DY106" s="1"/>
      <c r="DZ106" s="1"/>
      <c r="EA106" s="1"/>
      <c r="EB106" s="1"/>
      <c r="EC106" s="1"/>
      <c r="ED106" s="1"/>
      <c r="EE106" s="1"/>
      <c r="EF106" s="1"/>
      <c r="EG106" s="1"/>
      <c r="EH106" s="1"/>
      <c r="EI106" s="1"/>
      <c r="EJ106" s="1"/>
      <c r="EK106" s="1"/>
      <c r="EL106" s="1"/>
      <c r="EM106" s="1"/>
      <c r="EN106" s="1"/>
    </row>
    <row r="107" spans="3:144" x14ac:dyDescent="0.3">
      <c r="C107" s="5" t="s">
        <v>96</v>
      </c>
      <c r="D107" s="5" t="s">
        <v>97</v>
      </c>
      <c r="E107" s="5"/>
      <c r="F107" s="232">
        <v>73</v>
      </c>
      <c r="G107" s="233">
        <v>232</v>
      </c>
      <c r="H107" s="233">
        <v>293</v>
      </c>
      <c r="I107" s="233">
        <v>344</v>
      </c>
      <c r="J107" s="233">
        <v>389</v>
      </c>
      <c r="K107" s="50"/>
      <c r="L107" s="55"/>
      <c r="M107" s="55"/>
      <c r="N107" s="55"/>
      <c r="O107" s="55"/>
      <c r="P107" s="32">
        <f t="shared" si="28"/>
        <v>7</v>
      </c>
      <c r="Q107" s="32">
        <f t="shared" si="28"/>
        <v>0.15</v>
      </c>
      <c r="R107" s="32">
        <f t="shared" si="28"/>
        <v>1.5434782608695652</v>
      </c>
      <c r="S107" s="32"/>
      <c r="T107" s="30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  <c r="DW107" s="1"/>
      <c r="DX107" s="1"/>
      <c r="DY107" s="1"/>
      <c r="DZ107" s="1"/>
      <c r="EA107" s="1"/>
      <c r="EB107" s="1"/>
      <c r="EC107" s="1"/>
      <c r="ED107" s="1"/>
      <c r="EE107" s="1"/>
      <c r="EF107" s="1"/>
      <c r="EG107" s="1"/>
      <c r="EH107" s="1"/>
      <c r="EI107" s="1"/>
      <c r="EJ107" s="1"/>
      <c r="EK107" s="1"/>
      <c r="EL107" s="1"/>
      <c r="EM107" s="1"/>
      <c r="EN107" s="1"/>
    </row>
    <row r="108" spans="3:144" x14ac:dyDescent="0.3">
      <c r="C108" s="15" t="s">
        <v>98</v>
      </c>
      <c r="D108" s="16" t="s">
        <v>99</v>
      </c>
      <c r="E108" s="16"/>
      <c r="F108" s="246">
        <f t="shared" ref="F108:G108" si="29">SUM(F97,F98,F99,F107,)</f>
        <v>2646</v>
      </c>
      <c r="G108" s="247">
        <f t="shared" si="29"/>
        <v>2726</v>
      </c>
      <c r="H108" s="247">
        <f>SUM(H97,H98,H99,H107,)</f>
        <v>2878</v>
      </c>
      <c r="I108" s="247">
        <f>SUM(I97,I98,I99,I107,)</f>
        <v>3135</v>
      </c>
      <c r="J108" s="247">
        <f>SUM(J97,J98,J99,J107,)</f>
        <v>3289</v>
      </c>
      <c r="K108" s="50"/>
      <c r="L108" s="55"/>
      <c r="M108" s="55"/>
      <c r="N108" s="55"/>
      <c r="O108" s="55"/>
      <c r="P108" s="32">
        <f t="shared" si="28"/>
        <v>-0.2</v>
      </c>
      <c r="Q108" s="32">
        <f t="shared" si="28"/>
        <v>-0.25</v>
      </c>
      <c r="R108" s="32">
        <f t="shared" si="28"/>
        <v>-0.33333333333333331</v>
      </c>
      <c r="S108" s="32"/>
      <c r="T108" s="30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  <c r="DU108" s="1"/>
      <c r="DV108" s="1"/>
      <c r="DW108" s="1"/>
      <c r="DX108" s="1"/>
      <c r="DY108" s="1"/>
      <c r="DZ108" s="1"/>
      <c r="EA108" s="1"/>
      <c r="EB108" s="1"/>
      <c r="EC108" s="1"/>
      <c r="ED108" s="1"/>
      <c r="EE108" s="1"/>
      <c r="EF108" s="1"/>
      <c r="EG108" s="1"/>
      <c r="EH108" s="1"/>
      <c r="EI108" s="1"/>
      <c r="EJ108" s="1"/>
      <c r="EK108" s="1"/>
      <c r="EL108" s="1"/>
      <c r="EM108" s="1"/>
      <c r="EN108" s="1"/>
    </row>
    <row r="109" spans="3:144" x14ac:dyDescent="0.3">
      <c r="C109" s="8" t="s">
        <v>100</v>
      </c>
      <c r="D109" s="5" t="s">
        <v>101</v>
      </c>
      <c r="E109" s="5"/>
      <c r="F109" s="232">
        <v>613</v>
      </c>
      <c r="G109" s="233">
        <v>553</v>
      </c>
      <c r="H109" s="233">
        <v>135</v>
      </c>
      <c r="I109" s="233">
        <v>388</v>
      </c>
      <c r="J109" s="233">
        <v>362</v>
      </c>
      <c r="K109" s="50"/>
      <c r="L109" s="55"/>
      <c r="M109" s="55"/>
      <c r="N109" s="55"/>
      <c r="O109" s="55"/>
      <c r="P109" s="34">
        <f t="shared" si="28"/>
        <v>1.8917345750873109E-2</v>
      </c>
      <c r="Q109" s="34">
        <f t="shared" si="28"/>
        <v>-0.14767209368751785</v>
      </c>
      <c r="R109" s="34">
        <f t="shared" si="28"/>
        <v>0.10824396782841823</v>
      </c>
      <c r="S109" s="34">
        <f>SUM(T109,-J119)/J119</f>
        <v>-7.7109162382824309E-2</v>
      </c>
      <c r="T109" s="38">
        <v>3052</v>
      </c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  <c r="DU109" s="1"/>
      <c r="DV109" s="1"/>
      <c r="DW109" s="1"/>
      <c r="DX109" s="1"/>
      <c r="DY109" s="1"/>
      <c r="DZ109" s="1"/>
      <c r="EA109" s="1"/>
      <c r="EB109" s="1"/>
      <c r="EC109" s="1"/>
      <c r="ED109" s="1"/>
      <c r="EE109" s="1"/>
      <c r="EF109" s="1"/>
      <c r="EG109" s="1"/>
      <c r="EH109" s="1"/>
      <c r="EI109" s="1"/>
      <c r="EJ109" s="1"/>
      <c r="EK109" s="1"/>
      <c r="EL109" s="1"/>
      <c r="EM109" s="1"/>
      <c r="EN109" s="1"/>
    </row>
    <row r="110" spans="3:144" x14ac:dyDescent="0.3">
      <c r="C110" s="24" t="s">
        <v>102</v>
      </c>
      <c r="D110" s="25"/>
      <c r="E110" s="24"/>
      <c r="F110" s="252">
        <f t="shared" ref="F110:G110" si="30">SUM(F109,F108)</f>
        <v>3259</v>
      </c>
      <c r="G110" s="253">
        <f t="shared" si="30"/>
        <v>3279</v>
      </c>
      <c r="H110" s="253">
        <f>SUM(H109,H108)</f>
        <v>3013</v>
      </c>
      <c r="I110" s="253">
        <f>SUM(I109,I108)</f>
        <v>3523</v>
      </c>
      <c r="J110" s="253">
        <f>SUM(J109,J108)</f>
        <v>3651</v>
      </c>
      <c r="K110" s="50"/>
      <c r="L110" s="55"/>
      <c r="M110" s="55"/>
      <c r="N110" s="55"/>
      <c r="O110" s="55"/>
      <c r="P110" s="32"/>
      <c r="Q110" s="32"/>
      <c r="R110" s="32"/>
      <c r="S110" s="32"/>
      <c r="T110" s="30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U110" s="1"/>
      <c r="DV110" s="1"/>
      <c r="DW110" s="1"/>
      <c r="DX110" s="1"/>
      <c r="DY110" s="1"/>
      <c r="DZ110" s="1"/>
      <c r="EA110" s="1"/>
      <c r="EB110" s="1"/>
      <c r="EC110" s="1"/>
      <c r="ED110" s="1"/>
      <c r="EE110" s="1"/>
      <c r="EF110" s="1"/>
      <c r="EG110" s="1"/>
      <c r="EH110" s="1"/>
      <c r="EI110" s="1"/>
      <c r="EJ110" s="1"/>
      <c r="EK110" s="1"/>
      <c r="EL110" s="1"/>
      <c r="EM110" s="1"/>
      <c r="EN110" s="1"/>
    </row>
    <row r="111" spans="3:144" x14ac:dyDescent="0.3">
      <c r="C111" s="5"/>
      <c r="D111" s="5"/>
      <c r="E111" s="5"/>
      <c r="F111" s="232"/>
      <c r="G111" s="233"/>
      <c r="H111" s="233"/>
      <c r="I111" s="233"/>
      <c r="J111" s="233"/>
      <c r="K111" s="50"/>
      <c r="L111" s="55"/>
      <c r="M111" s="55"/>
      <c r="N111" s="55"/>
      <c r="O111" s="55"/>
      <c r="P111" s="32">
        <f t="shared" ref="P111:R113" si="31">SUM(H121,-G121)/G121</f>
        <v>-4.5454545454545456E-2</v>
      </c>
      <c r="Q111" s="32">
        <f t="shared" si="31"/>
        <v>-1.7857142857142856E-2</v>
      </c>
      <c r="R111" s="32">
        <f t="shared" si="31"/>
        <v>-3.6363636363636362E-2</v>
      </c>
      <c r="S111" s="32"/>
      <c r="T111" s="30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  <c r="DU111" s="1"/>
      <c r="DV111" s="1"/>
      <c r="DW111" s="1"/>
      <c r="DX111" s="1"/>
      <c r="DY111" s="1"/>
      <c r="DZ111" s="1"/>
      <c r="EA111" s="1"/>
      <c r="EB111" s="1"/>
      <c r="EC111" s="1"/>
      <c r="ED111" s="1"/>
      <c r="EE111" s="1"/>
      <c r="EF111" s="1"/>
      <c r="EG111" s="1"/>
      <c r="EH111" s="1"/>
      <c r="EI111" s="1"/>
      <c r="EJ111" s="1"/>
      <c r="EK111" s="1"/>
      <c r="EL111" s="1"/>
      <c r="EM111" s="1"/>
      <c r="EN111" s="1"/>
    </row>
    <row r="112" spans="3:144" ht="19.2" x14ac:dyDescent="0.4">
      <c r="C112" s="6" t="s">
        <v>103</v>
      </c>
      <c r="D112" s="5"/>
      <c r="E112" s="5"/>
      <c r="F112" s="232"/>
      <c r="G112" s="233"/>
      <c r="H112" s="233"/>
      <c r="I112" s="233"/>
      <c r="J112" s="233"/>
      <c r="K112" s="50"/>
      <c r="L112" s="55"/>
      <c r="M112" s="55"/>
      <c r="N112" s="55"/>
      <c r="O112" s="55"/>
      <c r="P112" s="32">
        <f t="shared" si="31"/>
        <v>-0.20105820105820105</v>
      </c>
      <c r="Q112" s="32">
        <f t="shared" si="31"/>
        <v>-1.3245033112582781E-2</v>
      </c>
      <c r="R112" s="32">
        <f t="shared" si="31"/>
        <v>-6.7114093959731542E-3</v>
      </c>
      <c r="S112" s="32"/>
      <c r="T112" s="30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"/>
      <c r="DU112" s="1"/>
      <c r="DV112" s="1"/>
      <c r="DW112" s="1"/>
      <c r="DX112" s="1"/>
      <c r="DY112" s="1"/>
      <c r="DZ112" s="1"/>
      <c r="EA112" s="1"/>
      <c r="EB112" s="1"/>
      <c r="EC112" s="1"/>
      <c r="ED112" s="1"/>
      <c r="EE112" s="1"/>
      <c r="EF112" s="1"/>
      <c r="EG112" s="1"/>
      <c r="EH112" s="1"/>
      <c r="EI112" s="1"/>
      <c r="EJ112" s="1"/>
      <c r="EK112" s="1"/>
      <c r="EL112" s="1"/>
      <c r="EM112" s="1"/>
      <c r="EN112" s="1"/>
    </row>
    <row r="113" spans="3:144" ht="16.2" x14ac:dyDescent="0.35">
      <c r="C113" s="131" t="s">
        <v>104</v>
      </c>
      <c r="D113" s="5"/>
      <c r="E113" s="5"/>
      <c r="F113" s="232"/>
      <c r="G113" s="233"/>
      <c r="H113" s="233"/>
      <c r="I113" s="233"/>
      <c r="J113" s="233"/>
      <c r="K113" s="50"/>
      <c r="L113" s="55"/>
      <c r="M113" s="55"/>
      <c r="N113" s="55"/>
      <c r="O113" s="55"/>
      <c r="P113" s="34">
        <f t="shared" si="31"/>
        <v>-0.12602739726027398</v>
      </c>
      <c r="Q113" s="34">
        <f t="shared" si="31"/>
        <v>-1.5673981191222569E-2</v>
      </c>
      <c r="R113" s="34">
        <f t="shared" si="31"/>
        <v>-2.2292993630573247E-2</v>
      </c>
      <c r="S113" s="34">
        <f>SUM(T113,-J123)/J123</f>
        <v>-2.2801302931596091E-2</v>
      </c>
      <c r="T113" s="35">
        <v>300</v>
      </c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  <c r="DW113" s="1"/>
      <c r="DX113" s="1"/>
      <c r="DY113" s="1"/>
      <c r="DZ113" s="1"/>
      <c r="EA113" s="1"/>
      <c r="EB113" s="1"/>
      <c r="EC113" s="1"/>
      <c r="ED113" s="1"/>
      <c r="EE113" s="1"/>
      <c r="EF113" s="1"/>
      <c r="EG113" s="1"/>
      <c r="EH113" s="1"/>
      <c r="EI113" s="1"/>
      <c r="EJ113" s="1"/>
      <c r="EK113" s="1"/>
      <c r="EL113" s="1"/>
      <c r="EM113" s="1"/>
      <c r="EN113" s="1"/>
    </row>
    <row r="114" spans="3:144" x14ac:dyDescent="0.3">
      <c r="C114" s="8" t="s">
        <v>105</v>
      </c>
      <c r="D114" s="5"/>
      <c r="E114" s="5"/>
      <c r="F114" s="232"/>
      <c r="G114" s="233"/>
      <c r="H114" s="233"/>
      <c r="I114" s="233"/>
      <c r="J114" s="233"/>
      <c r="K114" s="50"/>
      <c r="L114" s="55"/>
      <c r="M114" s="55"/>
      <c r="N114" s="55"/>
      <c r="O114" s="55"/>
      <c r="P114" s="32"/>
      <c r="Q114" s="32"/>
      <c r="R114" s="32"/>
      <c r="S114" s="32"/>
      <c r="T114" s="30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1"/>
      <c r="DM114" s="1"/>
      <c r="DN114" s="1"/>
      <c r="DO114" s="1"/>
      <c r="DP114" s="1"/>
      <c r="DQ114" s="1"/>
      <c r="DR114" s="1"/>
      <c r="DS114" s="1"/>
      <c r="DT114" s="1"/>
      <c r="DU114" s="1"/>
      <c r="DV114" s="1"/>
      <c r="DW114" s="1"/>
      <c r="DX114" s="1"/>
      <c r="DY114" s="1"/>
      <c r="DZ114" s="1"/>
      <c r="EA114" s="1"/>
      <c r="EB114" s="1"/>
      <c r="EC114" s="1"/>
      <c r="ED114" s="1"/>
      <c r="EE114" s="1"/>
      <c r="EF114" s="1"/>
      <c r="EG114" s="1"/>
      <c r="EH114" s="1"/>
      <c r="EI114" s="1"/>
      <c r="EJ114" s="1"/>
      <c r="EK114" s="1"/>
      <c r="EL114" s="1"/>
      <c r="EM114" s="1"/>
      <c r="EN114" s="1"/>
    </row>
    <row r="115" spans="3:144" x14ac:dyDescent="0.3">
      <c r="C115" s="5" t="s">
        <v>106</v>
      </c>
      <c r="D115" s="5"/>
      <c r="E115" s="5"/>
      <c r="F115" s="232">
        <v>2431</v>
      </c>
      <c r="G115" s="233">
        <v>2480</v>
      </c>
      <c r="H115" s="233">
        <v>2650</v>
      </c>
      <c r="I115" s="233">
        <v>2180</v>
      </c>
      <c r="J115" s="233">
        <v>2550</v>
      </c>
      <c r="K115" s="50"/>
      <c r="L115" s="55"/>
      <c r="M115" s="55"/>
      <c r="N115" s="55"/>
      <c r="O115" s="55"/>
      <c r="P115" s="32">
        <f t="shared" ref="P115:R120" si="32">SUM(H125,-G125)/G125</f>
        <v>7.6190476190476197E-2</v>
      </c>
      <c r="Q115" s="32">
        <f t="shared" si="32"/>
        <v>5.3097345132743362E-2</v>
      </c>
      <c r="R115" s="32">
        <f t="shared" si="32"/>
        <v>0.1092436974789916</v>
      </c>
      <c r="S115" s="32"/>
      <c r="T115" s="30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1"/>
      <c r="DM115" s="1"/>
      <c r="DN115" s="1"/>
      <c r="DO115" s="1"/>
      <c r="DP115" s="1"/>
      <c r="DQ115" s="1"/>
      <c r="DR115" s="1"/>
      <c r="DS115" s="1"/>
      <c r="DT115" s="1"/>
      <c r="DU115" s="1"/>
      <c r="DV115" s="1"/>
      <c r="DW115" s="1"/>
      <c r="DX115" s="1"/>
      <c r="DY115" s="1"/>
      <c r="DZ115" s="1"/>
      <c r="EA115" s="1"/>
      <c r="EB115" s="1"/>
      <c r="EC115" s="1"/>
      <c r="ED115" s="1"/>
      <c r="EE115" s="1"/>
      <c r="EF115" s="1"/>
      <c r="EG115" s="1"/>
      <c r="EH115" s="1"/>
      <c r="EI115" s="1"/>
      <c r="EJ115" s="1"/>
      <c r="EK115" s="1"/>
      <c r="EL115" s="1"/>
      <c r="EM115" s="1"/>
      <c r="EN115" s="1"/>
    </row>
    <row r="116" spans="3:144" x14ac:dyDescent="0.3">
      <c r="C116" s="5" t="s">
        <v>107</v>
      </c>
      <c r="D116" s="5"/>
      <c r="E116" s="5"/>
      <c r="F116" s="232">
        <v>657</v>
      </c>
      <c r="G116" s="233">
        <v>946</v>
      </c>
      <c r="H116" s="233">
        <v>807</v>
      </c>
      <c r="I116" s="233">
        <v>755</v>
      </c>
      <c r="J116" s="233">
        <v>638</v>
      </c>
      <c r="K116" s="50"/>
      <c r="L116" s="55"/>
      <c r="M116" s="55"/>
      <c r="N116" s="55"/>
      <c r="O116" s="55"/>
      <c r="P116" s="32">
        <f t="shared" si="32"/>
        <v>0</v>
      </c>
      <c r="Q116" s="32">
        <f t="shared" si="32"/>
        <v>4.2553191489361701E-2</v>
      </c>
      <c r="R116" s="32">
        <f t="shared" si="32"/>
        <v>0</v>
      </c>
      <c r="S116" s="32"/>
      <c r="T116" s="30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  <c r="DU116" s="1"/>
      <c r="DV116" s="1"/>
      <c r="DW116" s="1"/>
      <c r="DX116" s="1"/>
      <c r="DY116" s="1"/>
      <c r="DZ116" s="1"/>
      <c r="EA116" s="1"/>
      <c r="EB116" s="1"/>
      <c r="EC116" s="1"/>
      <c r="ED116" s="1"/>
      <c r="EE116" s="1"/>
      <c r="EF116" s="1"/>
      <c r="EG116" s="1"/>
      <c r="EH116" s="1"/>
      <c r="EI116" s="1"/>
      <c r="EJ116" s="1"/>
      <c r="EK116" s="1"/>
      <c r="EL116" s="1"/>
      <c r="EM116" s="1"/>
      <c r="EN116" s="1"/>
    </row>
    <row r="117" spans="3:144" x14ac:dyDescent="0.3">
      <c r="C117" s="5" t="s">
        <v>108</v>
      </c>
      <c r="D117" s="5"/>
      <c r="E117" s="5"/>
      <c r="F117" s="232">
        <v>1</v>
      </c>
      <c r="G117" s="233">
        <v>5</v>
      </c>
      <c r="H117" s="233">
        <v>40</v>
      </c>
      <c r="I117" s="233">
        <v>46</v>
      </c>
      <c r="J117" s="233">
        <v>117</v>
      </c>
      <c r="K117" s="50"/>
      <c r="L117" s="55"/>
      <c r="M117" s="55"/>
      <c r="N117" s="55"/>
      <c r="O117" s="55"/>
      <c r="P117" s="32">
        <f t="shared" si="32"/>
        <v>4.1666666666666664E-2</v>
      </c>
      <c r="Q117" s="32">
        <f t="shared" si="32"/>
        <v>-0.32</v>
      </c>
      <c r="R117" s="32">
        <f t="shared" si="32"/>
        <v>5.8823529411764705E-2</v>
      </c>
      <c r="S117" s="32"/>
      <c r="T117" s="30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DT117" s="1"/>
      <c r="DU117" s="1"/>
      <c r="DV117" s="1"/>
      <c r="DW117" s="1"/>
      <c r="DX117" s="1"/>
      <c r="DY117" s="1"/>
      <c r="DZ117" s="1"/>
      <c r="EA117" s="1"/>
      <c r="EB117" s="1"/>
      <c r="EC117" s="1"/>
      <c r="ED117" s="1"/>
      <c r="EE117" s="1"/>
      <c r="EF117" s="1"/>
      <c r="EG117" s="1"/>
      <c r="EH117" s="1"/>
      <c r="EI117" s="1"/>
      <c r="EJ117" s="1"/>
      <c r="EK117" s="1"/>
      <c r="EL117" s="1"/>
      <c r="EM117" s="1"/>
      <c r="EN117" s="1"/>
    </row>
    <row r="118" spans="3:144" x14ac:dyDescent="0.3">
      <c r="C118" s="5" t="s">
        <v>109</v>
      </c>
      <c r="D118" s="5"/>
      <c r="E118" s="5"/>
      <c r="F118" s="214">
        <v>0</v>
      </c>
      <c r="G118" s="233">
        <v>5</v>
      </c>
      <c r="H118" s="233">
        <v>4</v>
      </c>
      <c r="I118" s="233">
        <v>3</v>
      </c>
      <c r="J118" s="233">
        <v>2</v>
      </c>
      <c r="K118" s="50"/>
      <c r="L118" s="55"/>
      <c r="M118" s="55"/>
      <c r="N118" s="55"/>
      <c r="O118" s="55"/>
      <c r="P118" s="32">
        <f t="shared" si="32"/>
        <v>-0.45045045045045046</v>
      </c>
      <c r="Q118" s="32">
        <f t="shared" si="32"/>
        <v>-8.1967213114754092E-2</v>
      </c>
      <c r="R118" s="32">
        <f t="shared" si="32"/>
        <v>-0.25</v>
      </c>
      <c r="S118" s="32"/>
      <c r="T118" s="30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DT118" s="1"/>
      <c r="DU118" s="1"/>
      <c r="DV118" s="1"/>
      <c r="DW118" s="1"/>
      <c r="DX118" s="1"/>
      <c r="DY118" s="1"/>
      <c r="DZ118" s="1"/>
      <c r="EA118" s="1"/>
      <c r="EB118" s="1"/>
      <c r="EC118" s="1"/>
      <c r="ED118" s="1"/>
      <c r="EE118" s="1"/>
      <c r="EF118" s="1"/>
      <c r="EG118" s="1"/>
      <c r="EH118" s="1"/>
      <c r="EI118" s="1"/>
      <c r="EJ118" s="1"/>
      <c r="EK118" s="1"/>
      <c r="EL118" s="1"/>
      <c r="EM118" s="1"/>
      <c r="EN118" s="1"/>
    </row>
    <row r="119" spans="3:144" x14ac:dyDescent="0.3">
      <c r="C119" s="10" t="s">
        <v>110</v>
      </c>
      <c r="D119" s="12"/>
      <c r="E119" s="12"/>
      <c r="F119" s="234">
        <f t="shared" ref="F119:G119" si="33">SUM(F115:F118)</f>
        <v>3089</v>
      </c>
      <c r="G119" s="235">
        <f t="shared" si="33"/>
        <v>3436</v>
      </c>
      <c r="H119" s="235">
        <f>SUM(H115:H118)</f>
        <v>3501</v>
      </c>
      <c r="I119" s="235">
        <f>SUM(I115:I118)</f>
        <v>2984</v>
      </c>
      <c r="J119" s="235">
        <f>SUM(J115:J118)</f>
        <v>3307</v>
      </c>
      <c r="K119" s="50"/>
      <c r="L119" s="55"/>
      <c r="M119" s="55"/>
      <c r="N119" s="55"/>
      <c r="O119" s="55"/>
      <c r="P119" s="32">
        <f t="shared" si="32"/>
        <v>-0.12280701754385964</v>
      </c>
      <c r="Q119" s="32">
        <f t="shared" si="32"/>
        <v>0.18</v>
      </c>
      <c r="R119" s="32">
        <f t="shared" si="32"/>
        <v>0.16949152542372881</v>
      </c>
      <c r="S119" s="32"/>
      <c r="T119" s="30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P119" s="1"/>
      <c r="DQ119" s="1"/>
      <c r="DR119" s="1"/>
      <c r="DS119" s="1"/>
      <c r="DT119" s="1"/>
      <c r="DU119" s="1"/>
      <c r="DV119" s="1"/>
      <c r="DW119" s="1"/>
      <c r="DX119" s="1"/>
      <c r="DY119" s="1"/>
      <c r="DZ119" s="1"/>
      <c r="EA119" s="1"/>
      <c r="EB119" s="1"/>
      <c r="EC119" s="1"/>
      <c r="ED119" s="1"/>
      <c r="EE119" s="1"/>
      <c r="EF119" s="1"/>
      <c r="EG119" s="1"/>
      <c r="EH119" s="1"/>
      <c r="EI119" s="1"/>
      <c r="EJ119" s="1"/>
      <c r="EK119" s="1"/>
      <c r="EL119" s="1"/>
      <c r="EM119" s="1"/>
      <c r="EN119" s="1"/>
    </row>
    <row r="120" spans="3:144" x14ac:dyDescent="0.3">
      <c r="C120" s="8" t="s">
        <v>111</v>
      </c>
      <c r="D120" s="5"/>
      <c r="E120" s="5"/>
      <c r="F120" s="232"/>
      <c r="G120" s="233"/>
      <c r="H120" s="233"/>
      <c r="I120" s="233"/>
      <c r="J120" s="233"/>
      <c r="K120" s="50"/>
      <c r="L120" s="55"/>
      <c r="M120" s="55"/>
      <c r="N120" s="55"/>
      <c r="O120" s="55"/>
      <c r="P120" s="34">
        <f t="shared" si="32"/>
        <v>-6.8554396423248884E-2</v>
      </c>
      <c r="Q120" s="34">
        <f t="shared" si="32"/>
        <v>2.7199999999999998E-2</v>
      </c>
      <c r="R120" s="34">
        <f t="shared" si="32"/>
        <v>5.2959501557632398E-2</v>
      </c>
      <c r="S120" s="34">
        <f>SUM(T120,-J130)/J130</f>
        <v>-1.1834319526627219E-2</v>
      </c>
      <c r="T120" s="35">
        <v>668</v>
      </c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  <c r="DU120" s="1"/>
      <c r="DV120" s="1"/>
      <c r="DW120" s="1"/>
      <c r="DX120" s="1"/>
      <c r="DY120" s="1"/>
      <c r="DZ120" s="1"/>
      <c r="EA120" s="1"/>
      <c r="EB120" s="1"/>
      <c r="EC120" s="1"/>
      <c r="ED120" s="1"/>
      <c r="EE120" s="1"/>
      <c r="EF120" s="1"/>
      <c r="EG120" s="1"/>
      <c r="EH120" s="1"/>
      <c r="EI120" s="1"/>
      <c r="EJ120" s="1"/>
      <c r="EK120" s="1"/>
      <c r="EL120" s="1"/>
      <c r="EM120" s="1"/>
      <c r="EN120" s="1"/>
    </row>
    <row r="121" spans="3:144" x14ac:dyDescent="0.3">
      <c r="C121" s="5" t="s">
        <v>112</v>
      </c>
      <c r="D121" s="5"/>
      <c r="E121" s="5"/>
      <c r="F121" s="232">
        <v>164</v>
      </c>
      <c r="G121" s="233">
        <v>176</v>
      </c>
      <c r="H121" s="233">
        <v>168</v>
      </c>
      <c r="I121" s="233">
        <v>165</v>
      </c>
      <c r="J121" s="233">
        <v>159</v>
      </c>
      <c r="K121" s="50"/>
      <c r="L121" s="55"/>
      <c r="M121" s="55"/>
      <c r="N121" s="55"/>
      <c r="O121" s="55"/>
      <c r="P121" s="32"/>
      <c r="Q121" s="32"/>
      <c r="R121" s="32"/>
      <c r="S121" s="32"/>
      <c r="T121" s="30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/>
      <c r="DP121" s="1"/>
      <c r="DQ121" s="1"/>
      <c r="DR121" s="1"/>
      <c r="DS121" s="1"/>
      <c r="DT121" s="1"/>
      <c r="DU121" s="1"/>
      <c r="DV121" s="1"/>
      <c r="DW121" s="1"/>
      <c r="DX121" s="1"/>
      <c r="DY121" s="1"/>
      <c r="DZ121" s="1"/>
      <c r="EA121" s="1"/>
      <c r="EB121" s="1"/>
      <c r="EC121" s="1"/>
      <c r="ED121" s="1"/>
      <c r="EE121" s="1"/>
      <c r="EF121" s="1"/>
      <c r="EG121" s="1"/>
      <c r="EH121" s="1"/>
      <c r="EI121" s="1"/>
      <c r="EJ121" s="1"/>
      <c r="EK121" s="1"/>
      <c r="EL121" s="1"/>
      <c r="EM121" s="1"/>
      <c r="EN121" s="1"/>
    </row>
    <row r="122" spans="3:144" x14ac:dyDescent="0.3">
      <c r="C122" s="5" t="s">
        <v>113</v>
      </c>
      <c r="D122" s="5"/>
      <c r="E122" s="5"/>
      <c r="F122" s="232">
        <v>168</v>
      </c>
      <c r="G122" s="233">
        <v>189</v>
      </c>
      <c r="H122" s="233">
        <v>151</v>
      </c>
      <c r="I122" s="233">
        <v>149</v>
      </c>
      <c r="J122" s="233">
        <v>148</v>
      </c>
      <c r="K122" s="50"/>
      <c r="L122" s="55"/>
      <c r="M122" s="55"/>
      <c r="N122" s="55"/>
      <c r="O122" s="55"/>
      <c r="P122" s="32">
        <f t="shared" ref="P122:R125" si="34">SUM(H132,-G132)/G132</f>
        <v>0.3888888888888889</v>
      </c>
      <c r="Q122" s="32">
        <f t="shared" si="34"/>
        <v>7.1999999999999995E-2</v>
      </c>
      <c r="R122" s="32">
        <f t="shared" si="34"/>
        <v>4.4776119402985072E-2</v>
      </c>
      <c r="S122" s="32"/>
      <c r="T122" s="30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P122" s="1"/>
      <c r="DQ122" s="1"/>
      <c r="DR122" s="1"/>
      <c r="DS122" s="1"/>
      <c r="DT122" s="1"/>
      <c r="DU122" s="1"/>
      <c r="DV122" s="1"/>
      <c r="DW122" s="1"/>
      <c r="DX122" s="1"/>
      <c r="DY122" s="1"/>
      <c r="DZ122" s="1"/>
      <c r="EA122" s="1"/>
      <c r="EB122" s="1"/>
      <c r="EC122" s="1"/>
      <c r="ED122" s="1"/>
      <c r="EE122" s="1"/>
      <c r="EF122" s="1"/>
      <c r="EG122" s="1"/>
      <c r="EH122" s="1"/>
      <c r="EI122" s="1"/>
      <c r="EJ122" s="1"/>
      <c r="EK122" s="1"/>
      <c r="EL122" s="1"/>
      <c r="EM122" s="1"/>
      <c r="EN122" s="1"/>
    </row>
    <row r="123" spans="3:144" x14ac:dyDescent="0.3">
      <c r="C123" s="10" t="s">
        <v>110</v>
      </c>
      <c r="D123" s="12"/>
      <c r="E123" s="12"/>
      <c r="F123" s="234">
        <f t="shared" ref="F123:G123" si="35">SUM(F121:F122)</f>
        <v>332</v>
      </c>
      <c r="G123" s="235">
        <f t="shared" si="35"/>
        <v>365</v>
      </c>
      <c r="H123" s="235">
        <f>SUM(H121:H122)</f>
        <v>319</v>
      </c>
      <c r="I123" s="235">
        <f>SUM(I121:I122)</f>
        <v>314</v>
      </c>
      <c r="J123" s="235">
        <f>SUM(J121:J122)</f>
        <v>307</v>
      </c>
      <c r="K123" s="50"/>
      <c r="L123" s="55"/>
      <c r="M123" s="55"/>
      <c r="N123" s="55"/>
      <c r="O123" s="55"/>
      <c r="P123" s="32">
        <f t="shared" si="34"/>
        <v>0.21052631578947367</v>
      </c>
      <c r="Q123" s="32">
        <f t="shared" si="34"/>
        <v>-0.39130434782608697</v>
      </c>
      <c r="R123" s="32">
        <f t="shared" si="34"/>
        <v>-0.35714285714285715</v>
      </c>
      <c r="S123" s="32"/>
      <c r="T123" s="30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/>
      <c r="DO123" s="1"/>
      <c r="DP123" s="1"/>
      <c r="DQ123" s="1"/>
      <c r="DR123" s="1"/>
      <c r="DS123" s="1"/>
      <c r="DT123" s="1"/>
      <c r="DU123" s="1"/>
      <c r="DV123" s="1"/>
      <c r="DW123" s="1"/>
      <c r="DX123" s="1"/>
      <c r="DY123" s="1"/>
      <c r="DZ123" s="1"/>
      <c r="EA123" s="1"/>
      <c r="EB123" s="1"/>
      <c r="EC123" s="1"/>
      <c r="ED123" s="1"/>
      <c r="EE123" s="1"/>
      <c r="EF123" s="1"/>
      <c r="EG123" s="1"/>
      <c r="EH123" s="1"/>
      <c r="EI123" s="1"/>
      <c r="EJ123" s="1"/>
      <c r="EK123" s="1"/>
      <c r="EL123" s="1"/>
      <c r="EM123" s="1"/>
      <c r="EN123" s="1"/>
    </row>
    <row r="124" spans="3:144" x14ac:dyDescent="0.3">
      <c r="C124" s="8" t="s">
        <v>114</v>
      </c>
      <c r="D124" s="5"/>
      <c r="E124" s="5"/>
      <c r="F124" s="232"/>
      <c r="G124" s="233"/>
      <c r="H124" s="233"/>
      <c r="I124" s="233"/>
      <c r="J124" s="233"/>
      <c r="K124" s="50"/>
      <c r="L124" s="55"/>
      <c r="M124" s="55"/>
      <c r="N124" s="55"/>
      <c r="O124" s="55"/>
      <c r="P124" s="34">
        <f t="shared" si="34"/>
        <v>0.3577981651376147</v>
      </c>
      <c r="Q124" s="34">
        <f t="shared" si="34"/>
        <v>0</v>
      </c>
      <c r="R124" s="34">
        <f t="shared" si="34"/>
        <v>6.7567567567567571E-3</v>
      </c>
      <c r="S124" s="34">
        <f>SUM(T124,-J134)/J134</f>
        <v>3.3557046979865772E-2</v>
      </c>
      <c r="T124" s="38">
        <v>154</v>
      </c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  <c r="DL124" s="1"/>
      <c r="DM124" s="1"/>
      <c r="DN124" s="1"/>
      <c r="DO124" s="1"/>
      <c r="DP124" s="1"/>
      <c r="DQ124" s="1"/>
      <c r="DR124" s="1"/>
      <c r="DS124" s="1"/>
      <c r="DT124" s="1"/>
      <c r="DU124" s="1"/>
      <c r="DV124" s="1"/>
      <c r="DW124" s="1"/>
      <c r="DX124" s="1"/>
      <c r="DY124" s="1"/>
      <c r="DZ124" s="1"/>
      <c r="EA124" s="1"/>
      <c r="EB124" s="1"/>
      <c r="EC124" s="1"/>
      <c r="ED124" s="1"/>
      <c r="EE124" s="1"/>
      <c r="EF124" s="1"/>
      <c r="EG124" s="1"/>
      <c r="EH124" s="1"/>
      <c r="EI124" s="1"/>
      <c r="EJ124" s="1"/>
      <c r="EK124" s="1"/>
      <c r="EL124" s="1"/>
      <c r="EM124" s="1"/>
      <c r="EN124" s="1"/>
    </row>
    <row r="125" spans="3:144" x14ac:dyDescent="0.3">
      <c r="C125" s="5" t="s">
        <v>115</v>
      </c>
      <c r="D125" s="5"/>
      <c r="E125" s="5"/>
      <c r="F125" s="232">
        <v>170</v>
      </c>
      <c r="G125" s="233">
        <v>210</v>
      </c>
      <c r="H125" s="233">
        <v>226</v>
      </c>
      <c r="I125" s="233">
        <v>238</v>
      </c>
      <c r="J125" s="233">
        <v>264</v>
      </c>
      <c r="K125" s="50"/>
      <c r="L125" s="55"/>
      <c r="M125" s="55"/>
      <c r="N125" s="55"/>
      <c r="O125" s="55"/>
      <c r="P125" s="39">
        <f t="shared" si="34"/>
        <v>2.6195153896529143E-3</v>
      </c>
      <c r="Q125" s="39">
        <f t="shared" si="34"/>
        <v>-0.10994992379708252</v>
      </c>
      <c r="R125" s="39">
        <f t="shared" si="34"/>
        <v>8.5861056751467713E-2</v>
      </c>
      <c r="S125" s="39">
        <f>SUM(T125,-J135)/J135</f>
        <v>-5.9698130209506643E-2</v>
      </c>
      <c r="T125" s="40">
        <f t="shared" ref="T125" si="36">SUM(T124,T120,T113,T109)</f>
        <v>4174</v>
      </c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  <c r="DO125" s="1"/>
      <c r="DP125" s="1"/>
      <c r="DQ125" s="1"/>
      <c r="DR125" s="1"/>
      <c r="DS125" s="1"/>
      <c r="DT125" s="1"/>
      <c r="DU125" s="1"/>
      <c r="DV125" s="1"/>
      <c r="DW125" s="1"/>
      <c r="DX125" s="1"/>
      <c r="DY125" s="1"/>
      <c r="DZ125" s="1"/>
      <c r="EA125" s="1"/>
      <c r="EB125" s="1"/>
      <c r="EC125" s="1"/>
      <c r="ED125" s="1"/>
      <c r="EE125" s="1"/>
      <c r="EF125" s="1"/>
      <c r="EG125" s="1"/>
      <c r="EH125" s="1"/>
      <c r="EI125" s="1"/>
      <c r="EJ125" s="1"/>
      <c r="EK125" s="1"/>
      <c r="EL125" s="1"/>
      <c r="EM125" s="1"/>
      <c r="EN125" s="1"/>
    </row>
    <row r="126" spans="3:144" x14ac:dyDescent="0.3">
      <c r="C126" s="5" t="s">
        <v>116</v>
      </c>
      <c r="D126" s="5"/>
      <c r="E126" s="5"/>
      <c r="F126" s="232">
        <v>145</v>
      </c>
      <c r="G126" s="233">
        <v>188</v>
      </c>
      <c r="H126" s="233">
        <v>188</v>
      </c>
      <c r="I126" s="233">
        <v>196</v>
      </c>
      <c r="J126" s="233">
        <v>196</v>
      </c>
      <c r="K126" s="50"/>
      <c r="L126" s="55"/>
      <c r="M126" s="55"/>
      <c r="N126" s="55"/>
      <c r="O126" s="55"/>
      <c r="P126" s="32"/>
      <c r="Q126" s="32"/>
      <c r="R126" s="32"/>
      <c r="S126" s="32"/>
      <c r="T126" s="30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  <c r="DJ126" s="1"/>
      <c r="DK126" s="1"/>
      <c r="DL126" s="1"/>
      <c r="DM126" s="1"/>
      <c r="DN126" s="1"/>
      <c r="DO126" s="1"/>
      <c r="DP126" s="1"/>
      <c r="DQ126" s="1"/>
      <c r="DR126" s="1"/>
      <c r="DS126" s="1"/>
      <c r="DT126" s="1"/>
      <c r="DU126" s="1"/>
      <c r="DV126" s="1"/>
      <c r="DW126" s="1"/>
      <c r="DX126" s="1"/>
      <c r="DY126" s="1"/>
      <c r="DZ126" s="1"/>
      <c r="EA126" s="1"/>
      <c r="EB126" s="1"/>
      <c r="EC126" s="1"/>
      <c r="ED126" s="1"/>
      <c r="EE126" s="1"/>
      <c r="EF126" s="1"/>
      <c r="EG126" s="1"/>
      <c r="EH126" s="1"/>
      <c r="EI126" s="1"/>
      <c r="EJ126" s="1"/>
      <c r="EK126" s="1"/>
      <c r="EL126" s="1"/>
      <c r="EM126" s="1"/>
      <c r="EN126" s="1"/>
    </row>
    <row r="127" spans="3:144" x14ac:dyDescent="0.3">
      <c r="C127" s="5" t="s">
        <v>117</v>
      </c>
      <c r="D127" s="5"/>
      <c r="E127" s="5"/>
      <c r="F127" s="232">
        <v>59</v>
      </c>
      <c r="G127" s="233">
        <v>48</v>
      </c>
      <c r="H127" s="233">
        <v>50</v>
      </c>
      <c r="I127" s="233">
        <v>34</v>
      </c>
      <c r="J127" s="233">
        <v>36</v>
      </c>
      <c r="K127" s="50"/>
      <c r="L127" s="55"/>
      <c r="M127" s="55"/>
      <c r="N127" s="55"/>
      <c r="O127" s="55"/>
      <c r="P127" s="32"/>
      <c r="Q127" s="32"/>
      <c r="R127" s="32"/>
      <c r="S127" s="32"/>
      <c r="T127" s="30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1"/>
      <c r="DI127" s="1"/>
      <c r="DJ127" s="1"/>
      <c r="DK127" s="1"/>
      <c r="DL127" s="1"/>
      <c r="DM127" s="1"/>
      <c r="DN127" s="1"/>
      <c r="DO127" s="1"/>
      <c r="DP127" s="1"/>
      <c r="DQ127" s="1"/>
      <c r="DR127" s="1"/>
      <c r="DS127" s="1"/>
      <c r="DT127" s="1"/>
      <c r="DU127" s="1"/>
      <c r="DV127" s="1"/>
      <c r="DW127" s="1"/>
      <c r="DX127" s="1"/>
      <c r="DY127" s="1"/>
      <c r="DZ127" s="1"/>
      <c r="EA127" s="1"/>
      <c r="EB127" s="1"/>
      <c r="EC127" s="1"/>
      <c r="ED127" s="1"/>
      <c r="EE127" s="1"/>
      <c r="EF127" s="1"/>
      <c r="EG127" s="1"/>
      <c r="EH127" s="1"/>
      <c r="EI127" s="1"/>
      <c r="EJ127" s="1"/>
      <c r="EK127" s="1"/>
      <c r="EL127" s="1"/>
      <c r="EM127" s="1"/>
      <c r="EN127" s="1"/>
    </row>
    <row r="128" spans="3:144" x14ac:dyDescent="0.3">
      <c r="C128" s="5" t="s">
        <v>118</v>
      </c>
      <c r="D128" s="5"/>
      <c r="E128" s="5"/>
      <c r="F128" s="232">
        <v>131</v>
      </c>
      <c r="G128" s="233">
        <v>111</v>
      </c>
      <c r="H128" s="233">
        <v>61</v>
      </c>
      <c r="I128" s="233">
        <v>56</v>
      </c>
      <c r="J128" s="233">
        <v>42</v>
      </c>
      <c r="K128" s="50"/>
      <c r="L128" s="55"/>
      <c r="M128" s="55"/>
      <c r="N128" s="55"/>
      <c r="O128" s="55"/>
      <c r="P128" s="32"/>
      <c r="Q128" s="32"/>
      <c r="R128" s="32"/>
      <c r="S128" s="32"/>
      <c r="T128" s="30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  <c r="DI128" s="1"/>
      <c r="DJ128" s="1"/>
      <c r="DK128" s="1"/>
      <c r="DL128" s="1"/>
      <c r="DM128" s="1"/>
      <c r="DN128" s="1"/>
      <c r="DO128" s="1"/>
      <c r="DP128" s="1"/>
      <c r="DQ128" s="1"/>
      <c r="DR128" s="1"/>
      <c r="DS128" s="1"/>
      <c r="DT128" s="1"/>
      <c r="DU128" s="1"/>
      <c r="DV128" s="1"/>
      <c r="DW128" s="1"/>
      <c r="DX128" s="1"/>
      <c r="DY128" s="1"/>
      <c r="DZ128" s="1"/>
      <c r="EA128" s="1"/>
      <c r="EB128" s="1"/>
      <c r="EC128" s="1"/>
      <c r="ED128" s="1"/>
      <c r="EE128" s="1"/>
      <c r="EF128" s="1"/>
      <c r="EG128" s="1"/>
      <c r="EH128" s="1"/>
      <c r="EI128" s="1"/>
      <c r="EJ128" s="1"/>
      <c r="EK128" s="1"/>
      <c r="EL128" s="1"/>
      <c r="EM128" s="1"/>
      <c r="EN128" s="1"/>
    </row>
    <row r="129" spans="3:144" x14ac:dyDescent="0.3">
      <c r="C129" s="5" t="s">
        <v>119</v>
      </c>
      <c r="D129" s="5"/>
      <c r="E129" s="5"/>
      <c r="F129" s="232">
        <v>71</v>
      </c>
      <c r="G129" s="233">
        <v>114</v>
      </c>
      <c r="H129" s="233">
        <v>100</v>
      </c>
      <c r="I129" s="233">
        <v>118</v>
      </c>
      <c r="J129" s="233">
        <v>138</v>
      </c>
      <c r="K129" s="50"/>
      <c r="L129" s="55"/>
      <c r="M129" s="55"/>
      <c r="N129" s="55"/>
      <c r="O129" s="55"/>
      <c r="P129" s="32">
        <f t="shared" ref="P129:R131" si="37">SUM(H139,-G139)/G139</f>
        <v>-0.33333333333333331</v>
      </c>
      <c r="Q129" s="32">
        <f t="shared" si="37"/>
        <v>0.5</v>
      </c>
      <c r="R129" s="32">
        <f t="shared" si="37"/>
        <v>0</v>
      </c>
      <c r="S129" s="32"/>
      <c r="T129" s="30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  <c r="DI129" s="1"/>
      <c r="DJ129" s="1"/>
      <c r="DK129" s="1"/>
      <c r="DL129" s="1"/>
      <c r="DM129" s="1"/>
      <c r="DN129" s="1"/>
      <c r="DO129" s="1"/>
      <c r="DP129" s="1"/>
      <c r="DQ129" s="1"/>
      <c r="DR129" s="1"/>
      <c r="DS129" s="1"/>
      <c r="DT129" s="1"/>
      <c r="DU129" s="1"/>
      <c r="DV129" s="1"/>
      <c r="DW129" s="1"/>
      <c r="DX129" s="1"/>
      <c r="DY129" s="1"/>
      <c r="DZ129" s="1"/>
      <c r="EA129" s="1"/>
      <c r="EB129" s="1"/>
      <c r="EC129" s="1"/>
      <c r="ED129" s="1"/>
      <c r="EE129" s="1"/>
      <c r="EF129" s="1"/>
      <c r="EG129" s="1"/>
      <c r="EH129" s="1"/>
      <c r="EI129" s="1"/>
      <c r="EJ129" s="1"/>
      <c r="EK129" s="1"/>
      <c r="EL129" s="1"/>
      <c r="EM129" s="1"/>
      <c r="EN129" s="1"/>
    </row>
    <row r="130" spans="3:144" x14ac:dyDescent="0.3">
      <c r="C130" s="10" t="s">
        <v>110</v>
      </c>
      <c r="D130" s="12"/>
      <c r="E130" s="12"/>
      <c r="F130" s="234">
        <f t="shared" ref="F130:G130" si="38">SUM(F125:F129)</f>
        <v>576</v>
      </c>
      <c r="G130" s="235">
        <f t="shared" si="38"/>
        <v>671</v>
      </c>
      <c r="H130" s="235">
        <f>SUM(H125:H129)</f>
        <v>625</v>
      </c>
      <c r="I130" s="235">
        <f>SUM(I125:I129)</f>
        <v>642</v>
      </c>
      <c r="J130" s="235">
        <f>SUM(J125:J129)</f>
        <v>676</v>
      </c>
      <c r="K130" s="50"/>
      <c r="L130" s="55"/>
      <c r="M130" s="55"/>
      <c r="N130" s="55"/>
      <c r="O130" s="55"/>
      <c r="P130" s="32">
        <f t="shared" si="37"/>
        <v>-1.448225923244026E-3</v>
      </c>
      <c r="Q130" s="32">
        <f t="shared" si="37"/>
        <v>2.2480058013052938E-2</v>
      </c>
      <c r="R130" s="32">
        <f t="shared" si="37"/>
        <v>4.8226950354609929E-2</v>
      </c>
      <c r="S130" s="32"/>
      <c r="T130" s="30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  <c r="DI130" s="1"/>
      <c r="DJ130" s="1"/>
      <c r="DK130" s="1"/>
      <c r="DL130" s="1"/>
      <c r="DM130" s="1"/>
      <c r="DN130" s="1"/>
      <c r="DO130" s="1"/>
      <c r="DP130" s="1"/>
      <c r="DQ130" s="1"/>
      <c r="DR130" s="1"/>
      <c r="DS130" s="1"/>
      <c r="DT130" s="1"/>
      <c r="DU130" s="1"/>
      <c r="DV130" s="1"/>
      <c r="DW130" s="1"/>
      <c r="DX130" s="1"/>
      <c r="DY130" s="1"/>
      <c r="DZ130" s="1"/>
      <c r="EA130" s="1"/>
      <c r="EB130" s="1"/>
      <c r="EC130" s="1"/>
      <c r="ED130" s="1"/>
      <c r="EE130" s="1"/>
      <c r="EF130" s="1"/>
      <c r="EG130" s="1"/>
      <c r="EH130" s="1"/>
      <c r="EI130" s="1"/>
      <c r="EJ130" s="1"/>
      <c r="EK130" s="1"/>
      <c r="EL130" s="1"/>
      <c r="EM130" s="1"/>
      <c r="EN130" s="1"/>
    </row>
    <row r="131" spans="3:144" x14ac:dyDescent="0.3">
      <c r="C131" s="8" t="s">
        <v>120</v>
      </c>
      <c r="D131" s="5"/>
      <c r="E131" s="5"/>
      <c r="F131" s="232"/>
      <c r="G131" s="233"/>
      <c r="H131" s="233"/>
      <c r="I131" s="233"/>
      <c r="J131" s="233"/>
      <c r="K131" s="50"/>
      <c r="L131" s="55"/>
      <c r="M131" s="55"/>
      <c r="N131" s="55"/>
      <c r="O131" s="55"/>
      <c r="P131" s="34">
        <f t="shared" si="37"/>
        <v>-2.167630057803468E-3</v>
      </c>
      <c r="Q131" s="34">
        <f t="shared" si="37"/>
        <v>2.3171614771904415E-2</v>
      </c>
      <c r="R131" s="34">
        <f t="shared" si="37"/>
        <v>4.8124557678697805E-2</v>
      </c>
      <c r="S131" s="34">
        <f>SUM(T131,-J141)/J141</f>
        <v>-0.10668467251856853</v>
      </c>
      <c r="T131" s="35">
        <v>1323</v>
      </c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  <c r="DH131" s="1"/>
      <c r="DI131" s="1"/>
      <c r="DJ131" s="1"/>
      <c r="DK131" s="1"/>
      <c r="DL131" s="1"/>
      <c r="DM131" s="1"/>
      <c r="DN131" s="1"/>
      <c r="DO131" s="1"/>
      <c r="DP131" s="1"/>
      <c r="DQ131" s="1"/>
      <c r="DR131" s="1"/>
      <c r="DS131" s="1"/>
      <c r="DT131" s="1"/>
      <c r="DU131" s="1"/>
      <c r="DV131" s="1"/>
      <c r="DW131" s="1"/>
      <c r="DX131" s="1"/>
      <c r="DY131" s="1"/>
      <c r="DZ131" s="1"/>
      <c r="EA131" s="1"/>
      <c r="EB131" s="1"/>
      <c r="EC131" s="1"/>
      <c r="ED131" s="1"/>
      <c r="EE131" s="1"/>
      <c r="EF131" s="1"/>
      <c r="EG131" s="1"/>
      <c r="EH131" s="1"/>
      <c r="EI131" s="1"/>
      <c r="EJ131" s="1"/>
      <c r="EK131" s="1"/>
      <c r="EL131" s="1"/>
      <c r="EM131" s="1"/>
      <c r="EN131" s="1"/>
    </row>
    <row r="132" spans="3:144" x14ac:dyDescent="0.3">
      <c r="C132" s="5" t="s">
        <v>121</v>
      </c>
      <c r="D132" s="5"/>
      <c r="E132" s="5"/>
      <c r="F132" s="232">
        <v>72</v>
      </c>
      <c r="G132" s="233">
        <v>90</v>
      </c>
      <c r="H132" s="233">
        <v>125</v>
      </c>
      <c r="I132" s="233">
        <v>134</v>
      </c>
      <c r="J132" s="233">
        <v>140</v>
      </c>
      <c r="K132" s="50"/>
      <c r="L132" s="55"/>
      <c r="M132" s="55"/>
      <c r="N132" s="55"/>
      <c r="O132" s="55"/>
      <c r="P132" s="32"/>
      <c r="Q132" s="32"/>
      <c r="R132" s="32"/>
      <c r="S132" s="32"/>
      <c r="T132" s="30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DG132" s="1"/>
      <c r="DH132" s="1"/>
      <c r="DI132" s="1"/>
      <c r="DJ132" s="1"/>
      <c r="DK132" s="1"/>
      <c r="DL132" s="1"/>
      <c r="DM132" s="1"/>
      <c r="DN132" s="1"/>
      <c r="DO132" s="1"/>
      <c r="DP132" s="1"/>
      <c r="DQ132" s="1"/>
      <c r="DR132" s="1"/>
      <c r="DS132" s="1"/>
      <c r="DT132" s="1"/>
      <c r="DU132" s="1"/>
      <c r="DV132" s="1"/>
      <c r="DW132" s="1"/>
      <c r="DX132" s="1"/>
      <c r="DY132" s="1"/>
      <c r="DZ132" s="1"/>
      <c r="EA132" s="1"/>
      <c r="EB132" s="1"/>
      <c r="EC132" s="1"/>
      <c r="ED132" s="1"/>
      <c r="EE132" s="1"/>
      <c r="EF132" s="1"/>
      <c r="EG132" s="1"/>
      <c r="EH132" s="1"/>
      <c r="EI132" s="1"/>
      <c r="EJ132" s="1"/>
      <c r="EK132" s="1"/>
      <c r="EL132" s="1"/>
      <c r="EM132" s="1"/>
      <c r="EN132" s="1"/>
    </row>
    <row r="133" spans="3:144" x14ac:dyDescent="0.3">
      <c r="C133" s="5" t="s">
        <v>36</v>
      </c>
      <c r="D133" s="5"/>
      <c r="E133" s="5"/>
      <c r="F133" s="232">
        <v>27</v>
      </c>
      <c r="G133" s="233">
        <v>19</v>
      </c>
      <c r="H133" s="233">
        <v>23</v>
      </c>
      <c r="I133" s="233">
        <v>14</v>
      </c>
      <c r="J133" s="233">
        <v>9</v>
      </c>
      <c r="K133" s="50"/>
      <c r="L133" s="55"/>
      <c r="M133" s="55"/>
      <c r="N133" s="55"/>
      <c r="O133" s="55"/>
      <c r="P133" s="32">
        <f t="shared" ref="P133:P146" si="39">SUM(H143,-G143)/G143</f>
        <v>-2.564102564102564E-2</v>
      </c>
      <c r="Q133" s="32">
        <f t="shared" ref="Q133:Q146" si="40">SUM(I143,-H143)/H143</f>
        <v>0.13157894736842105</v>
      </c>
      <c r="R133" s="32">
        <f t="shared" ref="R133:R146" si="41">SUM(J143,-I143)/I143</f>
        <v>0</v>
      </c>
      <c r="S133" s="32"/>
      <c r="T133" s="30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  <c r="DI133" s="1"/>
      <c r="DJ133" s="1"/>
      <c r="DK133" s="1"/>
      <c r="DL133" s="1"/>
      <c r="DM133" s="1"/>
      <c r="DN133" s="1"/>
      <c r="DO133" s="1"/>
      <c r="DP133" s="1"/>
      <c r="DQ133" s="1"/>
      <c r="DR133" s="1"/>
      <c r="DS133" s="1"/>
      <c r="DT133" s="1"/>
      <c r="DU133" s="1"/>
      <c r="DV133" s="1"/>
      <c r="DW133" s="1"/>
      <c r="DX133" s="1"/>
      <c r="DY133" s="1"/>
      <c r="DZ133" s="1"/>
      <c r="EA133" s="1"/>
      <c r="EB133" s="1"/>
      <c r="EC133" s="1"/>
      <c r="ED133" s="1"/>
      <c r="EE133" s="1"/>
      <c r="EF133" s="1"/>
      <c r="EG133" s="1"/>
      <c r="EH133" s="1"/>
      <c r="EI133" s="1"/>
      <c r="EJ133" s="1"/>
      <c r="EK133" s="1"/>
      <c r="EL133" s="1"/>
      <c r="EM133" s="1"/>
      <c r="EN133" s="1"/>
    </row>
    <row r="134" spans="3:144" x14ac:dyDescent="0.3">
      <c r="C134" s="10" t="s">
        <v>110</v>
      </c>
      <c r="D134" s="12"/>
      <c r="E134" s="12"/>
      <c r="F134" s="234">
        <f t="shared" ref="F134:G134" si="42">SUM(F132:F133)</f>
        <v>99</v>
      </c>
      <c r="G134" s="235">
        <f t="shared" si="42"/>
        <v>109</v>
      </c>
      <c r="H134" s="235">
        <f>SUM(H132:H133)</f>
        <v>148</v>
      </c>
      <c r="I134" s="235">
        <f>SUM(I132:I133)</f>
        <v>148</v>
      </c>
      <c r="J134" s="235">
        <f>SUM(J132:J133)</f>
        <v>149</v>
      </c>
      <c r="K134" s="50"/>
      <c r="L134" s="55"/>
      <c r="M134" s="55"/>
      <c r="N134" s="55"/>
      <c r="O134" s="55"/>
      <c r="P134" s="32">
        <f t="shared" si="39"/>
        <v>-0.66007905138339917</v>
      </c>
      <c r="Q134" s="32">
        <f t="shared" si="40"/>
        <v>0.81395348837209303</v>
      </c>
      <c r="R134" s="32">
        <f t="shared" si="41"/>
        <v>1.4358974358974359</v>
      </c>
      <c r="S134" s="32"/>
      <c r="T134" s="30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DG134" s="1"/>
      <c r="DH134" s="1"/>
      <c r="DI134" s="1"/>
      <c r="DJ134" s="1"/>
      <c r="DK134" s="1"/>
      <c r="DL134" s="1"/>
      <c r="DM134" s="1"/>
      <c r="DN134" s="1"/>
      <c r="DO134" s="1"/>
      <c r="DP134" s="1"/>
      <c r="DQ134" s="1"/>
      <c r="DR134" s="1"/>
      <c r="DS134" s="1"/>
      <c r="DT134" s="1"/>
      <c r="DU134" s="1"/>
      <c r="DV134" s="1"/>
      <c r="DW134" s="1"/>
      <c r="DX134" s="1"/>
      <c r="DY134" s="1"/>
      <c r="DZ134" s="1"/>
      <c r="EA134" s="1"/>
      <c r="EB134" s="1"/>
      <c r="EC134" s="1"/>
      <c r="ED134" s="1"/>
      <c r="EE134" s="1"/>
      <c r="EF134" s="1"/>
      <c r="EG134" s="1"/>
      <c r="EH134" s="1"/>
      <c r="EI134" s="1"/>
      <c r="EJ134" s="1"/>
      <c r="EK134" s="1"/>
      <c r="EL134" s="1"/>
      <c r="EM134" s="1"/>
      <c r="EN134" s="1"/>
    </row>
    <row r="135" spans="3:144" x14ac:dyDescent="0.3">
      <c r="C135" s="15" t="s">
        <v>122</v>
      </c>
      <c r="D135" s="16"/>
      <c r="E135" s="16"/>
      <c r="F135" s="246">
        <f t="shared" ref="F135:G135" si="43">SUM(F134,F130,F123,F119)</f>
        <v>4096</v>
      </c>
      <c r="G135" s="247">
        <f t="shared" si="43"/>
        <v>4581</v>
      </c>
      <c r="H135" s="247">
        <f>SUM(H134,H130,H123,H119)</f>
        <v>4593</v>
      </c>
      <c r="I135" s="247">
        <f>SUM(I134,I130,I123,I119)</f>
        <v>4088</v>
      </c>
      <c r="J135" s="247">
        <f>SUM(J134,J130,J123,J119)</f>
        <v>4439</v>
      </c>
      <c r="K135" s="50"/>
      <c r="L135" s="55"/>
      <c r="M135" s="55"/>
      <c r="N135" s="55"/>
      <c r="O135" s="55"/>
      <c r="P135" s="32">
        <f t="shared" si="39"/>
        <v>-0.12168141592920353</v>
      </c>
      <c r="Q135" s="32">
        <f t="shared" si="40"/>
        <v>-3.7783375314861464E-2</v>
      </c>
      <c r="R135" s="32">
        <f t="shared" si="41"/>
        <v>0.10209424083769633</v>
      </c>
      <c r="S135" s="32"/>
      <c r="T135" s="30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  <c r="DI135" s="1"/>
      <c r="DJ135" s="1"/>
      <c r="DK135" s="1"/>
      <c r="DL135" s="1"/>
      <c r="DM135" s="1"/>
      <c r="DN135" s="1"/>
      <c r="DO135" s="1"/>
      <c r="DP135" s="1"/>
      <c r="DQ135" s="1"/>
      <c r="DR135" s="1"/>
      <c r="DS135" s="1"/>
      <c r="DT135" s="1"/>
      <c r="DU135" s="1"/>
      <c r="DV135" s="1"/>
      <c r="DW135" s="1"/>
      <c r="DX135" s="1"/>
      <c r="DY135" s="1"/>
      <c r="DZ135" s="1"/>
      <c r="EA135" s="1"/>
      <c r="EB135" s="1"/>
      <c r="EC135" s="1"/>
      <c r="ED135" s="1"/>
      <c r="EE135" s="1"/>
      <c r="EF135" s="1"/>
      <c r="EG135" s="1"/>
      <c r="EH135" s="1"/>
      <c r="EI135" s="1"/>
      <c r="EJ135" s="1"/>
      <c r="EK135" s="1"/>
      <c r="EL135" s="1"/>
      <c r="EM135" s="1"/>
      <c r="EN135" s="1"/>
    </row>
    <row r="136" spans="3:144" x14ac:dyDescent="0.3">
      <c r="C136" s="8"/>
      <c r="D136" s="5"/>
      <c r="E136" s="5"/>
      <c r="F136" s="232"/>
      <c r="G136" s="233"/>
      <c r="H136" s="233"/>
      <c r="I136" s="233"/>
      <c r="J136" s="233"/>
      <c r="K136" s="50"/>
      <c r="L136" s="55"/>
      <c r="M136" s="55"/>
      <c r="N136" s="55"/>
      <c r="O136" s="55"/>
      <c r="P136" s="32">
        <f t="shared" si="39"/>
        <v>-0.14814814814814814</v>
      </c>
      <c r="Q136" s="32">
        <f t="shared" si="40"/>
        <v>0.11594202898550725</v>
      </c>
      <c r="R136" s="32">
        <f t="shared" si="41"/>
        <v>0.1038961038961039</v>
      </c>
      <c r="S136" s="32"/>
      <c r="T136" s="30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  <c r="DH136" s="1"/>
      <c r="DI136" s="1"/>
      <c r="DJ136" s="1"/>
      <c r="DK136" s="1"/>
      <c r="DL136" s="1"/>
      <c r="DM136" s="1"/>
      <c r="DN136" s="1"/>
      <c r="DO136" s="1"/>
      <c r="DP136" s="1"/>
      <c r="DQ136" s="1"/>
      <c r="DR136" s="1"/>
      <c r="DS136" s="1"/>
      <c r="DT136" s="1"/>
      <c r="DU136" s="1"/>
      <c r="DV136" s="1"/>
      <c r="DW136" s="1"/>
      <c r="DX136" s="1"/>
      <c r="DY136" s="1"/>
      <c r="DZ136" s="1"/>
      <c r="EA136" s="1"/>
      <c r="EB136" s="1"/>
      <c r="EC136" s="1"/>
      <c r="ED136" s="1"/>
      <c r="EE136" s="1"/>
      <c r="EF136" s="1"/>
      <c r="EG136" s="1"/>
      <c r="EH136" s="1"/>
      <c r="EI136" s="1"/>
      <c r="EJ136" s="1"/>
      <c r="EK136" s="1"/>
      <c r="EL136" s="1"/>
      <c r="EM136" s="1"/>
      <c r="EN136" s="1"/>
    </row>
    <row r="137" spans="3:144" ht="16.2" x14ac:dyDescent="0.35">
      <c r="C137" s="131" t="s">
        <v>123</v>
      </c>
      <c r="D137" s="5"/>
      <c r="E137" s="5"/>
      <c r="F137" s="232"/>
      <c r="G137" s="233"/>
      <c r="H137" s="233"/>
      <c r="I137" s="233"/>
      <c r="J137" s="233"/>
      <c r="K137" s="50"/>
      <c r="L137" s="55"/>
      <c r="M137" s="55"/>
      <c r="N137" s="55"/>
      <c r="O137" s="55"/>
      <c r="P137" s="32">
        <f t="shared" si="39"/>
        <v>0.18055555555555555</v>
      </c>
      <c r="Q137" s="32">
        <f t="shared" si="40"/>
        <v>-5.8823529411764705E-2</v>
      </c>
      <c r="R137" s="32">
        <f t="shared" si="41"/>
        <v>0.3125</v>
      </c>
      <c r="S137" s="32"/>
      <c r="T137" s="30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"/>
      <c r="DH137" s="1"/>
      <c r="DI137" s="1"/>
      <c r="DJ137" s="1"/>
      <c r="DK137" s="1"/>
      <c r="DL137" s="1"/>
      <c r="DM137" s="1"/>
      <c r="DN137" s="1"/>
      <c r="DO137" s="1"/>
      <c r="DP137" s="1"/>
      <c r="DQ137" s="1"/>
      <c r="DR137" s="1"/>
      <c r="DS137" s="1"/>
      <c r="DT137" s="1"/>
      <c r="DU137" s="1"/>
      <c r="DV137" s="1"/>
      <c r="DW137" s="1"/>
      <c r="DX137" s="1"/>
      <c r="DY137" s="1"/>
      <c r="DZ137" s="1"/>
      <c r="EA137" s="1"/>
      <c r="EB137" s="1"/>
      <c r="EC137" s="1"/>
      <c r="ED137" s="1"/>
      <c r="EE137" s="1"/>
      <c r="EF137" s="1"/>
      <c r="EG137" s="1"/>
      <c r="EH137" s="1"/>
      <c r="EI137" s="1"/>
      <c r="EJ137" s="1"/>
      <c r="EK137" s="1"/>
      <c r="EL137" s="1"/>
      <c r="EM137" s="1"/>
      <c r="EN137" s="1"/>
    </row>
    <row r="138" spans="3:144" x14ac:dyDescent="0.3">
      <c r="C138" s="8" t="s">
        <v>124</v>
      </c>
      <c r="D138" s="5"/>
      <c r="E138" s="5"/>
      <c r="F138" s="232"/>
      <c r="G138" s="233"/>
      <c r="H138" s="233"/>
      <c r="I138" s="233"/>
      <c r="J138" s="233"/>
      <c r="K138" s="50"/>
      <c r="L138" s="55"/>
      <c r="M138" s="55"/>
      <c r="N138" s="55"/>
      <c r="O138" s="55"/>
      <c r="P138" s="32">
        <f t="shared" si="39"/>
        <v>0.37931034482758619</v>
      </c>
      <c r="Q138" s="32">
        <f t="shared" si="40"/>
        <v>-0.47499999999999998</v>
      </c>
      <c r="R138" s="32">
        <f t="shared" si="41"/>
        <v>0.5714285714285714</v>
      </c>
      <c r="S138" s="32"/>
      <c r="T138" s="30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  <c r="DH138" s="1"/>
      <c r="DI138" s="1"/>
      <c r="DJ138" s="1"/>
      <c r="DK138" s="1"/>
      <c r="DL138" s="1"/>
      <c r="DM138" s="1"/>
      <c r="DN138" s="1"/>
      <c r="DO138" s="1"/>
      <c r="DP138" s="1"/>
      <c r="DQ138" s="1"/>
      <c r="DR138" s="1"/>
      <c r="DS138" s="1"/>
      <c r="DT138" s="1"/>
      <c r="DU138" s="1"/>
      <c r="DV138" s="1"/>
      <c r="DW138" s="1"/>
      <c r="DX138" s="1"/>
      <c r="DY138" s="1"/>
      <c r="DZ138" s="1"/>
      <c r="EA138" s="1"/>
      <c r="EB138" s="1"/>
      <c r="EC138" s="1"/>
      <c r="ED138" s="1"/>
      <c r="EE138" s="1"/>
      <c r="EF138" s="1"/>
      <c r="EG138" s="1"/>
      <c r="EH138" s="1"/>
      <c r="EI138" s="1"/>
      <c r="EJ138" s="1"/>
      <c r="EK138" s="1"/>
      <c r="EL138" s="1"/>
      <c r="EM138" s="1"/>
      <c r="EN138" s="1"/>
    </row>
    <row r="139" spans="3:144" x14ac:dyDescent="0.3">
      <c r="C139" s="5" t="s">
        <v>125</v>
      </c>
      <c r="D139" s="5"/>
      <c r="E139" s="5"/>
      <c r="F139" s="232">
        <v>5</v>
      </c>
      <c r="G139" s="233">
        <v>3</v>
      </c>
      <c r="H139" s="233">
        <v>2</v>
      </c>
      <c r="I139" s="233">
        <v>3</v>
      </c>
      <c r="J139" s="233">
        <v>3</v>
      </c>
      <c r="K139" s="50"/>
      <c r="L139" s="55"/>
      <c r="M139" s="55"/>
      <c r="N139" s="55"/>
      <c r="O139" s="55"/>
      <c r="P139" s="32">
        <f t="shared" si="39"/>
        <v>0</v>
      </c>
      <c r="Q139" s="32">
        <f t="shared" si="40"/>
        <v>0</v>
      </c>
      <c r="R139" s="32">
        <f t="shared" si="41"/>
        <v>0</v>
      </c>
      <c r="S139" s="32"/>
      <c r="T139" s="30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1"/>
      <c r="DZ139" s="1"/>
      <c r="EA139" s="1"/>
      <c r="EB139" s="1"/>
      <c r="EC139" s="1"/>
      <c r="ED139" s="1"/>
      <c r="EE139" s="1"/>
      <c r="EF139" s="1"/>
      <c r="EG139" s="1"/>
      <c r="EH139" s="1"/>
      <c r="EI139" s="1"/>
      <c r="EJ139" s="1"/>
      <c r="EK139" s="1"/>
      <c r="EL139" s="1"/>
      <c r="EM139" s="1"/>
      <c r="EN139" s="1"/>
    </row>
    <row r="140" spans="3:144" x14ac:dyDescent="0.3">
      <c r="C140" s="5" t="s">
        <v>126</v>
      </c>
      <c r="D140" s="5"/>
      <c r="E140" s="5"/>
      <c r="F140" s="232">
        <v>1165</v>
      </c>
      <c r="G140" s="233">
        <v>1381</v>
      </c>
      <c r="H140" s="233">
        <v>1379</v>
      </c>
      <c r="I140" s="233">
        <v>1410</v>
      </c>
      <c r="J140" s="233">
        <v>1478</v>
      </c>
      <c r="K140" s="50"/>
      <c r="L140" s="55"/>
      <c r="M140" s="55"/>
      <c r="N140" s="55"/>
      <c r="O140" s="55"/>
      <c r="P140" s="32">
        <f t="shared" si="39"/>
        <v>-0.2608695652173913</v>
      </c>
      <c r="Q140" s="32">
        <f t="shared" si="40"/>
        <v>-0.11764705882352941</v>
      </c>
      <c r="R140" s="32">
        <f t="shared" si="41"/>
        <v>-2.6666666666666668E-2</v>
      </c>
      <c r="S140" s="32"/>
      <c r="T140" s="30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  <c r="DD140" s="1"/>
      <c r="DE140" s="1"/>
      <c r="DF140" s="1"/>
      <c r="DG140" s="1"/>
      <c r="DH140" s="1"/>
      <c r="DI140" s="1"/>
      <c r="DJ140" s="1"/>
      <c r="DK140" s="1"/>
      <c r="DL140" s="1"/>
      <c r="DM140" s="1"/>
      <c r="DN140" s="1"/>
      <c r="DO140" s="1"/>
      <c r="DP140" s="1"/>
      <c r="DQ140" s="1"/>
      <c r="DR140" s="1"/>
      <c r="DS140" s="1"/>
      <c r="DT140" s="1"/>
      <c r="DU140" s="1"/>
      <c r="DV140" s="1"/>
      <c r="DW140" s="1"/>
      <c r="DX140" s="1"/>
      <c r="DY140" s="1"/>
      <c r="DZ140" s="1"/>
      <c r="EA140" s="1"/>
      <c r="EB140" s="1"/>
      <c r="EC140" s="1"/>
      <c r="ED140" s="1"/>
      <c r="EE140" s="1"/>
      <c r="EF140" s="1"/>
      <c r="EG140" s="1"/>
      <c r="EH140" s="1"/>
      <c r="EI140" s="1"/>
      <c r="EJ140" s="1"/>
      <c r="EK140" s="1"/>
      <c r="EL140" s="1"/>
      <c r="EM140" s="1"/>
      <c r="EN140" s="1"/>
    </row>
    <row r="141" spans="3:144" x14ac:dyDescent="0.3">
      <c r="C141" s="10" t="s">
        <v>110</v>
      </c>
      <c r="D141" s="12"/>
      <c r="E141" s="12"/>
      <c r="F141" s="234">
        <f t="shared" ref="F141:G141" si="44">SUM(F139:F140)</f>
        <v>1170</v>
      </c>
      <c r="G141" s="235">
        <f t="shared" si="44"/>
        <v>1384</v>
      </c>
      <c r="H141" s="235">
        <f>SUM(H139:H140)</f>
        <v>1381</v>
      </c>
      <c r="I141" s="235">
        <f>SUM(I139:I140)</f>
        <v>1413</v>
      </c>
      <c r="J141" s="235">
        <f>SUM(J139:J140)</f>
        <v>1481</v>
      </c>
      <c r="K141" s="53"/>
      <c r="L141" s="55"/>
      <c r="M141" s="55"/>
      <c r="N141" s="55"/>
      <c r="O141" s="55"/>
      <c r="P141" s="32">
        <f t="shared" si="39"/>
        <v>-1</v>
      </c>
      <c r="Q141" s="32" t="e">
        <f t="shared" si="40"/>
        <v>#DIV/0!</v>
      </c>
      <c r="R141" s="32" t="e">
        <f t="shared" si="41"/>
        <v>#DIV/0!</v>
      </c>
      <c r="S141" s="32"/>
      <c r="T141" s="30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  <c r="DD141" s="1"/>
      <c r="DE141" s="1"/>
      <c r="DF141" s="1"/>
      <c r="DG141" s="1"/>
      <c r="DH141" s="1"/>
      <c r="DI141" s="1"/>
      <c r="DJ141" s="1"/>
      <c r="DK141" s="1"/>
      <c r="DL141" s="1"/>
      <c r="DM141" s="1"/>
      <c r="DN141" s="1"/>
      <c r="DO141" s="1"/>
      <c r="DP141" s="1"/>
      <c r="DQ141" s="1"/>
      <c r="DR141" s="1"/>
      <c r="DS141" s="1"/>
      <c r="DT141" s="1"/>
      <c r="DU141" s="1"/>
      <c r="DV141" s="1"/>
      <c r="DW141" s="1"/>
      <c r="DX141" s="1"/>
      <c r="DY141" s="1"/>
      <c r="DZ141" s="1"/>
      <c r="EA141" s="1"/>
      <c r="EB141" s="1"/>
      <c r="EC141" s="1"/>
      <c r="ED141" s="1"/>
      <c r="EE141" s="1"/>
      <c r="EF141" s="1"/>
      <c r="EG141" s="1"/>
      <c r="EH141" s="1"/>
      <c r="EI141" s="1"/>
      <c r="EJ141" s="1"/>
      <c r="EK141" s="1"/>
      <c r="EL141" s="1"/>
      <c r="EM141" s="1"/>
      <c r="EN141" s="1"/>
    </row>
    <row r="142" spans="3:144" x14ac:dyDescent="0.3">
      <c r="C142" s="8" t="s">
        <v>127</v>
      </c>
      <c r="D142" s="5"/>
      <c r="E142" s="5"/>
      <c r="F142" s="232"/>
      <c r="G142" s="233"/>
      <c r="H142" s="233"/>
      <c r="I142" s="233"/>
      <c r="J142" s="233"/>
      <c r="K142" s="50"/>
      <c r="L142" s="55"/>
      <c r="M142" s="55"/>
      <c r="N142" s="55"/>
      <c r="O142" s="55"/>
      <c r="P142" s="32">
        <f t="shared" si="39"/>
        <v>-1</v>
      </c>
      <c r="Q142" s="32" t="e">
        <f t="shared" si="40"/>
        <v>#DIV/0!</v>
      </c>
      <c r="R142" s="32" t="e">
        <f t="shared" si="41"/>
        <v>#DIV/0!</v>
      </c>
      <c r="S142" s="32"/>
      <c r="T142" s="30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  <c r="DB142" s="1"/>
      <c r="DC142" s="1"/>
      <c r="DD142" s="1"/>
      <c r="DE142" s="1"/>
      <c r="DF142" s="1"/>
      <c r="DG142" s="1"/>
      <c r="DH142" s="1"/>
      <c r="DI142" s="1"/>
      <c r="DJ142" s="1"/>
      <c r="DK142" s="1"/>
      <c r="DL142" s="1"/>
      <c r="DM142" s="1"/>
      <c r="DN142" s="1"/>
      <c r="DO142" s="1"/>
      <c r="DP142" s="1"/>
      <c r="DQ142" s="1"/>
      <c r="DR142" s="1"/>
      <c r="DS142" s="1"/>
      <c r="DT142" s="1"/>
      <c r="DU142" s="1"/>
      <c r="DV142" s="1"/>
      <c r="DW142" s="1"/>
      <c r="DX142" s="1"/>
      <c r="DY142" s="1"/>
      <c r="DZ142" s="1"/>
      <c r="EA142" s="1"/>
      <c r="EB142" s="1"/>
      <c r="EC142" s="1"/>
      <c r="ED142" s="1"/>
      <c r="EE142" s="1"/>
      <c r="EF142" s="1"/>
      <c r="EG142" s="1"/>
      <c r="EH142" s="1"/>
      <c r="EI142" s="1"/>
      <c r="EJ142" s="1"/>
      <c r="EK142" s="1"/>
      <c r="EL142" s="1"/>
      <c r="EM142" s="1"/>
      <c r="EN142" s="1"/>
    </row>
    <row r="143" spans="3:144" x14ac:dyDescent="0.3">
      <c r="C143" s="5" t="s">
        <v>128</v>
      </c>
      <c r="D143" s="5"/>
      <c r="E143" s="5"/>
      <c r="F143" s="218">
        <v>37</v>
      </c>
      <c r="G143" s="219">
        <v>39</v>
      </c>
      <c r="H143" s="219">
        <v>38</v>
      </c>
      <c r="I143" s="219">
        <v>43</v>
      </c>
      <c r="J143" s="219">
        <v>43</v>
      </c>
      <c r="K143" s="50"/>
      <c r="L143" s="55"/>
      <c r="M143" s="55"/>
      <c r="N143" s="55"/>
      <c r="O143" s="55"/>
      <c r="P143" s="32">
        <f t="shared" si="39"/>
        <v>0.16666666666666666</v>
      </c>
      <c r="Q143" s="32">
        <f t="shared" si="40"/>
        <v>0</v>
      </c>
      <c r="R143" s="32">
        <f t="shared" si="41"/>
        <v>-0.5714285714285714</v>
      </c>
      <c r="S143" s="32"/>
      <c r="T143" s="30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  <c r="DD143" s="1"/>
      <c r="DE143" s="1"/>
      <c r="DF143" s="1"/>
      <c r="DG143" s="1"/>
      <c r="DH143" s="1"/>
      <c r="DI143" s="1"/>
      <c r="DJ143" s="1"/>
      <c r="DK143" s="1"/>
      <c r="DL143" s="1"/>
      <c r="DM143" s="1"/>
      <c r="DN143" s="1"/>
      <c r="DO143" s="1"/>
      <c r="DP143" s="1"/>
      <c r="DQ143" s="1"/>
      <c r="DR143" s="1"/>
      <c r="DS143" s="1"/>
      <c r="DT143" s="1"/>
      <c r="DU143" s="1"/>
      <c r="DV143" s="1"/>
      <c r="DW143" s="1"/>
      <c r="DX143" s="1"/>
      <c r="DY143" s="1"/>
      <c r="DZ143" s="1"/>
      <c r="EA143" s="1"/>
      <c r="EB143" s="1"/>
      <c r="EC143" s="1"/>
      <c r="ED143" s="1"/>
      <c r="EE143" s="1"/>
      <c r="EF143" s="1"/>
      <c r="EG143" s="1"/>
      <c r="EH143" s="1"/>
      <c r="EI143" s="1"/>
      <c r="EJ143" s="1"/>
      <c r="EK143" s="1"/>
      <c r="EL143" s="1"/>
      <c r="EM143" s="1"/>
      <c r="EN143" s="1"/>
    </row>
    <row r="144" spans="3:144" x14ac:dyDescent="0.3">
      <c r="C144" s="5" t="s">
        <v>53</v>
      </c>
      <c r="D144" s="21"/>
      <c r="E144" s="5"/>
      <c r="F144" s="218">
        <v>51</v>
      </c>
      <c r="G144" s="219">
        <v>253</v>
      </c>
      <c r="H144" s="219">
        <v>86</v>
      </c>
      <c r="I144" s="219">
        <v>156</v>
      </c>
      <c r="J144" s="219">
        <v>380</v>
      </c>
      <c r="K144" s="50"/>
      <c r="L144" s="55"/>
      <c r="M144" s="55"/>
      <c r="N144" s="55"/>
      <c r="O144" s="55"/>
      <c r="P144" s="32">
        <f t="shared" si="39"/>
        <v>-8.3333333333333329E-2</v>
      </c>
      <c r="Q144" s="32">
        <f t="shared" si="40"/>
        <v>0.27272727272727271</v>
      </c>
      <c r="R144" s="32">
        <f t="shared" si="41"/>
        <v>0.21428571428571427</v>
      </c>
      <c r="S144" s="32"/>
      <c r="T144" s="30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  <c r="DD144" s="1"/>
      <c r="DE144" s="1"/>
      <c r="DF144" s="1"/>
      <c r="DG144" s="1"/>
      <c r="DH144" s="1"/>
      <c r="DI144" s="1"/>
      <c r="DJ144" s="1"/>
      <c r="DK144" s="1"/>
      <c r="DL144" s="1"/>
      <c r="DM144" s="1"/>
      <c r="DN144" s="1"/>
      <c r="DO144" s="1"/>
      <c r="DP144" s="1"/>
      <c r="DQ144" s="1"/>
      <c r="DR144" s="1"/>
      <c r="DS144" s="1"/>
      <c r="DT144" s="1"/>
      <c r="DU144" s="1"/>
      <c r="DV144" s="1"/>
      <c r="DW144" s="1"/>
      <c r="DX144" s="1"/>
      <c r="DY144" s="1"/>
      <c r="DZ144" s="1"/>
      <c r="EA144" s="1"/>
      <c r="EB144" s="1"/>
      <c r="EC144" s="1"/>
      <c r="ED144" s="1"/>
      <c r="EE144" s="1"/>
      <c r="EF144" s="1"/>
      <c r="EG144" s="1"/>
      <c r="EH144" s="1"/>
      <c r="EI144" s="1"/>
      <c r="EJ144" s="1"/>
      <c r="EK144" s="1"/>
      <c r="EL144" s="1"/>
      <c r="EM144" s="1"/>
      <c r="EN144" s="1"/>
    </row>
    <row r="145" spans="3:144" x14ac:dyDescent="0.3">
      <c r="C145" s="5" t="s">
        <v>129</v>
      </c>
      <c r="D145" s="5"/>
      <c r="E145" s="5"/>
      <c r="F145" s="218">
        <v>433</v>
      </c>
      <c r="G145" s="219">
        <v>452</v>
      </c>
      <c r="H145" s="219">
        <v>397</v>
      </c>
      <c r="I145" s="219">
        <v>382</v>
      </c>
      <c r="J145" s="219">
        <v>421</v>
      </c>
      <c r="K145" s="50"/>
      <c r="L145" s="55"/>
      <c r="M145" s="55"/>
      <c r="N145" s="55"/>
      <c r="O145" s="55"/>
      <c r="P145" s="32">
        <f t="shared" si="39"/>
        <v>0</v>
      </c>
      <c r="Q145" s="32">
        <f t="shared" si="40"/>
        <v>0</v>
      </c>
      <c r="R145" s="32">
        <f t="shared" si="41"/>
        <v>-0.33333333333333331</v>
      </c>
      <c r="S145" s="32"/>
      <c r="T145" s="30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  <c r="DD145" s="1"/>
      <c r="DE145" s="1"/>
      <c r="DF145" s="1"/>
      <c r="DG145" s="1"/>
      <c r="DH145" s="1"/>
      <c r="DI145" s="1"/>
      <c r="DJ145" s="1"/>
      <c r="DK145" s="1"/>
      <c r="DL145" s="1"/>
      <c r="DM145" s="1"/>
      <c r="DN145" s="1"/>
      <c r="DO145" s="1"/>
      <c r="DP145" s="1"/>
      <c r="DQ145" s="1"/>
      <c r="DR145" s="1"/>
      <c r="DS145" s="1"/>
      <c r="DT145" s="1"/>
      <c r="DU145" s="1"/>
      <c r="DV145" s="1"/>
      <c r="DW145" s="1"/>
      <c r="DX145" s="1"/>
      <c r="DY145" s="1"/>
      <c r="DZ145" s="1"/>
      <c r="EA145" s="1"/>
      <c r="EB145" s="1"/>
      <c r="EC145" s="1"/>
      <c r="ED145" s="1"/>
      <c r="EE145" s="1"/>
      <c r="EF145" s="1"/>
      <c r="EG145" s="1"/>
      <c r="EH145" s="1"/>
      <c r="EI145" s="1"/>
      <c r="EJ145" s="1"/>
      <c r="EK145" s="1"/>
      <c r="EL145" s="1"/>
      <c r="EM145" s="1"/>
      <c r="EN145" s="1"/>
    </row>
    <row r="146" spans="3:144" x14ac:dyDescent="0.3">
      <c r="C146" s="5" t="s">
        <v>130</v>
      </c>
      <c r="D146" s="5"/>
      <c r="E146" s="5"/>
      <c r="F146" s="218">
        <v>72</v>
      </c>
      <c r="G146" s="219">
        <v>81</v>
      </c>
      <c r="H146" s="219">
        <v>69</v>
      </c>
      <c r="I146" s="219">
        <v>77</v>
      </c>
      <c r="J146" s="219">
        <v>85</v>
      </c>
      <c r="K146" s="50"/>
      <c r="L146" s="55"/>
      <c r="M146" s="55"/>
      <c r="N146" s="55"/>
      <c r="O146" s="55"/>
      <c r="P146" s="32">
        <f t="shared" si="39"/>
        <v>-1</v>
      </c>
      <c r="Q146" s="32" t="e">
        <f t="shared" si="40"/>
        <v>#DIV/0!</v>
      </c>
      <c r="R146" s="32" t="e">
        <f t="shared" si="41"/>
        <v>#DIV/0!</v>
      </c>
      <c r="S146" s="32"/>
      <c r="T146" s="30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  <c r="DE146" s="1"/>
      <c r="DF146" s="1"/>
      <c r="DG146" s="1"/>
      <c r="DH146" s="1"/>
      <c r="DI146" s="1"/>
      <c r="DJ146" s="1"/>
      <c r="DK146" s="1"/>
      <c r="DL146" s="1"/>
      <c r="DM146" s="1"/>
      <c r="DN146" s="1"/>
      <c r="DO146" s="1"/>
      <c r="DP146" s="1"/>
      <c r="DQ146" s="1"/>
      <c r="DR146" s="1"/>
      <c r="DS146" s="1"/>
      <c r="DT146" s="1"/>
      <c r="DU146" s="1"/>
      <c r="DV146" s="1"/>
      <c r="DW146" s="1"/>
      <c r="DX146" s="1"/>
      <c r="DY146" s="1"/>
      <c r="DZ146" s="1"/>
      <c r="EA146" s="1"/>
      <c r="EB146" s="1"/>
      <c r="EC146" s="1"/>
      <c r="ED146" s="1"/>
      <c r="EE146" s="1"/>
      <c r="EF146" s="1"/>
      <c r="EG146" s="1"/>
      <c r="EH146" s="1"/>
      <c r="EI146" s="1"/>
      <c r="EJ146" s="1"/>
      <c r="EK146" s="1"/>
      <c r="EL146" s="1"/>
      <c r="EM146" s="1"/>
      <c r="EN146" s="1"/>
    </row>
    <row r="147" spans="3:144" x14ac:dyDescent="0.3">
      <c r="C147" s="5" t="s">
        <v>131</v>
      </c>
      <c r="D147" s="5"/>
      <c r="E147" s="5"/>
      <c r="F147" s="218">
        <v>100</v>
      </c>
      <c r="G147" s="219">
        <v>72</v>
      </c>
      <c r="H147" s="219">
        <v>85</v>
      </c>
      <c r="I147" s="219">
        <v>80</v>
      </c>
      <c r="J147" s="219">
        <v>105</v>
      </c>
      <c r="K147" s="50"/>
      <c r="L147" s="55"/>
      <c r="M147" s="55"/>
      <c r="N147" s="55"/>
      <c r="O147" s="55"/>
      <c r="P147" s="32" t="e">
        <f>SUM(H157,-G157)/G157</f>
        <v>#DIV/0!</v>
      </c>
      <c r="Q147" s="32"/>
      <c r="R147" s="32">
        <f t="shared" ref="R147:R156" si="45">SUM(J157,-I157)/I157</f>
        <v>0</v>
      </c>
      <c r="S147" s="32"/>
      <c r="T147" s="30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  <c r="DF147" s="1"/>
      <c r="DG147" s="1"/>
      <c r="DH147" s="1"/>
      <c r="DI147" s="1"/>
      <c r="DJ147" s="1"/>
      <c r="DK147" s="1"/>
      <c r="DL147" s="1"/>
      <c r="DM147" s="1"/>
      <c r="DN147" s="1"/>
      <c r="DO147" s="1"/>
      <c r="DP147" s="1"/>
      <c r="DQ147" s="1"/>
      <c r="DR147" s="1"/>
      <c r="DS147" s="1"/>
      <c r="DT147" s="1"/>
      <c r="DU147" s="1"/>
      <c r="DV147" s="1"/>
      <c r="DW147" s="1"/>
      <c r="DX147" s="1"/>
      <c r="DY147" s="1"/>
      <c r="DZ147" s="1"/>
      <c r="EA147" s="1"/>
      <c r="EB147" s="1"/>
      <c r="EC147" s="1"/>
      <c r="ED147" s="1"/>
      <c r="EE147" s="1"/>
      <c r="EF147" s="1"/>
      <c r="EG147" s="1"/>
      <c r="EH147" s="1"/>
      <c r="EI147" s="1"/>
      <c r="EJ147" s="1"/>
      <c r="EK147" s="1"/>
      <c r="EL147" s="1"/>
      <c r="EM147" s="1"/>
      <c r="EN147" s="1"/>
    </row>
    <row r="148" spans="3:144" x14ac:dyDescent="0.3">
      <c r="C148" s="5" t="s">
        <v>132</v>
      </c>
      <c r="D148" s="5"/>
      <c r="E148" s="5"/>
      <c r="F148" s="218">
        <v>44</v>
      </c>
      <c r="G148" s="219">
        <v>58</v>
      </c>
      <c r="H148" s="219">
        <v>80</v>
      </c>
      <c r="I148" s="219">
        <v>42</v>
      </c>
      <c r="J148" s="219">
        <v>66</v>
      </c>
      <c r="K148" s="50"/>
      <c r="L148" s="55"/>
      <c r="M148" s="55"/>
      <c r="N148" s="55"/>
      <c r="O148" s="55"/>
      <c r="P148" s="32"/>
      <c r="Q148" s="32"/>
      <c r="R148" s="32">
        <f t="shared" si="45"/>
        <v>-0.875</v>
      </c>
      <c r="S148" s="32"/>
      <c r="T148" s="30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  <c r="DB148" s="1"/>
      <c r="DC148" s="1"/>
      <c r="DD148" s="1"/>
      <c r="DE148" s="1"/>
      <c r="DF148" s="1"/>
      <c r="DG148" s="1"/>
      <c r="DH148" s="1"/>
      <c r="DI148" s="1"/>
      <c r="DJ148" s="1"/>
      <c r="DK148" s="1"/>
      <c r="DL148" s="1"/>
      <c r="DM148" s="1"/>
      <c r="DN148" s="1"/>
      <c r="DO148" s="1"/>
      <c r="DP148" s="1"/>
      <c r="DQ148" s="1"/>
      <c r="DR148" s="1"/>
      <c r="DS148" s="1"/>
      <c r="DT148" s="1"/>
      <c r="DU148" s="1"/>
      <c r="DV148" s="1"/>
      <c r="DW148" s="1"/>
      <c r="DX148" s="1"/>
      <c r="DY148" s="1"/>
      <c r="DZ148" s="1"/>
      <c r="EA148" s="1"/>
      <c r="EB148" s="1"/>
      <c r="EC148" s="1"/>
      <c r="ED148" s="1"/>
      <c r="EE148" s="1"/>
      <c r="EF148" s="1"/>
      <c r="EG148" s="1"/>
      <c r="EH148" s="1"/>
      <c r="EI148" s="1"/>
      <c r="EJ148" s="1"/>
      <c r="EK148" s="1"/>
      <c r="EL148" s="1"/>
      <c r="EM148" s="1"/>
      <c r="EN148" s="1"/>
    </row>
    <row r="149" spans="3:144" x14ac:dyDescent="0.3">
      <c r="C149" s="5" t="s">
        <v>133</v>
      </c>
      <c r="D149" s="5"/>
      <c r="E149" s="5"/>
      <c r="F149" s="218">
        <v>8</v>
      </c>
      <c r="G149" s="219">
        <v>7</v>
      </c>
      <c r="H149" s="219">
        <v>7</v>
      </c>
      <c r="I149" s="219">
        <v>7</v>
      </c>
      <c r="J149" s="219">
        <v>7</v>
      </c>
      <c r="K149" s="50"/>
      <c r="L149" s="55"/>
      <c r="M149" s="55"/>
      <c r="N149" s="55"/>
      <c r="O149" s="55"/>
      <c r="P149" s="32">
        <f t="shared" ref="P149:Q156" si="46">SUM(H159,-G159)/G159</f>
        <v>0</v>
      </c>
      <c r="Q149" s="32">
        <f t="shared" si="46"/>
        <v>11</v>
      </c>
      <c r="R149" s="32">
        <f t="shared" si="45"/>
        <v>-0.16666666666666666</v>
      </c>
      <c r="S149" s="32"/>
      <c r="T149" s="30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  <c r="DB149" s="1"/>
      <c r="DC149" s="1"/>
      <c r="DD149" s="1"/>
      <c r="DE149" s="1"/>
      <c r="DF149" s="1"/>
      <c r="DG149" s="1"/>
      <c r="DH149" s="1"/>
      <c r="DI149" s="1"/>
      <c r="DJ149" s="1"/>
      <c r="DK149" s="1"/>
      <c r="DL149" s="1"/>
      <c r="DM149" s="1"/>
      <c r="DN149" s="1"/>
      <c r="DO149" s="1"/>
      <c r="DP149" s="1"/>
      <c r="DQ149" s="1"/>
      <c r="DR149" s="1"/>
      <c r="DS149" s="1"/>
      <c r="DT149" s="1"/>
      <c r="DU149" s="1"/>
      <c r="DV149" s="1"/>
      <c r="DW149" s="1"/>
      <c r="DX149" s="1"/>
      <c r="DY149" s="1"/>
      <c r="DZ149" s="1"/>
      <c r="EA149" s="1"/>
      <c r="EB149" s="1"/>
      <c r="EC149" s="1"/>
      <c r="ED149" s="1"/>
      <c r="EE149" s="1"/>
      <c r="EF149" s="1"/>
      <c r="EG149" s="1"/>
      <c r="EH149" s="1"/>
      <c r="EI149" s="1"/>
      <c r="EJ149" s="1"/>
      <c r="EK149" s="1"/>
      <c r="EL149" s="1"/>
      <c r="EM149" s="1"/>
      <c r="EN149" s="1"/>
    </row>
    <row r="150" spans="3:144" x14ac:dyDescent="0.3">
      <c r="C150" s="5" t="s">
        <v>134</v>
      </c>
      <c r="D150" s="5"/>
      <c r="E150" s="5"/>
      <c r="F150" s="218">
        <v>105</v>
      </c>
      <c r="G150" s="219">
        <v>115</v>
      </c>
      <c r="H150" s="219">
        <v>85</v>
      </c>
      <c r="I150" s="219">
        <v>75</v>
      </c>
      <c r="J150" s="219">
        <v>73</v>
      </c>
      <c r="K150" s="50"/>
      <c r="L150" s="55"/>
      <c r="M150" s="55"/>
      <c r="N150" s="55"/>
      <c r="O150" s="55"/>
      <c r="P150" s="32">
        <f t="shared" si="46"/>
        <v>-0.1111111111111111</v>
      </c>
      <c r="Q150" s="32">
        <f t="shared" si="46"/>
        <v>-0.125</v>
      </c>
      <c r="R150" s="32">
        <f t="shared" si="45"/>
        <v>0.42857142857142855</v>
      </c>
      <c r="S150" s="32"/>
      <c r="T150" s="30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  <c r="DB150" s="1"/>
      <c r="DC150" s="1"/>
      <c r="DD150" s="1"/>
      <c r="DE150" s="1"/>
      <c r="DF150" s="1"/>
      <c r="DG150" s="1"/>
      <c r="DH150" s="1"/>
      <c r="DI150" s="1"/>
      <c r="DJ150" s="1"/>
      <c r="DK150" s="1"/>
      <c r="DL150" s="1"/>
      <c r="DM150" s="1"/>
      <c r="DN150" s="1"/>
      <c r="DO150" s="1"/>
      <c r="DP150" s="1"/>
      <c r="DQ150" s="1"/>
      <c r="DR150" s="1"/>
      <c r="DS150" s="1"/>
      <c r="DT150" s="1"/>
      <c r="DU150" s="1"/>
      <c r="DV150" s="1"/>
      <c r="DW150" s="1"/>
      <c r="DX150" s="1"/>
      <c r="DY150" s="1"/>
      <c r="DZ150" s="1"/>
      <c r="EA150" s="1"/>
      <c r="EB150" s="1"/>
      <c r="EC150" s="1"/>
      <c r="ED150" s="1"/>
      <c r="EE150" s="1"/>
      <c r="EF150" s="1"/>
      <c r="EG150" s="1"/>
      <c r="EH150" s="1"/>
      <c r="EI150" s="1"/>
      <c r="EJ150" s="1"/>
      <c r="EK150" s="1"/>
      <c r="EL150" s="1"/>
      <c r="EM150" s="1"/>
      <c r="EN150" s="1"/>
    </row>
    <row r="151" spans="3:144" x14ac:dyDescent="0.3">
      <c r="C151" s="5" t="s">
        <v>135</v>
      </c>
      <c r="D151" s="5"/>
      <c r="E151" s="5"/>
      <c r="F151" s="218">
        <v>0</v>
      </c>
      <c r="G151" s="219">
        <v>5</v>
      </c>
      <c r="H151" s="219">
        <v>0</v>
      </c>
      <c r="I151" s="219">
        <v>0</v>
      </c>
      <c r="J151" s="219">
        <v>0</v>
      </c>
      <c r="K151" s="50"/>
      <c r="L151" s="55"/>
      <c r="M151" s="55"/>
      <c r="N151" s="55"/>
      <c r="O151" s="55"/>
      <c r="P151" s="32">
        <f t="shared" si="46"/>
        <v>0.33333333333333331</v>
      </c>
      <c r="Q151" s="32">
        <f t="shared" si="46"/>
        <v>0.25</v>
      </c>
      <c r="R151" s="32">
        <f t="shared" si="45"/>
        <v>-0.2</v>
      </c>
      <c r="S151" s="32"/>
      <c r="T151" s="30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  <c r="CX151" s="1"/>
      <c r="CY151" s="1"/>
      <c r="CZ151" s="1"/>
      <c r="DA151" s="1"/>
      <c r="DB151" s="1"/>
      <c r="DC151" s="1"/>
      <c r="DD151" s="1"/>
      <c r="DE151" s="1"/>
      <c r="DF151" s="1"/>
      <c r="DG151" s="1"/>
      <c r="DH151" s="1"/>
      <c r="DI151" s="1"/>
      <c r="DJ151" s="1"/>
      <c r="DK151" s="1"/>
      <c r="DL151" s="1"/>
      <c r="DM151" s="1"/>
      <c r="DN151" s="1"/>
      <c r="DO151" s="1"/>
      <c r="DP151" s="1"/>
      <c r="DQ151" s="1"/>
      <c r="DR151" s="1"/>
      <c r="DS151" s="1"/>
      <c r="DT151" s="1"/>
      <c r="DU151" s="1"/>
      <c r="DV151" s="1"/>
      <c r="DW151" s="1"/>
      <c r="DX151" s="1"/>
      <c r="DY151" s="1"/>
      <c r="DZ151" s="1"/>
      <c r="EA151" s="1"/>
      <c r="EB151" s="1"/>
      <c r="EC151" s="1"/>
      <c r="ED151" s="1"/>
      <c r="EE151" s="1"/>
      <c r="EF151" s="1"/>
      <c r="EG151" s="1"/>
      <c r="EH151" s="1"/>
      <c r="EI151" s="1"/>
      <c r="EJ151" s="1"/>
      <c r="EK151" s="1"/>
      <c r="EL151" s="1"/>
      <c r="EM151" s="1"/>
      <c r="EN151" s="1"/>
    </row>
    <row r="152" spans="3:144" x14ac:dyDescent="0.3">
      <c r="C152" s="9" t="s">
        <v>136</v>
      </c>
      <c r="D152" s="9"/>
      <c r="E152" s="5"/>
      <c r="F152" s="218">
        <v>20</v>
      </c>
      <c r="G152" s="219">
        <v>20</v>
      </c>
      <c r="H152" s="219">
        <v>0</v>
      </c>
      <c r="I152" s="219">
        <v>0</v>
      </c>
      <c r="J152" s="219">
        <v>0</v>
      </c>
      <c r="K152" s="50"/>
      <c r="L152" s="55"/>
      <c r="M152" s="55"/>
      <c r="N152" s="55"/>
      <c r="O152" s="55"/>
      <c r="P152" s="32">
        <f t="shared" si="46"/>
        <v>0</v>
      </c>
      <c r="Q152" s="32">
        <f t="shared" si="46"/>
        <v>0</v>
      </c>
      <c r="R152" s="32">
        <f t="shared" si="45"/>
        <v>-1</v>
      </c>
      <c r="S152" s="32"/>
      <c r="T152" s="30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  <c r="CX152" s="1"/>
      <c r="CY152" s="1"/>
      <c r="CZ152" s="1"/>
      <c r="DA152" s="1"/>
      <c r="DB152" s="1"/>
      <c r="DC152" s="1"/>
      <c r="DD152" s="1"/>
      <c r="DE152" s="1"/>
      <c r="DF152" s="1"/>
      <c r="DG152" s="1"/>
      <c r="DH152" s="1"/>
      <c r="DI152" s="1"/>
      <c r="DJ152" s="1"/>
      <c r="DK152" s="1"/>
      <c r="DL152" s="1"/>
      <c r="DM152" s="1"/>
      <c r="DN152" s="1"/>
      <c r="DO152" s="1"/>
      <c r="DP152" s="1"/>
      <c r="DQ152" s="1"/>
      <c r="DR152" s="1"/>
      <c r="DS152" s="1"/>
      <c r="DT152" s="1"/>
      <c r="DU152" s="1"/>
      <c r="DV152" s="1"/>
      <c r="DW152" s="1"/>
      <c r="DX152" s="1"/>
      <c r="DY152" s="1"/>
      <c r="DZ152" s="1"/>
      <c r="EA152" s="1"/>
      <c r="EB152" s="1"/>
      <c r="EC152" s="1"/>
      <c r="ED152" s="1"/>
      <c r="EE152" s="1"/>
      <c r="EF152" s="1"/>
      <c r="EG152" s="1"/>
      <c r="EH152" s="1"/>
      <c r="EI152" s="1"/>
      <c r="EJ152" s="1"/>
      <c r="EK152" s="1"/>
      <c r="EL152" s="1"/>
      <c r="EM152" s="1"/>
      <c r="EN152" s="1"/>
    </row>
    <row r="153" spans="3:144" x14ac:dyDescent="0.3">
      <c r="C153" s="5" t="s">
        <v>137</v>
      </c>
      <c r="D153" s="5"/>
      <c r="E153" s="5"/>
      <c r="F153" s="218">
        <v>7</v>
      </c>
      <c r="G153" s="219">
        <v>6</v>
      </c>
      <c r="H153" s="219">
        <v>7</v>
      </c>
      <c r="I153" s="219">
        <v>7</v>
      </c>
      <c r="J153" s="219">
        <v>3</v>
      </c>
      <c r="K153" s="53"/>
      <c r="L153" s="55"/>
      <c r="M153" s="55"/>
      <c r="N153" s="55"/>
      <c r="O153" s="55"/>
      <c r="P153" s="32">
        <f t="shared" si="46"/>
        <v>0</v>
      </c>
      <c r="Q153" s="32">
        <f t="shared" si="46"/>
        <v>0.5</v>
      </c>
      <c r="R153" s="32">
        <f t="shared" si="45"/>
        <v>0</v>
      </c>
      <c r="S153" s="32"/>
      <c r="T153" s="30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  <c r="CW153" s="1"/>
      <c r="CX153" s="1"/>
      <c r="CY153" s="1"/>
      <c r="CZ153" s="1"/>
      <c r="DA153" s="1"/>
      <c r="DB153" s="1"/>
      <c r="DC153" s="1"/>
      <c r="DD153" s="1"/>
      <c r="DE153" s="1"/>
      <c r="DF153" s="1"/>
      <c r="DG153" s="1"/>
      <c r="DH153" s="1"/>
      <c r="DI153" s="1"/>
      <c r="DJ153" s="1"/>
      <c r="DK153" s="1"/>
      <c r="DL153" s="1"/>
      <c r="DM153" s="1"/>
      <c r="DN153" s="1"/>
      <c r="DO153" s="1"/>
      <c r="DP153" s="1"/>
      <c r="DQ153" s="1"/>
      <c r="DR153" s="1"/>
      <c r="DS153" s="1"/>
      <c r="DT153" s="1"/>
      <c r="DU153" s="1"/>
      <c r="DV153" s="1"/>
      <c r="DW153" s="1"/>
      <c r="DX153" s="1"/>
      <c r="DY153" s="1"/>
      <c r="DZ153" s="1"/>
      <c r="EA153" s="1"/>
      <c r="EB153" s="1"/>
      <c r="EC153" s="1"/>
      <c r="ED153" s="1"/>
      <c r="EE153" s="1"/>
      <c r="EF153" s="1"/>
      <c r="EG153" s="1"/>
      <c r="EH153" s="1"/>
      <c r="EI153" s="1"/>
      <c r="EJ153" s="1"/>
      <c r="EK153" s="1"/>
      <c r="EL153" s="1"/>
      <c r="EM153" s="1"/>
      <c r="EN153" s="1"/>
    </row>
    <row r="154" spans="3:144" x14ac:dyDescent="0.3">
      <c r="C154" s="5" t="s">
        <v>138</v>
      </c>
      <c r="D154" s="5"/>
      <c r="E154" s="5"/>
      <c r="F154" s="218">
        <v>14</v>
      </c>
      <c r="G154" s="219">
        <v>12</v>
      </c>
      <c r="H154" s="219">
        <v>11</v>
      </c>
      <c r="I154" s="219">
        <v>14</v>
      </c>
      <c r="J154" s="219">
        <v>17</v>
      </c>
      <c r="K154" s="50"/>
      <c r="L154" s="55"/>
      <c r="M154" s="55"/>
      <c r="N154" s="55"/>
      <c r="O154" s="55"/>
      <c r="P154" s="32">
        <f t="shared" si="46"/>
        <v>0</v>
      </c>
      <c r="Q154" s="32">
        <f t="shared" si="46"/>
        <v>-0.16666666666666666</v>
      </c>
      <c r="R154" s="32">
        <f t="shared" si="45"/>
        <v>0.4</v>
      </c>
      <c r="S154" s="32"/>
      <c r="T154" s="30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  <c r="CX154" s="1"/>
      <c r="CY154" s="1"/>
      <c r="CZ154" s="1"/>
      <c r="DA154" s="1"/>
      <c r="DB154" s="1"/>
      <c r="DC154" s="1"/>
      <c r="DD154" s="1"/>
      <c r="DE154" s="1"/>
      <c r="DF154" s="1"/>
      <c r="DG154" s="1"/>
      <c r="DH154" s="1"/>
      <c r="DI154" s="1"/>
      <c r="DJ154" s="1"/>
      <c r="DK154" s="1"/>
      <c r="DL154" s="1"/>
      <c r="DM154" s="1"/>
      <c r="DN154" s="1"/>
      <c r="DO154" s="1"/>
      <c r="DP154" s="1"/>
      <c r="DQ154" s="1"/>
      <c r="DR154" s="1"/>
      <c r="DS154" s="1"/>
      <c r="DT154" s="1"/>
      <c r="DU154" s="1"/>
      <c r="DV154" s="1"/>
      <c r="DW154" s="1"/>
      <c r="DX154" s="1"/>
      <c r="DY154" s="1"/>
      <c r="DZ154" s="1"/>
      <c r="EA154" s="1"/>
      <c r="EB154" s="1"/>
      <c r="EC154" s="1"/>
      <c r="ED154" s="1"/>
      <c r="EE154" s="1"/>
      <c r="EF154" s="1"/>
      <c r="EG154" s="1"/>
      <c r="EH154" s="1"/>
      <c r="EI154" s="1"/>
      <c r="EJ154" s="1"/>
      <c r="EK154" s="1"/>
      <c r="EL154" s="1"/>
      <c r="EM154" s="1"/>
      <c r="EN154" s="1"/>
    </row>
    <row r="155" spans="3:144" x14ac:dyDescent="0.3">
      <c r="C155" s="5" t="s">
        <v>139</v>
      </c>
      <c r="D155" s="5"/>
      <c r="E155" s="5"/>
      <c r="F155" s="218">
        <v>3</v>
      </c>
      <c r="G155" s="219">
        <v>3</v>
      </c>
      <c r="H155" s="219">
        <v>3</v>
      </c>
      <c r="I155" s="219">
        <v>3</v>
      </c>
      <c r="J155" s="219">
        <v>2</v>
      </c>
      <c r="K155" s="50"/>
      <c r="L155" s="55"/>
      <c r="M155" s="55"/>
      <c r="N155" s="55"/>
      <c r="O155" s="55"/>
      <c r="P155" s="32">
        <f t="shared" si="46"/>
        <v>9.5238095238095233E-2</v>
      </c>
      <c r="Q155" s="32">
        <f t="shared" si="46"/>
        <v>0.17391304347826086</v>
      </c>
      <c r="R155" s="32">
        <f t="shared" si="45"/>
        <v>-0.1111111111111111</v>
      </c>
      <c r="S155" s="32"/>
      <c r="T155" s="30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  <c r="DC155" s="1"/>
      <c r="DD155" s="1"/>
      <c r="DE155" s="1"/>
      <c r="DF155" s="1"/>
      <c r="DG155" s="1"/>
      <c r="DH155" s="1"/>
      <c r="DI155" s="1"/>
      <c r="DJ155" s="1"/>
      <c r="DK155" s="1"/>
      <c r="DL155" s="1"/>
      <c r="DM155" s="1"/>
      <c r="DN155" s="1"/>
      <c r="DO155" s="1"/>
      <c r="DP155" s="1"/>
      <c r="DQ155" s="1"/>
      <c r="DR155" s="1"/>
      <c r="DS155" s="1"/>
      <c r="DT155" s="1"/>
      <c r="DU155" s="1"/>
      <c r="DV155" s="1"/>
      <c r="DW155" s="1"/>
      <c r="DX155" s="1"/>
      <c r="DY155" s="1"/>
      <c r="DZ155" s="1"/>
      <c r="EA155" s="1"/>
      <c r="EB155" s="1"/>
      <c r="EC155" s="1"/>
      <c r="ED155" s="1"/>
      <c r="EE155" s="1"/>
      <c r="EF155" s="1"/>
      <c r="EG155" s="1"/>
      <c r="EH155" s="1"/>
      <c r="EI155" s="1"/>
      <c r="EJ155" s="1"/>
      <c r="EK155" s="1"/>
      <c r="EL155" s="1"/>
      <c r="EM155" s="1"/>
      <c r="EN155" s="1"/>
    </row>
    <row r="156" spans="3:144" x14ac:dyDescent="0.3">
      <c r="C156" s="5" t="s">
        <v>140</v>
      </c>
      <c r="D156" s="5"/>
      <c r="E156" s="5"/>
      <c r="F156" s="218">
        <v>21</v>
      </c>
      <c r="G156" s="219">
        <v>25</v>
      </c>
      <c r="H156" s="219">
        <v>0</v>
      </c>
      <c r="I156" s="219">
        <v>0</v>
      </c>
      <c r="J156" s="219">
        <v>0</v>
      </c>
      <c r="K156" s="53"/>
      <c r="L156" s="55"/>
      <c r="M156" s="55"/>
      <c r="N156" s="55"/>
      <c r="O156" s="55"/>
      <c r="P156" s="34">
        <f t="shared" si="46"/>
        <v>-0.29973118279569894</v>
      </c>
      <c r="Q156" s="34">
        <f t="shared" si="46"/>
        <v>0.11516314779270634</v>
      </c>
      <c r="R156" s="34">
        <f t="shared" si="45"/>
        <v>0.45266781411359724</v>
      </c>
      <c r="S156" s="34">
        <f>SUM(T156,-J166)/J166</f>
        <v>0.6018957345971564</v>
      </c>
      <c r="T156" s="38">
        <v>1352</v>
      </c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  <c r="DB156" s="1"/>
      <c r="DC156" s="1"/>
      <c r="DD156" s="1"/>
      <c r="DE156" s="1"/>
      <c r="DF156" s="1"/>
      <c r="DG156" s="1"/>
      <c r="DH156" s="1"/>
      <c r="DI156" s="1"/>
      <c r="DJ156" s="1"/>
      <c r="DK156" s="1"/>
      <c r="DL156" s="1"/>
      <c r="DM156" s="1"/>
      <c r="DN156" s="1"/>
      <c r="DO156" s="1"/>
      <c r="DP156" s="1"/>
      <c r="DQ156" s="1"/>
      <c r="DR156" s="1"/>
      <c r="DS156" s="1"/>
      <c r="DT156" s="1"/>
      <c r="DU156" s="1"/>
      <c r="DV156" s="1"/>
      <c r="DW156" s="1"/>
      <c r="DX156" s="1"/>
      <c r="DY156" s="1"/>
      <c r="DZ156" s="1"/>
      <c r="EA156" s="1"/>
      <c r="EB156" s="1"/>
      <c r="EC156" s="1"/>
      <c r="ED156" s="1"/>
      <c r="EE156" s="1"/>
      <c r="EF156" s="1"/>
      <c r="EG156" s="1"/>
      <c r="EH156" s="1"/>
      <c r="EI156" s="1"/>
      <c r="EJ156" s="1"/>
      <c r="EK156" s="1"/>
      <c r="EL156" s="1"/>
      <c r="EM156" s="1"/>
      <c r="EN156" s="1"/>
    </row>
    <row r="157" spans="3:144" x14ac:dyDescent="0.3">
      <c r="C157" s="5" t="s">
        <v>141</v>
      </c>
      <c r="D157" s="5"/>
      <c r="E157" s="5"/>
      <c r="F157" s="218">
        <v>1</v>
      </c>
      <c r="G157" s="219">
        <v>0</v>
      </c>
      <c r="H157" s="219">
        <v>0</v>
      </c>
      <c r="I157" s="219">
        <v>4</v>
      </c>
      <c r="J157" s="219">
        <v>4</v>
      </c>
      <c r="K157" s="50"/>
      <c r="L157" s="55"/>
      <c r="M157" s="55"/>
      <c r="N157" s="55"/>
      <c r="O157" s="55"/>
      <c r="P157" s="32"/>
      <c r="Q157" s="32"/>
      <c r="R157" s="32"/>
      <c r="S157" s="32"/>
      <c r="T157" s="30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  <c r="CW157" s="1"/>
      <c r="CX157" s="1"/>
      <c r="CY157" s="1"/>
      <c r="CZ157" s="1"/>
      <c r="DA157" s="1"/>
      <c r="DB157" s="1"/>
      <c r="DC157" s="1"/>
      <c r="DD157" s="1"/>
      <c r="DE157" s="1"/>
      <c r="DF157" s="1"/>
      <c r="DG157" s="1"/>
      <c r="DH157" s="1"/>
      <c r="DI157" s="1"/>
      <c r="DJ157" s="1"/>
      <c r="DK157" s="1"/>
      <c r="DL157" s="1"/>
      <c r="DM157" s="1"/>
      <c r="DN157" s="1"/>
      <c r="DO157" s="1"/>
      <c r="DP157" s="1"/>
      <c r="DQ157" s="1"/>
      <c r="DR157" s="1"/>
      <c r="DS157" s="1"/>
      <c r="DT157" s="1"/>
      <c r="DU157" s="1"/>
      <c r="DV157" s="1"/>
      <c r="DW157" s="1"/>
      <c r="DX157" s="1"/>
      <c r="DY157" s="1"/>
      <c r="DZ157" s="1"/>
      <c r="EA157" s="1"/>
      <c r="EB157" s="1"/>
      <c r="EC157" s="1"/>
      <c r="ED157" s="1"/>
      <c r="EE157" s="1"/>
      <c r="EF157" s="1"/>
      <c r="EG157" s="1"/>
      <c r="EH157" s="1"/>
      <c r="EI157" s="1"/>
      <c r="EJ157" s="1"/>
      <c r="EK157" s="1"/>
      <c r="EL157" s="1"/>
      <c r="EM157" s="1"/>
      <c r="EN157" s="1"/>
    </row>
    <row r="158" spans="3:144" x14ac:dyDescent="0.3">
      <c r="C158" s="5" t="s">
        <v>142</v>
      </c>
      <c r="D158" s="5"/>
      <c r="E158" s="5"/>
      <c r="F158" s="218">
        <v>0</v>
      </c>
      <c r="G158" s="219">
        <v>0</v>
      </c>
      <c r="H158" s="219">
        <v>0</v>
      </c>
      <c r="I158" s="219">
        <v>8</v>
      </c>
      <c r="J158" s="219">
        <v>1</v>
      </c>
      <c r="K158" s="50"/>
      <c r="L158" s="55"/>
      <c r="M158" s="55"/>
      <c r="N158" s="55"/>
      <c r="O158" s="55"/>
      <c r="P158" s="32">
        <f t="shared" ref="P158:R165" si="47">SUM(H168,-G168)/G168</f>
        <v>6.3404255319148932</v>
      </c>
      <c r="Q158" s="32">
        <f t="shared" si="47"/>
        <v>0.61739130434782608</v>
      </c>
      <c r="R158" s="32">
        <f t="shared" si="47"/>
        <v>-0.91756272401433692</v>
      </c>
      <c r="S158" s="32"/>
      <c r="T158" s="30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  <c r="CX158" s="1"/>
      <c r="CY158" s="1"/>
      <c r="CZ158" s="1"/>
      <c r="DA158" s="1"/>
      <c r="DB158" s="1"/>
      <c r="DC158" s="1"/>
      <c r="DD158" s="1"/>
      <c r="DE158" s="1"/>
      <c r="DF158" s="1"/>
      <c r="DG158" s="1"/>
      <c r="DH158" s="1"/>
      <c r="DI158" s="1"/>
      <c r="DJ158" s="1"/>
      <c r="DK158" s="1"/>
      <c r="DL158" s="1"/>
      <c r="DM158" s="1"/>
      <c r="DN158" s="1"/>
      <c r="DO158" s="1"/>
      <c r="DP158" s="1"/>
      <c r="DQ158" s="1"/>
      <c r="DR158" s="1"/>
      <c r="DS158" s="1"/>
      <c r="DT158" s="1"/>
      <c r="DU158" s="1"/>
      <c r="DV158" s="1"/>
      <c r="DW158" s="1"/>
      <c r="DX158" s="1"/>
      <c r="DY158" s="1"/>
      <c r="DZ158" s="1"/>
      <c r="EA158" s="1"/>
      <c r="EB158" s="1"/>
      <c r="EC158" s="1"/>
      <c r="ED158" s="1"/>
      <c r="EE158" s="1"/>
      <c r="EF158" s="1"/>
      <c r="EG158" s="1"/>
      <c r="EH158" s="1"/>
      <c r="EI158" s="1"/>
      <c r="EJ158" s="1"/>
      <c r="EK158" s="1"/>
      <c r="EL158" s="1"/>
      <c r="EM158" s="1"/>
      <c r="EN158" s="1"/>
    </row>
    <row r="159" spans="3:144" x14ac:dyDescent="0.3">
      <c r="C159" s="5" t="s">
        <v>143</v>
      </c>
      <c r="D159" s="5"/>
      <c r="E159" s="5"/>
      <c r="F159" s="218">
        <v>1</v>
      </c>
      <c r="G159" s="219">
        <v>1</v>
      </c>
      <c r="H159" s="219">
        <v>1</v>
      </c>
      <c r="I159" s="219">
        <v>12</v>
      </c>
      <c r="J159" s="219">
        <v>10</v>
      </c>
      <c r="K159" s="50"/>
      <c r="L159" s="55"/>
      <c r="M159" s="55"/>
      <c r="N159" s="55"/>
      <c r="O159" s="55"/>
      <c r="P159" s="32">
        <f t="shared" si="47"/>
        <v>-0.72937293729372932</v>
      </c>
      <c r="Q159" s="32">
        <f t="shared" si="47"/>
        <v>0.56097560975609762</v>
      </c>
      <c r="R159" s="32">
        <f t="shared" si="47"/>
        <v>0.8203125</v>
      </c>
      <c r="S159" s="32"/>
      <c r="T159" s="30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</row>
    <row r="160" spans="3:144" x14ac:dyDescent="0.3">
      <c r="C160" s="5" t="s">
        <v>144</v>
      </c>
      <c r="D160" s="5"/>
      <c r="E160" s="5"/>
      <c r="F160" s="218">
        <v>8</v>
      </c>
      <c r="G160" s="219">
        <v>9</v>
      </c>
      <c r="H160" s="219">
        <v>8</v>
      </c>
      <c r="I160" s="219">
        <v>7</v>
      </c>
      <c r="J160" s="219">
        <v>10</v>
      </c>
      <c r="K160" s="50"/>
      <c r="L160" s="55"/>
      <c r="M160" s="55"/>
      <c r="N160" s="55"/>
      <c r="O160" s="55"/>
      <c r="P160" s="32">
        <f t="shared" si="47"/>
        <v>1.5</v>
      </c>
      <c r="Q160" s="32">
        <f t="shared" si="47"/>
        <v>0</v>
      </c>
      <c r="R160" s="32">
        <f t="shared" si="47"/>
        <v>4</v>
      </c>
      <c r="S160" s="32"/>
      <c r="T160" s="30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</row>
    <row r="161" spans="3:42" x14ac:dyDescent="0.3">
      <c r="C161" s="5" t="s">
        <v>145</v>
      </c>
      <c r="D161" s="5"/>
      <c r="E161" s="5"/>
      <c r="F161" s="218">
        <v>3</v>
      </c>
      <c r="G161" s="219">
        <v>3</v>
      </c>
      <c r="H161" s="219">
        <v>4</v>
      </c>
      <c r="I161" s="219">
        <v>5</v>
      </c>
      <c r="J161" s="219">
        <v>4</v>
      </c>
      <c r="K161" s="50"/>
      <c r="L161" s="55"/>
      <c r="M161" s="55"/>
      <c r="N161" s="55"/>
      <c r="O161" s="55"/>
      <c r="P161" s="32">
        <f t="shared" si="47"/>
        <v>-0.5</v>
      </c>
      <c r="Q161" s="32">
        <f t="shared" si="47"/>
        <v>1</v>
      </c>
      <c r="R161" s="32">
        <f t="shared" si="47"/>
        <v>-1</v>
      </c>
      <c r="S161" s="32"/>
      <c r="T161" s="30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</row>
    <row r="162" spans="3:42" x14ac:dyDescent="0.3">
      <c r="C162" s="5" t="s">
        <v>146</v>
      </c>
      <c r="D162" s="5"/>
      <c r="E162" s="5"/>
      <c r="F162" s="218">
        <v>6</v>
      </c>
      <c r="G162" s="219">
        <v>6</v>
      </c>
      <c r="H162" s="219">
        <v>6</v>
      </c>
      <c r="I162" s="219">
        <v>6</v>
      </c>
      <c r="J162" s="219">
        <v>0</v>
      </c>
      <c r="K162" s="50"/>
      <c r="L162" s="55"/>
      <c r="M162" s="55"/>
      <c r="N162" s="55"/>
      <c r="O162" s="55"/>
      <c r="P162" s="32">
        <f t="shared" si="47"/>
        <v>-0.2</v>
      </c>
      <c r="Q162" s="32">
        <f t="shared" si="47"/>
        <v>-0.75</v>
      </c>
      <c r="R162" s="32">
        <f t="shared" si="47"/>
        <v>-1</v>
      </c>
      <c r="S162" s="32"/>
      <c r="T162" s="30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</row>
    <row r="163" spans="3:42" x14ac:dyDescent="0.3">
      <c r="C163" s="5" t="s">
        <v>147</v>
      </c>
      <c r="D163" s="5"/>
      <c r="E163" s="5"/>
      <c r="F163" s="218">
        <v>3</v>
      </c>
      <c r="G163" s="219">
        <v>2</v>
      </c>
      <c r="H163" s="219">
        <v>2</v>
      </c>
      <c r="I163" s="219">
        <v>3</v>
      </c>
      <c r="J163" s="219">
        <v>3</v>
      </c>
      <c r="K163" s="50"/>
      <c r="L163" s="55"/>
      <c r="M163" s="55"/>
      <c r="N163" s="55"/>
      <c r="O163" s="55"/>
      <c r="P163" s="34">
        <f t="shared" si="47"/>
        <v>0.21727019498607242</v>
      </c>
      <c r="Q163" s="34">
        <f t="shared" si="47"/>
        <v>0.58810068649885583</v>
      </c>
      <c r="R163" s="34">
        <f t="shared" si="47"/>
        <v>-0.56195965417867433</v>
      </c>
      <c r="S163" s="34">
        <f>SUM(T163,-J173)/J173</f>
        <v>0.92105263157894735</v>
      </c>
      <c r="T163" s="38">
        <v>584</v>
      </c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</row>
    <row r="164" spans="3:42" x14ac:dyDescent="0.3">
      <c r="C164" s="5" t="s">
        <v>148</v>
      </c>
      <c r="D164" s="5"/>
      <c r="E164" s="5"/>
      <c r="F164" s="218">
        <v>0</v>
      </c>
      <c r="G164" s="219">
        <v>6</v>
      </c>
      <c r="H164" s="219">
        <v>6</v>
      </c>
      <c r="I164" s="219">
        <v>5</v>
      </c>
      <c r="J164" s="219">
        <v>7</v>
      </c>
      <c r="K164" s="50"/>
      <c r="L164" s="55"/>
      <c r="M164" s="55"/>
      <c r="N164" s="55"/>
      <c r="O164" s="55"/>
      <c r="P164" s="56">
        <f t="shared" si="47"/>
        <v>-0.87878787878787878</v>
      </c>
      <c r="Q164" s="56">
        <f t="shared" si="47"/>
        <v>7.5</v>
      </c>
      <c r="R164" s="56">
        <f t="shared" si="47"/>
        <v>-0.82352941176470584</v>
      </c>
      <c r="S164" s="56">
        <f>SUM(T164,-J174)/J174</f>
        <v>7.833333333333333</v>
      </c>
      <c r="T164" s="59">
        <v>53</v>
      </c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</row>
    <row r="165" spans="3:42" x14ac:dyDescent="0.3">
      <c r="C165" s="5" t="s">
        <v>149</v>
      </c>
      <c r="D165" s="5"/>
      <c r="E165" s="5"/>
      <c r="F165" s="218">
        <v>16</v>
      </c>
      <c r="G165" s="219">
        <v>21</v>
      </c>
      <c r="H165" s="219">
        <v>23</v>
      </c>
      <c r="I165" s="219">
        <v>27</v>
      </c>
      <c r="J165" s="219">
        <v>24</v>
      </c>
      <c r="K165" s="50"/>
      <c r="L165" s="55"/>
      <c r="M165" s="55"/>
      <c r="N165" s="55"/>
      <c r="O165" s="55"/>
      <c r="P165" s="39">
        <f t="shared" si="47"/>
        <v>-7.0238095238095238E-2</v>
      </c>
      <c r="Q165" s="39">
        <f t="shared" si="47"/>
        <v>0.16175842936406318</v>
      </c>
      <c r="R165" s="39">
        <f t="shared" si="47"/>
        <v>-3.1961792799412199E-2</v>
      </c>
      <c r="S165" s="39">
        <f>SUM(T165,-J175)/J175</f>
        <v>0.25692599620493356</v>
      </c>
      <c r="T165" s="40">
        <f t="shared" ref="T165" si="48">SUM(T131,T156,T163,T164)</f>
        <v>3312</v>
      </c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</row>
    <row r="166" spans="3:42" x14ac:dyDescent="0.3">
      <c r="C166" s="10" t="s">
        <v>110</v>
      </c>
      <c r="D166" s="12"/>
      <c r="E166" s="12"/>
      <c r="F166" s="234">
        <f t="shared" ref="F166:G166" si="49">SUM(F143,F144,F145)</f>
        <v>521</v>
      </c>
      <c r="G166" s="235">
        <f t="shared" si="49"/>
        <v>744</v>
      </c>
      <c r="H166" s="235">
        <f>SUM(H143,H144,H145)</f>
        <v>521</v>
      </c>
      <c r="I166" s="235">
        <f>SUM(I143,I144,I145)</f>
        <v>581</v>
      </c>
      <c r="J166" s="235">
        <f>SUM(J143,J144,J145)</f>
        <v>844</v>
      </c>
      <c r="K166" s="50"/>
      <c r="L166" s="55"/>
      <c r="M166" s="55"/>
      <c r="N166" s="55"/>
      <c r="O166" s="55"/>
      <c r="P166" s="32"/>
      <c r="Q166" s="32"/>
      <c r="R166" s="32"/>
      <c r="S166" s="32"/>
      <c r="T166" s="30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</row>
    <row r="167" spans="3:42" x14ac:dyDescent="0.3">
      <c r="C167" s="8" t="s">
        <v>150</v>
      </c>
      <c r="D167" s="5"/>
      <c r="E167" s="5"/>
      <c r="F167" s="232"/>
      <c r="G167" s="233"/>
      <c r="H167" s="233"/>
      <c r="I167" s="233"/>
      <c r="J167" s="233"/>
      <c r="K167" s="50"/>
      <c r="L167" s="55"/>
      <c r="M167" s="55"/>
      <c r="N167" s="55"/>
      <c r="O167" s="55"/>
      <c r="P167" s="43">
        <f>SUM(H177,-G177)/G177</f>
        <v>-2.3236163920574569E-2</v>
      </c>
      <c r="Q167" s="43">
        <f>SUM(I177,-H177)/H177</f>
        <v>-1.8166089965397925E-2</v>
      </c>
      <c r="R167" s="43">
        <f>SUM(J177,-I177)/I177</f>
        <v>3.8766519823788544E-2</v>
      </c>
      <c r="S167" s="43">
        <f>SUM(T167,-J177)/J177</f>
        <v>5.8241447554424654E-2</v>
      </c>
      <c r="T167" s="44">
        <f>SUM(T165,T125)</f>
        <v>7486</v>
      </c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</row>
    <row r="168" spans="3:42" x14ac:dyDescent="0.3">
      <c r="C168" s="5" t="s">
        <v>106</v>
      </c>
      <c r="D168" s="5"/>
      <c r="E168" s="5"/>
      <c r="F168" s="218">
        <v>571</v>
      </c>
      <c r="G168" s="219">
        <v>47</v>
      </c>
      <c r="H168" s="219">
        <v>345</v>
      </c>
      <c r="I168" s="219">
        <v>558</v>
      </c>
      <c r="J168" s="219">
        <v>46</v>
      </c>
      <c r="K168" s="50"/>
      <c r="L168" s="55"/>
      <c r="M168" s="55"/>
      <c r="N168" s="55"/>
      <c r="O168" s="55"/>
      <c r="P168" s="32"/>
      <c r="Q168" s="32"/>
      <c r="R168" s="32"/>
      <c r="S168" s="32"/>
      <c r="T168" s="30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</row>
    <row r="169" spans="3:42" x14ac:dyDescent="0.3">
      <c r="C169" s="5" t="s">
        <v>107</v>
      </c>
      <c r="D169" s="5"/>
      <c r="E169" s="5"/>
      <c r="F169" s="218">
        <v>119</v>
      </c>
      <c r="G169" s="219">
        <v>303</v>
      </c>
      <c r="H169" s="219">
        <v>82</v>
      </c>
      <c r="I169" s="219">
        <v>128</v>
      </c>
      <c r="J169" s="219">
        <v>233</v>
      </c>
      <c r="K169" s="50"/>
      <c r="L169" s="55"/>
      <c r="M169" s="55"/>
      <c r="N169" s="55"/>
      <c r="O169" s="55"/>
      <c r="P169" s="32">
        <f>SUM(H179,-G179)/G179</f>
        <v>-1</v>
      </c>
      <c r="Q169" s="32"/>
      <c r="R169" s="32"/>
      <c r="S169" s="32"/>
      <c r="T169" s="30">
        <v>0</v>
      </c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</row>
    <row r="170" spans="3:42" x14ac:dyDescent="0.3">
      <c r="C170" s="5" t="s">
        <v>151</v>
      </c>
      <c r="D170" s="5"/>
      <c r="E170" s="5"/>
      <c r="F170" s="218">
        <v>1</v>
      </c>
      <c r="G170" s="219">
        <v>2</v>
      </c>
      <c r="H170" s="219">
        <v>5</v>
      </c>
      <c r="I170" s="219">
        <v>5</v>
      </c>
      <c r="J170" s="219">
        <v>25</v>
      </c>
      <c r="K170" s="50"/>
      <c r="L170" s="55"/>
      <c r="M170" s="55"/>
      <c r="N170" s="55"/>
      <c r="O170" s="55"/>
      <c r="P170" s="29"/>
      <c r="Q170" s="29"/>
      <c r="R170" s="29"/>
      <c r="S170" s="29"/>
      <c r="T170" s="30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</row>
    <row r="171" spans="3:42" x14ac:dyDescent="0.3">
      <c r="C171" s="5" t="s">
        <v>152</v>
      </c>
      <c r="D171" s="5"/>
      <c r="E171" s="5"/>
      <c r="F171" s="218">
        <v>1</v>
      </c>
      <c r="G171" s="219">
        <v>2</v>
      </c>
      <c r="H171" s="219">
        <v>1</v>
      </c>
      <c r="I171" s="219">
        <v>2</v>
      </c>
      <c r="J171" s="219">
        <v>0</v>
      </c>
      <c r="K171" s="50"/>
      <c r="L171" s="55"/>
      <c r="M171" s="55"/>
      <c r="N171" s="55"/>
      <c r="O171" s="55"/>
      <c r="P171" s="41">
        <f>SUM(H181,-G181)/G181</f>
        <v>-4.216809473380187E-2</v>
      </c>
      <c r="Q171" s="41">
        <f>SUM(I181,-H181)/H181</f>
        <v>3.8596843903909939E-2</v>
      </c>
      <c r="R171" s="41">
        <f>SUM(J181,-I181)/I181</f>
        <v>3.7936707635730184E-2</v>
      </c>
      <c r="S171" s="41">
        <f>SUM(T171,-J181)/J181</f>
        <v>4.7272727272727272E-2</v>
      </c>
      <c r="T171" s="42">
        <f>SUM(T167,T100)</f>
        <v>11232</v>
      </c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</row>
    <row r="172" spans="3:42" x14ac:dyDescent="0.3">
      <c r="C172" s="5" t="s">
        <v>109</v>
      </c>
      <c r="D172" s="5"/>
      <c r="E172" s="5"/>
      <c r="F172" s="218">
        <v>0</v>
      </c>
      <c r="G172" s="219">
        <v>5</v>
      </c>
      <c r="H172" s="219">
        <v>4</v>
      </c>
      <c r="I172" s="219">
        <v>1</v>
      </c>
      <c r="J172" s="219">
        <v>0</v>
      </c>
      <c r="K172" s="50"/>
      <c r="L172" s="55"/>
      <c r="M172" s="55"/>
      <c r="N172" s="55"/>
      <c r="O172" s="55"/>
      <c r="P172" s="46">
        <f ca="1">SUM(P85,-P171)</f>
        <v>0</v>
      </c>
      <c r="Q172" s="46">
        <f ca="1">SUM(Q85,-Q171)</f>
        <v>0</v>
      </c>
      <c r="R172" s="46">
        <f ca="1">SUM(R85,-R171)</f>
        <v>0</v>
      </c>
      <c r="S172" s="46">
        <f ca="1">SUM(S85,-S171)</f>
        <v>0</v>
      </c>
      <c r="T172" s="47">
        <f>SUM(T85,-T171)</f>
        <v>0</v>
      </c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</row>
    <row r="173" spans="3:42" x14ac:dyDescent="0.3">
      <c r="C173" s="10" t="s">
        <v>110</v>
      </c>
      <c r="D173" s="12"/>
      <c r="E173" s="12"/>
      <c r="F173" s="234">
        <f t="shared" ref="F173:G173" si="50">SUM(F168:F172)</f>
        <v>692</v>
      </c>
      <c r="G173" s="235">
        <f t="shared" si="50"/>
        <v>359</v>
      </c>
      <c r="H173" s="235">
        <f>SUM(H168:H172)</f>
        <v>437</v>
      </c>
      <c r="I173" s="235">
        <f>SUM(I168:I172)</f>
        <v>694</v>
      </c>
      <c r="J173" s="235">
        <f>SUM(J168:J172)</f>
        <v>304</v>
      </c>
      <c r="K173" s="50"/>
      <c r="L173" s="55"/>
      <c r="M173" s="55"/>
      <c r="N173" s="55"/>
      <c r="O173" s="55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</row>
    <row r="174" spans="3:42" x14ac:dyDescent="0.3">
      <c r="C174" s="8" t="s">
        <v>153</v>
      </c>
      <c r="D174" s="5"/>
      <c r="E174" s="5"/>
      <c r="F174" s="244">
        <v>43</v>
      </c>
      <c r="G174" s="245">
        <v>33</v>
      </c>
      <c r="H174" s="245">
        <v>4</v>
      </c>
      <c r="I174" s="245">
        <v>34</v>
      </c>
      <c r="J174" s="245">
        <v>6</v>
      </c>
      <c r="K174" s="50"/>
      <c r="L174" s="55"/>
      <c r="M174" s="55"/>
      <c r="N174" s="55"/>
      <c r="O174" s="55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</row>
    <row r="175" spans="3:42" x14ac:dyDescent="0.3">
      <c r="C175" s="15" t="s">
        <v>154</v>
      </c>
      <c r="D175" s="16"/>
      <c r="E175" s="16"/>
      <c r="F175" s="246">
        <f t="shared" ref="F175:G175" si="51">SUM(F141,F166,F173,F174)</f>
        <v>2426</v>
      </c>
      <c r="G175" s="247">
        <f t="shared" si="51"/>
        <v>2520</v>
      </c>
      <c r="H175" s="247">
        <f>SUM(H141,H166,H173,H174)</f>
        <v>2343</v>
      </c>
      <c r="I175" s="247">
        <f>SUM(I141,I166,I173,I174)</f>
        <v>2722</v>
      </c>
      <c r="J175" s="247">
        <f>SUM(J141,J166,J173,J174)</f>
        <v>2635</v>
      </c>
      <c r="K175" s="50"/>
      <c r="L175" s="55"/>
      <c r="M175" s="55"/>
      <c r="N175" s="55"/>
      <c r="O175" s="55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</row>
    <row r="176" spans="3:42" x14ac:dyDescent="0.3">
      <c r="C176" s="8"/>
      <c r="D176" s="5"/>
      <c r="E176" s="5"/>
      <c r="F176" s="232"/>
      <c r="G176" s="233"/>
      <c r="H176" s="233"/>
      <c r="I176" s="233"/>
      <c r="J176" s="233"/>
      <c r="K176" s="50"/>
      <c r="L176" s="55"/>
      <c r="M176" s="55"/>
      <c r="N176" s="55"/>
      <c r="O176" s="55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</row>
    <row r="177" spans="3:42" x14ac:dyDescent="0.3">
      <c r="C177" s="24" t="s">
        <v>155</v>
      </c>
      <c r="D177" s="25"/>
      <c r="E177" s="25"/>
      <c r="F177" s="252">
        <f>SUM(F175,F135)</f>
        <v>6522</v>
      </c>
      <c r="G177" s="253">
        <f>SUM(G175,G135)</f>
        <v>7101</v>
      </c>
      <c r="H177" s="253">
        <f>SUM(H175,H135)</f>
        <v>6936</v>
      </c>
      <c r="I177" s="253">
        <f>SUM(I175,I135)</f>
        <v>6810</v>
      </c>
      <c r="J177" s="253">
        <f>SUM(J175,J135)</f>
        <v>7074</v>
      </c>
      <c r="K177" s="50"/>
      <c r="L177" s="55"/>
      <c r="M177" s="55"/>
      <c r="N177" s="55"/>
      <c r="O177" s="55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</row>
    <row r="178" spans="3:42" x14ac:dyDescent="0.3">
      <c r="C178" s="8"/>
      <c r="D178" s="5"/>
      <c r="E178" s="5"/>
      <c r="F178" s="232"/>
      <c r="G178" s="233"/>
      <c r="H178" s="233"/>
      <c r="I178" s="233"/>
      <c r="J178" s="233"/>
      <c r="K178" s="50"/>
      <c r="L178" s="55"/>
      <c r="M178" s="55"/>
      <c r="N178" s="55"/>
      <c r="O178" s="55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</row>
    <row r="179" spans="3:42" ht="28.8" x14ac:dyDescent="0.3">
      <c r="C179" s="26" t="s">
        <v>156</v>
      </c>
      <c r="D179" s="5"/>
      <c r="E179" s="5"/>
      <c r="F179" s="232">
        <v>20</v>
      </c>
      <c r="G179" s="233">
        <v>7</v>
      </c>
      <c r="H179" s="215">
        <v>0</v>
      </c>
      <c r="I179" s="215">
        <v>0</v>
      </c>
      <c r="J179" s="215">
        <v>0</v>
      </c>
      <c r="K179" s="50"/>
      <c r="L179" s="55"/>
      <c r="M179" s="55"/>
      <c r="N179" s="55"/>
      <c r="O179" s="55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</row>
    <row r="180" spans="3:42" x14ac:dyDescent="0.3">
      <c r="C180" s="17"/>
      <c r="D180" s="17"/>
      <c r="E180" s="5"/>
      <c r="F180" s="232"/>
      <c r="G180" s="233"/>
      <c r="H180" s="233"/>
      <c r="I180" s="233"/>
      <c r="J180" s="233"/>
      <c r="K180" s="55"/>
      <c r="L180" s="55"/>
      <c r="M180" s="55"/>
      <c r="N180" s="55"/>
      <c r="O180" s="55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</row>
    <row r="181" spans="3:42" x14ac:dyDescent="0.3">
      <c r="C181" s="18" t="s">
        <v>157</v>
      </c>
      <c r="D181" s="20"/>
      <c r="E181" s="20"/>
      <c r="F181" s="249">
        <f>SUM(F177,F110,F179)</f>
        <v>9801</v>
      </c>
      <c r="G181" s="250">
        <f>SUM(G177,G110,G179)</f>
        <v>10387</v>
      </c>
      <c r="H181" s="250">
        <f>SUM(H177,H110)</f>
        <v>9949</v>
      </c>
      <c r="I181" s="250">
        <f>SUM(I177,I110)</f>
        <v>10333</v>
      </c>
      <c r="J181" s="250">
        <f>SUM(J177,J110)</f>
        <v>10725</v>
      </c>
      <c r="K181" s="55"/>
      <c r="L181" s="55"/>
      <c r="M181" s="55"/>
      <c r="N181" s="55"/>
      <c r="O181" s="55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</row>
    <row r="182" spans="3:42" x14ac:dyDescent="0.3">
      <c r="C182" s="27" t="s">
        <v>159</v>
      </c>
      <c r="D182" s="27"/>
      <c r="E182" s="54"/>
      <c r="F182" s="45">
        <f t="shared" ref="F182:G182" ca="1" si="52">SUM(F93,-F181)</f>
        <v>0</v>
      </c>
      <c r="G182" s="46">
        <f t="shared" ca="1" si="52"/>
        <v>0</v>
      </c>
      <c r="H182" s="46">
        <f ca="1">SUM(H93,-H181)</f>
        <v>0</v>
      </c>
      <c r="I182" s="46">
        <f ca="1">SUM(I93,-I181)</f>
        <v>0</v>
      </c>
      <c r="J182" s="46">
        <f ca="1">SUM(J93,-J181)</f>
        <v>0</v>
      </c>
      <c r="K182" s="55"/>
      <c r="L182" s="55"/>
      <c r="M182" s="55"/>
      <c r="N182" s="55"/>
      <c r="O182" s="55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</row>
    <row r="183" spans="3:42" x14ac:dyDescent="0.3">
      <c r="E183" s="55"/>
      <c r="F183" s="55"/>
      <c r="G183" s="55"/>
      <c r="H183" s="55"/>
      <c r="I183" s="55"/>
      <c r="J183" s="55"/>
      <c r="K183" s="55"/>
      <c r="L183" s="55"/>
      <c r="M183" s="55"/>
      <c r="N183" s="55"/>
      <c r="O183" s="55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</row>
    <row r="184" spans="3:42" x14ac:dyDescent="0.3">
      <c r="C184" s="1"/>
      <c r="D184" s="1"/>
      <c r="E184" s="55"/>
      <c r="F184" s="55"/>
      <c r="G184" s="55"/>
      <c r="H184" s="55"/>
      <c r="I184" s="55"/>
      <c r="J184" s="55"/>
      <c r="K184" s="55"/>
      <c r="L184" s="55"/>
      <c r="M184" s="55"/>
      <c r="N184" s="55"/>
      <c r="O184" s="55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</row>
    <row r="185" spans="3:42" x14ac:dyDescent="0.3">
      <c r="D185" s="1"/>
      <c r="E185" s="55"/>
      <c r="F185" s="55"/>
      <c r="G185" s="55"/>
      <c r="H185" s="55"/>
      <c r="I185" s="55"/>
      <c r="J185" s="55"/>
      <c r="K185" s="55"/>
      <c r="L185" s="55"/>
      <c r="M185" s="55"/>
      <c r="N185" s="55"/>
      <c r="O185" s="55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</row>
    <row r="186" spans="3:42" x14ac:dyDescent="0.3">
      <c r="C186" s="1"/>
      <c r="D186" s="1"/>
      <c r="E186" s="55"/>
      <c r="F186" s="55"/>
      <c r="G186" s="55"/>
      <c r="H186" s="55"/>
      <c r="I186" s="55"/>
      <c r="J186" s="55"/>
      <c r="K186" s="55"/>
      <c r="L186" s="55"/>
      <c r="M186" s="55"/>
      <c r="N186" s="55"/>
      <c r="O186" s="55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</row>
    <row r="187" spans="3:42" x14ac:dyDescent="0.3">
      <c r="C187" s="1"/>
      <c r="D187" s="1"/>
      <c r="E187" s="55"/>
      <c r="F187" s="55"/>
      <c r="G187" s="55"/>
      <c r="H187" s="55"/>
      <c r="I187" s="55"/>
      <c r="J187" s="55"/>
      <c r="K187" s="55"/>
      <c r="L187" s="55"/>
      <c r="M187" s="55"/>
      <c r="N187" s="55"/>
      <c r="O187" s="55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</row>
    <row r="188" spans="3:42" x14ac:dyDescent="0.3">
      <c r="C188" s="1"/>
      <c r="D188" s="1"/>
      <c r="E188" s="55"/>
      <c r="F188" s="55"/>
      <c r="G188" s="55"/>
      <c r="H188" s="55"/>
      <c r="I188" s="55"/>
      <c r="J188" s="55"/>
      <c r="K188" s="55"/>
      <c r="L188" s="55"/>
      <c r="M188" s="55"/>
      <c r="N188" s="55"/>
      <c r="O188" s="55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</row>
    <row r="189" spans="3:42" x14ac:dyDescent="0.3">
      <c r="C189" s="1"/>
      <c r="D189" s="1"/>
      <c r="E189" s="55"/>
      <c r="F189" s="55"/>
      <c r="G189" s="55"/>
      <c r="H189" s="55"/>
      <c r="I189" s="55"/>
      <c r="J189" s="55"/>
      <c r="K189" s="55"/>
      <c r="L189" s="55"/>
      <c r="M189" s="55"/>
      <c r="N189" s="55"/>
      <c r="O189" s="55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</row>
    <row r="190" spans="3:42" x14ac:dyDescent="0.3">
      <c r="C190" s="1"/>
      <c r="D190" s="1"/>
      <c r="E190" s="55"/>
      <c r="F190" s="55"/>
      <c r="G190" s="55"/>
      <c r="H190" s="55"/>
      <c r="I190" s="55"/>
      <c r="J190" s="55"/>
      <c r="K190" s="55"/>
      <c r="L190" s="55"/>
      <c r="M190" s="55"/>
      <c r="N190" s="55"/>
      <c r="O190" s="55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</row>
    <row r="191" spans="3:42" x14ac:dyDescent="0.3">
      <c r="C191" s="1"/>
      <c r="D191" s="1"/>
      <c r="E191" s="55"/>
      <c r="F191" s="55"/>
      <c r="G191" s="55"/>
      <c r="H191" s="55"/>
      <c r="I191" s="55"/>
      <c r="J191" s="55"/>
      <c r="K191" s="55"/>
      <c r="L191" s="55"/>
      <c r="M191" s="55"/>
      <c r="N191" s="55"/>
      <c r="O191" s="55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</row>
    <row r="192" spans="3:42" x14ac:dyDescent="0.3">
      <c r="C192" s="1"/>
      <c r="D192" s="1"/>
      <c r="E192" s="55"/>
      <c r="F192" s="55"/>
      <c r="G192" s="55"/>
      <c r="H192" s="55"/>
      <c r="I192" s="55"/>
      <c r="J192" s="55"/>
      <c r="K192" s="55"/>
      <c r="L192" s="55"/>
      <c r="M192" s="55"/>
      <c r="N192" s="55"/>
      <c r="O192" s="55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</row>
    <row r="193" spans="3:42" x14ac:dyDescent="0.3">
      <c r="C193" s="1"/>
      <c r="D193" s="1"/>
      <c r="E193" s="55"/>
      <c r="F193" s="55"/>
      <c r="G193" s="55"/>
      <c r="H193" s="55"/>
      <c r="I193" s="55"/>
      <c r="J193" s="55"/>
      <c r="K193" s="55"/>
      <c r="L193" s="55"/>
      <c r="M193" s="55"/>
      <c r="N193" s="55"/>
      <c r="O193" s="55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</row>
    <row r="194" spans="3:42" x14ac:dyDescent="0.3">
      <c r="C194" s="1"/>
      <c r="D194" s="1"/>
      <c r="E194" s="55"/>
      <c r="F194" s="55"/>
      <c r="G194" s="55"/>
      <c r="H194" s="55"/>
      <c r="I194" s="55"/>
      <c r="J194" s="55"/>
      <c r="K194" s="55"/>
      <c r="L194" s="55"/>
      <c r="M194" s="55"/>
      <c r="N194" s="55"/>
      <c r="O194" s="55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</row>
    <row r="195" spans="3:42" x14ac:dyDescent="0.3">
      <c r="C195" s="1"/>
      <c r="D195" s="1"/>
      <c r="E195" s="55"/>
      <c r="F195" s="55"/>
      <c r="G195" s="55"/>
      <c r="H195" s="55"/>
      <c r="I195" s="55"/>
      <c r="J195" s="55"/>
      <c r="K195" s="55"/>
      <c r="L195" s="55"/>
      <c r="M195" s="55"/>
      <c r="N195" s="55"/>
      <c r="O195" s="55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</row>
    <row r="196" spans="3:42" x14ac:dyDescent="0.3">
      <c r="C196" s="1"/>
      <c r="D196" s="1"/>
      <c r="E196" s="55"/>
      <c r="F196" s="55"/>
      <c r="G196" s="55"/>
      <c r="H196" s="55"/>
      <c r="I196" s="55"/>
      <c r="J196" s="55"/>
      <c r="K196" s="55"/>
      <c r="L196" s="55"/>
      <c r="M196" s="55"/>
      <c r="N196" s="55"/>
      <c r="O196" s="55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</row>
    <row r="197" spans="3:42" x14ac:dyDescent="0.3">
      <c r="C197" s="1"/>
      <c r="D197" s="1"/>
      <c r="E197" s="55"/>
      <c r="F197" s="55"/>
      <c r="G197" s="55"/>
      <c r="H197" s="55"/>
      <c r="I197" s="55"/>
      <c r="J197" s="55"/>
      <c r="K197" s="55"/>
      <c r="L197" s="55"/>
      <c r="M197" s="55"/>
      <c r="N197" s="55"/>
      <c r="O197" s="55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</row>
    <row r="198" spans="3:42" x14ac:dyDescent="0.3">
      <c r="C198" s="1"/>
      <c r="D198" s="1"/>
      <c r="E198" s="55"/>
      <c r="F198" s="55"/>
      <c r="G198" s="55"/>
      <c r="H198" s="55"/>
      <c r="I198" s="55"/>
      <c r="J198" s="55"/>
      <c r="K198" s="55"/>
      <c r="L198" s="55"/>
      <c r="M198" s="55"/>
      <c r="N198" s="55"/>
      <c r="O198" s="55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</row>
    <row r="199" spans="3:42" x14ac:dyDescent="0.3">
      <c r="C199" s="1"/>
      <c r="D199" s="1"/>
      <c r="E199" s="55"/>
      <c r="F199" s="55"/>
      <c r="G199" s="55"/>
      <c r="H199" s="55"/>
      <c r="I199" s="55"/>
      <c r="J199" s="55"/>
      <c r="K199" s="55"/>
      <c r="L199" s="55"/>
      <c r="M199" s="55"/>
      <c r="N199" s="55"/>
      <c r="O199" s="55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</row>
    <row r="200" spans="3:42" x14ac:dyDescent="0.3">
      <c r="C200" s="1"/>
      <c r="D200" s="1"/>
      <c r="E200" s="55"/>
      <c r="F200" s="55"/>
      <c r="G200" s="55"/>
      <c r="H200" s="55"/>
      <c r="I200" s="55"/>
      <c r="J200" s="55"/>
      <c r="K200" s="55"/>
      <c r="L200" s="55"/>
      <c r="M200" s="55"/>
      <c r="N200" s="55"/>
      <c r="O200" s="55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</row>
    <row r="201" spans="3:42" x14ac:dyDescent="0.3">
      <c r="C201" s="1"/>
      <c r="D201" s="1"/>
      <c r="E201" s="55"/>
      <c r="F201" s="55"/>
      <c r="G201" s="55"/>
      <c r="H201" s="55"/>
      <c r="I201" s="55"/>
      <c r="J201" s="55"/>
      <c r="K201" s="55"/>
      <c r="L201" s="55"/>
      <c r="M201" s="55"/>
      <c r="N201" s="55"/>
      <c r="O201" s="55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</row>
    <row r="202" spans="3:42" x14ac:dyDescent="0.3">
      <c r="C202" s="1"/>
      <c r="D202" s="1"/>
      <c r="E202" s="55"/>
      <c r="F202" s="55"/>
      <c r="G202" s="55"/>
      <c r="H202" s="55"/>
      <c r="I202" s="55"/>
      <c r="J202" s="55"/>
      <c r="K202" s="55"/>
      <c r="L202" s="55"/>
      <c r="M202" s="55"/>
      <c r="N202" s="55"/>
      <c r="O202" s="55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</row>
    <row r="203" spans="3:42" x14ac:dyDescent="0.3">
      <c r="C203" s="1"/>
      <c r="D203" s="1"/>
      <c r="E203" s="55"/>
      <c r="F203" s="55"/>
      <c r="G203" s="55"/>
      <c r="H203" s="55"/>
      <c r="I203" s="55"/>
      <c r="J203" s="55"/>
      <c r="K203" s="55"/>
      <c r="L203" s="55"/>
      <c r="M203" s="55"/>
      <c r="N203" s="55"/>
      <c r="O203" s="55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</row>
    <row r="204" spans="3:42" x14ac:dyDescent="0.3">
      <c r="C204" s="1"/>
      <c r="D204" s="1"/>
      <c r="E204" s="55"/>
      <c r="F204" s="55"/>
      <c r="G204" s="55"/>
      <c r="H204" s="55"/>
      <c r="I204" s="55"/>
      <c r="J204" s="55"/>
      <c r="K204" s="55"/>
      <c r="L204" s="55"/>
      <c r="M204" s="55"/>
      <c r="N204" s="55"/>
      <c r="O204" s="55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</row>
    <row r="205" spans="3:42" x14ac:dyDescent="0.3">
      <c r="C205" s="1"/>
      <c r="D205" s="1"/>
      <c r="E205" s="55"/>
      <c r="F205" s="55"/>
      <c r="G205" s="55"/>
      <c r="H205" s="55"/>
      <c r="I205" s="55"/>
      <c r="J205" s="55"/>
      <c r="K205" s="55"/>
      <c r="L205" s="55"/>
      <c r="M205" s="55"/>
      <c r="N205" s="55"/>
      <c r="O205" s="55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</row>
    <row r="206" spans="3:42" x14ac:dyDescent="0.3">
      <c r="C206" s="2"/>
      <c r="D206" s="1"/>
      <c r="E206" s="55"/>
      <c r="F206" s="55"/>
      <c r="G206" s="55"/>
      <c r="H206" s="55"/>
      <c r="I206" s="55"/>
      <c r="J206" s="55"/>
      <c r="K206" s="55"/>
      <c r="L206" s="55"/>
      <c r="M206" s="55"/>
      <c r="N206" s="55"/>
      <c r="O206" s="55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</row>
    <row r="207" spans="3:42" x14ac:dyDescent="0.3">
      <c r="C207" s="2"/>
      <c r="D207" s="1"/>
      <c r="E207" s="55"/>
      <c r="F207" s="55"/>
      <c r="G207" s="55"/>
      <c r="H207" s="55"/>
      <c r="I207" s="55"/>
      <c r="J207" s="55"/>
      <c r="K207" s="55"/>
      <c r="L207" s="55"/>
      <c r="M207" s="55"/>
      <c r="N207" s="55"/>
      <c r="O207" s="55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</row>
    <row r="208" spans="3:42" x14ac:dyDescent="0.3">
      <c r="C208" s="1"/>
      <c r="D208" s="1"/>
      <c r="E208" s="55"/>
      <c r="F208" s="55"/>
      <c r="G208" s="55"/>
      <c r="H208" s="55"/>
      <c r="I208" s="55"/>
      <c r="J208" s="55"/>
      <c r="K208" s="55"/>
      <c r="L208" s="55"/>
      <c r="M208" s="55"/>
      <c r="N208" s="55"/>
      <c r="O208" s="55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</row>
    <row r="209" spans="3:42" x14ac:dyDescent="0.3">
      <c r="C209" s="1"/>
      <c r="D209" s="1"/>
      <c r="E209" s="55"/>
      <c r="F209" s="55"/>
      <c r="G209" s="55"/>
      <c r="H209" s="55"/>
      <c r="I209" s="55"/>
      <c r="J209" s="55"/>
      <c r="K209" s="55"/>
      <c r="L209" s="55"/>
      <c r="M209" s="55"/>
      <c r="N209" s="55"/>
      <c r="O209" s="55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</row>
    <row r="210" spans="3:42" x14ac:dyDescent="0.3">
      <c r="C210" s="1"/>
      <c r="D210" s="4"/>
      <c r="E210" s="55"/>
      <c r="F210" s="55"/>
      <c r="G210" s="55"/>
      <c r="H210" s="55"/>
      <c r="I210" s="55"/>
      <c r="J210" s="55"/>
      <c r="K210" s="55"/>
      <c r="L210" s="55"/>
      <c r="M210" s="55"/>
      <c r="N210" s="55"/>
      <c r="O210" s="55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</row>
    <row r="211" spans="3:42" x14ac:dyDescent="0.3">
      <c r="C211" s="1"/>
      <c r="D211" s="1"/>
      <c r="E211" s="55"/>
      <c r="F211" s="55"/>
      <c r="G211" s="55"/>
      <c r="H211" s="55"/>
      <c r="I211" s="55"/>
      <c r="J211" s="55"/>
      <c r="K211" s="55"/>
      <c r="L211" s="55"/>
      <c r="M211" s="55"/>
      <c r="N211" s="55"/>
      <c r="O211" s="55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</row>
    <row r="212" spans="3:42" x14ac:dyDescent="0.3">
      <c r="C212" s="2"/>
      <c r="D212" s="1"/>
      <c r="E212" s="55"/>
      <c r="F212" s="55"/>
      <c r="G212" s="55"/>
      <c r="H212" s="55"/>
      <c r="I212" s="55"/>
      <c r="J212" s="55"/>
      <c r="K212" s="55"/>
      <c r="L212" s="55"/>
      <c r="M212" s="55"/>
      <c r="N212" s="55"/>
      <c r="O212" s="55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</row>
    <row r="213" spans="3:42" x14ac:dyDescent="0.3">
      <c r="C213" s="2"/>
      <c r="D213" s="1"/>
      <c r="E213" s="55"/>
      <c r="F213" s="55"/>
      <c r="G213" s="55"/>
      <c r="H213" s="55"/>
      <c r="I213" s="55"/>
      <c r="J213" s="55"/>
      <c r="K213" s="55"/>
      <c r="L213" s="55"/>
      <c r="M213" s="55"/>
      <c r="N213" s="55"/>
      <c r="O213" s="55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</row>
    <row r="214" spans="3:42" x14ac:dyDescent="0.3">
      <c r="C214" s="3"/>
      <c r="D214" s="1"/>
      <c r="E214" s="55"/>
      <c r="F214" s="55"/>
      <c r="G214" s="55"/>
      <c r="H214" s="55"/>
      <c r="I214" s="55"/>
      <c r="J214" s="55"/>
      <c r="K214" s="55"/>
      <c r="L214" s="55"/>
      <c r="M214" s="55"/>
      <c r="N214" s="55"/>
      <c r="O214" s="55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</row>
    <row r="215" spans="3:42" x14ac:dyDescent="0.3">
      <c r="C215" s="2"/>
      <c r="D215" s="1"/>
      <c r="E215" s="55"/>
      <c r="F215" s="55"/>
      <c r="G215" s="55"/>
      <c r="H215" s="55"/>
      <c r="I215" s="55"/>
      <c r="J215" s="55"/>
      <c r="K215" s="55"/>
      <c r="L215" s="55"/>
      <c r="M215" s="55"/>
      <c r="N215" s="55"/>
      <c r="O215" s="55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</row>
    <row r="216" spans="3:42" x14ac:dyDescent="0.3">
      <c r="C216" s="1"/>
      <c r="D216" s="1"/>
      <c r="E216" s="55"/>
      <c r="F216" s="55"/>
      <c r="G216" s="55"/>
      <c r="H216" s="55"/>
      <c r="I216" s="55"/>
      <c r="J216" s="55"/>
      <c r="K216" s="55"/>
      <c r="L216" s="55"/>
      <c r="M216" s="55"/>
      <c r="N216" s="55"/>
      <c r="O216" s="55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</row>
    <row r="217" spans="3:42" x14ac:dyDescent="0.3">
      <c r="C217" s="1"/>
      <c r="D217" s="1"/>
      <c r="E217" s="55"/>
      <c r="F217" s="55"/>
      <c r="G217" s="55"/>
      <c r="H217" s="55"/>
      <c r="I217" s="55"/>
      <c r="J217" s="55"/>
      <c r="K217" s="55"/>
      <c r="L217" s="55"/>
      <c r="M217" s="55"/>
      <c r="N217" s="55"/>
      <c r="O217" s="55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</row>
    <row r="218" spans="3:42" x14ac:dyDescent="0.3">
      <c r="C218" s="1"/>
      <c r="D218" s="1"/>
      <c r="E218" s="55"/>
      <c r="F218" s="55"/>
      <c r="G218" s="55"/>
      <c r="H218" s="55"/>
      <c r="I218" s="55"/>
      <c r="J218" s="55"/>
      <c r="K218" s="55"/>
      <c r="L218" s="55"/>
      <c r="M218" s="55"/>
      <c r="N218" s="55"/>
      <c r="O218" s="55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</row>
    <row r="219" spans="3:42" x14ac:dyDescent="0.3">
      <c r="C219" s="1"/>
      <c r="D219" s="1"/>
      <c r="E219" s="55"/>
      <c r="F219" s="55"/>
      <c r="G219" s="55"/>
      <c r="H219" s="55"/>
      <c r="I219" s="55"/>
      <c r="J219" s="55"/>
      <c r="K219" s="55"/>
      <c r="L219" s="55"/>
      <c r="M219" s="55"/>
      <c r="N219" s="55"/>
      <c r="O219" s="55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</row>
    <row r="220" spans="3:42" x14ac:dyDescent="0.3">
      <c r="C220" s="1"/>
      <c r="D220" s="1"/>
      <c r="E220" s="55"/>
      <c r="F220" s="55"/>
      <c r="G220" s="55"/>
      <c r="H220" s="55"/>
      <c r="I220" s="55"/>
      <c r="J220" s="55"/>
      <c r="K220" s="55"/>
      <c r="L220" s="55"/>
      <c r="M220" s="55"/>
      <c r="N220" s="55"/>
      <c r="O220" s="55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</row>
    <row r="221" spans="3:42" x14ac:dyDescent="0.3">
      <c r="C221" s="1"/>
      <c r="D221" s="1"/>
      <c r="E221" s="55"/>
      <c r="F221" s="55"/>
      <c r="G221" s="55"/>
      <c r="H221" s="55"/>
      <c r="I221" s="55"/>
      <c r="J221" s="55"/>
      <c r="K221" s="55"/>
      <c r="L221" s="55"/>
      <c r="M221" s="55"/>
      <c r="N221" s="55"/>
      <c r="O221" s="55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</row>
    <row r="222" spans="3:42" x14ac:dyDescent="0.3">
      <c r="C222" s="1"/>
      <c r="D222" s="1"/>
      <c r="E222" s="55"/>
      <c r="F222" s="55"/>
      <c r="G222" s="55"/>
      <c r="H222" s="55"/>
      <c r="I222" s="55"/>
      <c r="J222" s="55"/>
      <c r="K222" s="55"/>
      <c r="L222" s="55"/>
      <c r="M222" s="55"/>
      <c r="N222" s="55"/>
      <c r="O222" s="55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</row>
    <row r="223" spans="3:42" x14ac:dyDescent="0.3">
      <c r="C223" s="1"/>
      <c r="D223" s="1"/>
      <c r="E223" s="55"/>
      <c r="F223" s="55"/>
      <c r="G223" s="55"/>
      <c r="H223" s="55"/>
      <c r="I223" s="55"/>
      <c r="J223" s="55"/>
      <c r="K223" s="55"/>
      <c r="L223" s="55"/>
      <c r="M223" s="55"/>
      <c r="N223" s="55"/>
      <c r="O223" s="55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</row>
    <row r="224" spans="3:42" x14ac:dyDescent="0.3">
      <c r="C224" s="1"/>
      <c r="D224" s="1"/>
      <c r="E224" s="55"/>
      <c r="F224" s="55"/>
      <c r="G224" s="55"/>
      <c r="H224" s="55"/>
      <c r="I224" s="55"/>
      <c r="J224" s="55"/>
      <c r="K224" s="55"/>
      <c r="L224" s="55"/>
      <c r="M224" s="55"/>
      <c r="N224" s="55"/>
      <c r="O224" s="55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</row>
    <row r="225" spans="3:42" x14ac:dyDescent="0.3">
      <c r="C225" s="1"/>
      <c r="D225" s="1"/>
      <c r="E225" s="55"/>
      <c r="F225" s="55"/>
      <c r="G225" s="55"/>
      <c r="H225" s="55"/>
      <c r="I225" s="55"/>
      <c r="J225" s="55"/>
      <c r="K225" s="55"/>
      <c r="L225" s="55"/>
      <c r="M225" s="55"/>
      <c r="N225" s="55"/>
      <c r="O225" s="55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</row>
    <row r="226" spans="3:42" x14ac:dyDescent="0.3">
      <c r="C226" s="1"/>
      <c r="D226" s="1"/>
      <c r="E226" s="55"/>
      <c r="F226" s="55"/>
      <c r="G226" s="55"/>
      <c r="H226" s="55"/>
      <c r="I226" s="55"/>
      <c r="J226" s="55"/>
      <c r="K226" s="55"/>
      <c r="L226" s="55"/>
      <c r="M226" s="55"/>
      <c r="N226" s="55"/>
      <c r="O226" s="55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</row>
    <row r="227" spans="3:42" x14ac:dyDescent="0.3">
      <c r="C227" s="1"/>
      <c r="D227" s="1"/>
      <c r="E227" s="55"/>
      <c r="F227" s="55"/>
      <c r="G227" s="55"/>
      <c r="H227" s="55"/>
      <c r="I227" s="55"/>
      <c r="J227" s="55"/>
      <c r="K227" s="55"/>
      <c r="L227" s="55"/>
      <c r="M227" s="55"/>
      <c r="N227" s="55"/>
      <c r="O227" s="55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</row>
    <row r="228" spans="3:42" x14ac:dyDescent="0.3">
      <c r="C228" s="1"/>
      <c r="D228" s="1"/>
      <c r="E228" s="55"/>
      <c r="F228" s="55"/>
      <c r="G228" s="55"/>
      <c r="H228" s="55"/>
      <c r="I228" s="55"/>
      <c r="J228" s="55"/>
      <c r="K228" s="55"/>
      <c r="L228" s="55"/>
      <c r="M228" s="55"/>
      <c r="N228" s="55"/>
      <c r="O228" s="55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</row>
    <row r="229" spans="3:42" x14ac:dyDescent="0.3">
      <c r="C229" s="1"/>
      <c r="D229" s="1"/>
      <c r="E229" s="55"/>
      <c r="F229" s="55"/>
      <c r="G229" s="55"/>
      <c r="H229" s="55"/>
      <c r="I229" s="55"/>
      <c r="J229" s="55"/>
      <c r="K229" s="55"/>
      <c r="L229" s="55"/>
      <c r="M229" s="55"/>
      <c r="N229" s="55"/>
      <c r="O229" s="55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</row>
    <row r="230" spans="3:42" x14ac:dyDescent="0.3">
      <c r="C230" s="1"/>
      <c r="D230" s="1"/>
      <c r="E230" s="55"/>
      <c r="F230" s="55"/>
      <c r="G230" s="55"/>
      <c r="H230" s="55"/>
      <c r="I230" s="55"/>
      <c r="J230" s="55"/>
      <c r="K230" s="55"/>
      <c r="L230" s="55"/>
      <c r="M230" s="55"/>
      <c r="N230" s="55"/>
      <c r="O230" s="55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</row>
    <row r="231" spans="3:42" x14ac:dyDescent="0.3">
      <c r="C231" s="1"/>
      <c r="D231" s="1"/>
      <c r="E231" s="55"/>
      <c r="F231" s="55"/>
      <c r="G231" s="55"/>
      <c r="H231" s="55"/>
      <c r="I231" s="55"/>
      <c r="J231" s="55"/>
      <c r="K231" s="55"/>
      <c r="L231" s="55"/>
      <c r="M231" s="55"/>
      <c r="N231" s="55"/>
      <c r="O231" s="55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</row>
    <row r="232" spans="3:42" x14ac:dyDescent="0.3">
      <c r="C232" s="1"/>
      <c r="D232" s="1"/>
      <c r="E232" s="55"/>
      <c r="F232" s="55"/>
      <c r="G232" s="55"/>
      <c r="H232" s="55"/>
      <c r="I232" s="55"/>
      <c r="J232" s="55"/>
      <c r="K232" s="55"/>
      <c r="L232" s="55"/>
      <c r="M232" s="55"/>
      <c r="N232" s="55"/>
      <c r="O232" s="55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</row>
    <row r="233" spans="3:42" x14ac:dyDescent="0.3">
      <c r="C233" s="1"/>
      <c r="D233" s="1"/>
      <c r="E233" s="55"/>
      <c r="F233" s="55"/>
      <c r="G233" s="55"/>
      <c r="H233" s="55"/>
      <c r="I233" s="55"/>
      <c r="J233" s="55"/>
      <c r="K233" s="55"/>
      <c r="L233" s="55"/>
      <c r="M233" s="55"/>
      <c r="N233" s="55"/>
      <c r="O233" s="55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</row>
    <row r="234" spans="3:42" x14ac:dyDescent="0.3">
      <c r="C234" s="1"/>
      <c r="D234" s="1"/>
      <c r="E234" s="55"/>
      <c r="F234" s="55"/>
      <c r="G234" s="55"/>
      <c r="H234" s="55"/>
      <c r="I234" s="55"/>
      <c r="J234" s="55"/>
      <c r="K234" s="55"/>
      <c r="L234" s="55"/>
      <c r="M234" s="55"/>
      <c r="N234" s="55"/>
      <c r="O234" s="55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</row>
    <row r="235" spans="3:42" x14ac:dyDescent="0.3">
      <c r="C235" s="1"/>
      <c r="D235" s="1"/>
      <c r="E235" s="55"/>
      <c r="F235" s="55"/>
      <c r="G235" s="55"/>
      <c r="H235" s="55"/>
      <c r="I235" s="55"/>
      <c r="J235" s="55"/>
      <c r="K235" s="55"/>
      <c r="L235" s="55"/>
      <c r="M235" s="55"/>
      <c r="N235" s="55"/>
      <c r="O235" s="55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</row>
    <row r="236" spans="3:42" x14ac:dyDescent="0.3">
      <c r="C236" s="1"/>
      <c r="D236" s="1"/>
      <c r="E236" s="55"/>
      <c r="F236" s="55"/>
      <c r="G236" s="55"/>
      <c r="H236" s="55"/>
      <c r="I236" s="55"/>
      <c r="J236" s="55"/>
      <c r="K236" s="55"/>
      <c r="L236" s="55"/>
      <c r="M236" s="55"/>
      <c r="N236" s="55"/>
      <c r="O236" s="55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</row>
    <row r="237" spans="3:42" x14ac:dyDescent="0.3">
      <c r="C237" s="1"/>
      <c r="D237" s="1"/>
      <c r="E237" s="55"/>
      <c r="F237" s="55"/>
      <c r="G237" s="55"/>
      <c r="H237" s="55"/>
      <c r="I237" s="55"/>
      <c r="J237" s="55"/>
      <c r="K237" s="55"/>
      <c r="L237" s="55"/>
      <c r="M237" s="55"/>
      <c r="N237" s="55"/>
      <c r="O237" s="55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</row>
    <row r="238" spans="3:42" x14ac:dyDescent="0.3">
      <c r="C238" s="1"/>
      <c r="D238" s="1"/>
      <c r="E238" s="55"/>
      <c r="F238" s="55"/>
      <c r="G238" s="55"/>
      <c r="H238" s="55"/>
      <c r="I238" s="55"/>
      <c r="J238" s="55"/>
      <c r="K238" s="55"/>
      <c r="L238" s="55"/>
      <c r="M238" s="55"/>
      <c r="N238" s="55"/>
      <c r="O238" s="55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</row>
    <row r="239" spans="3:42" x14ac:dyDescent="0.3">
      <c r="C239" s="1"/>
      <c r="D239" s="1"/>
      <c r="E239" s="55"/>
      <c r="F239" s="55"/>
      <c r="G239" s="55"/>
      <c r="H239" s="55"/>
      <c r="I239" s="55"/>
      <c r="J239" s="55"/>
      <c r="K239" s="55"/>
      <c r="L239" s="55"/>
      <c r="M239" s="55"/>
      <c r="N239" s="55"/>
      <c r="O239" s="55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</row>
    <row r="240" spans="3:42" x14ac:dyDescent="0.3">
      <c r="C240" s="1"/>
      <c r="D240" s="1"/>
      <c r="E240" s="55"/>
      <c r="F240" s="55"/>
      <c r="G240" s="55"/>
      <c r="H240" s="55"/>
      <c r="I240" s="55"/>
      <c r="J240" s="55"/>
      <c r="K240" s="55"/>
      <c r="L240" s="55"/>
      <c r="M240" s="55"/>
      <c r="N240" s="55"/>
      <c r="O240" s="55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</row>
    <row r="241" spans="3:42" x14ac:dyDescent="0.3">
      <c r="C241" s="1"/>
      <c r="D241" s="1"/>
      <c r="E241" s="55"/>
      <c r="F241" s="55"/>
      <c r="G241" s="55"/>
      <c r="H241" s="55"/>
      <c r="I241" s="55"/>
      <c r="J241" s="55"/>
      <c r="K241" s="55"/>
      <c r="L241" s="55"/>
      <c r="M241" s="55"/>
      <c r="N241" s="55"/>
      <c r="O241" s="55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</row>
    <row r="242" spans="3:42" x14ac:dyDescent="0.3">
      <c r="C242" s="1"/>
      <c r="D242" s="1"/>
      <c r="E242" s="55"/>
      <c r="F242" s="55"/>
      <c r="G242" s="55"/>
      <c r="H242" s="55"/>
      <c r="I242" s="55"/>
      <c r="J242" s="55"/>
      <c r="K242" s="55"/>
      <c r="L242" s="55"/>
      <c r="M242" s="55"/>
      <c r="N242" s="55"/>
      <c r="O242" s="55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</row>
    <row r="243" spans="3:42" x14ac:dyDescent="0.3">
      <c r="C243" s="1"/>
      <c r="D243" s="1"/>
      <c r="E243" s="55"/>
      <c r="F243" s="55"/>
      <c r="G243" s="55"/>
      <c r="H243" s="55"/>
      <c r="I243" s="55"/>
      <c r="J243" s="55"/>
      <c r="K243" s="55"/>
      <c r="L243" s="55"/>
      <c r="M243" s="55"/>
      <c r="N243" s="55"/>
      <c r="O243" s="55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</row>
    <row r="244" spans="3:42" x14ac:dyDescent="0.3">
      <c r="C244" s="1"/>
      <c r="D244" s="1"/>
      <c r="E244" s="55"/>
      <c r="F244" s="55"/>
      <c r="G244" s="55"/>
      <c r="H244" s="55"/>
      <c r="I244" s="55"/>
      <c r="J244" s="55"/>
      <c r="K244" s="55"/>
      <c r="L244" s="55"/>
      <c r="M244" s="55"/>
      <c r="N244" s="55"/>
      <c r="O244" s="55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</row>
    <row r="245" spans="3:42" x14ac:dyDescent="0.3">
      <c r="C245" s="1"/>
      <c r="D245" s="1"/>
      <c r="E245" s="55"/>
      <c r="F245" s="55"/>
      <c r="G245" s="55"/>
      <c r="H245" s="55"/>
      <c r="I245" s="55"/>
      <c r="J245" s="55"/>
      <c r="K245" s="55"/>
      <c r="L245" s="55"/>
      <c r="M245" s="55"/>
      <c r="N245" s="55"/>
      <c r="O245" s="55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</row>
    <row r="246" spans="3:42" x14ac:dyDescent="0.3">
      <c r="C246" s="1"/>
      <c r="D246" s="1"/>
      <c r="E246" s="55"/>
      <c r="F246" s="55"/>
      <c r="G246" s="55"/>
      <c r="H246" s="55"/>
      <c r="I246" s="55"/>
      <c r="J246" s="55"/>
      <c r="K246" s="55"/>
      <c r="L246" s="55"/>
      <c r="M246" s="55"/>
      <c r="N246" s="55"/>
      <c r="O246" s="55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</row>
    <row r="247" spans="3:42" x14ac:dyDescent="0.3">
      <c r="C247" s="1"/>
      <c r="D247" s="1"/>
      <c r="E247" s="55"/>
      <c r="F247" s="55"/>
      <c r="G247" s="55"/>
      <c r="H247" s="55"/>
      <c r="I247" s="55"/>
      <c r="J247" s="55"/>
      <c r="K247" s="55"/>
      <c r="L247" s="55"/>
      <c r="M247" s="55"/>
      <c r="N247" s="55"/>
      <c r="O247" s="55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</row>
    <row r="248" spans="3:42" x14ac:dyDescent="0.3">
      <c r="C248" s="1"/>
      <c r="D248" s="1"/>
      <c r="E248" s="55"/>
      <c r="F248" s="55"/>
      <c r="G248" s="55"/>
      <c r="H248" s="55"/>
      <c r="I248" s="55"/>
      <c r="J248" s="55"/>
      <c r="K248" s="55"/>
      <c r="L248" s="55"/>
      <c r="M248" s="55"/>
      <c r="N248" s="55"/>
      <c r="O248" s="55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</row>
    <row r="249" spans="3:42" x14ac:dyDescent="0.3">
      <c r="C249" s="1"/>
      <c r="D249" s="1"/>
      <c r="E249" s="55"/>
      <c r="F249" s="55"/>
      <c r="G249" s="55"/>
      <c r="H249" s="55"/>
      <c r="I249" s="55"/>
      <c r="J249" s="55"/>
      <c r="K249" s="55"/>
      <c r="L249" s="55"/>
      <c r="M249" s="55"/>
      <c r="N249" s="55"/>
      <c r="O249" s="55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</row>
    <row r="250" spans="3:42" x14ac:dyDescent="0.3">
      <c r="C250" s="1"/>
      <c r="D250" s="1"/>
      <c r="E250" s="55"/>
      <c r="F250" s="55"/>
      <c r="G250" s="55"/>
      <c r="H250" s="55"/>
      <c r="I250" s="55"/>
      <c r="J250" s="55"/>
      <c r="K250" s="55"/>
      <c r="L250" s="55"/>
      <c r="M250" s="55"/>
      <c r="N250" s="55"/>
      <c r="O250" s="55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</row>
    <row r="251" spans="3:42" x14ac:dyDescent="0.3">
      <c r="C251" s="1"/>
      <c r="D251" s="1"/>
      <c r="E251" s="55"/>
      <c r="F251" s="55"/>
      <c r="G251" s="55"/>
      <c r="H251" s="55"/>
      <c r="I251" s="55"/>
      <c r="J251" s="55"/>
      <c r="K251" s="55"/>
      <c r="L251" s="55"/>
      <c r="M251" s="55"/>
      <c r="N251" s="55"/>
      <c r="O251" s="55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</row>
    <row r="252" spans="3:42" x14ac:dyDescent="0.3">
      <c r="C252" s="1"/>
      <c r="D252" s="1"/>
      <c r="E252" s="55"/>
      <c r="F252" s="55"/>
      <c r="G252" s="55"/>
      <c r="H252" s="55"/>
      <c r="I252" s="55"/>
      <c r="J252" s="55"/>
      <c r="K252" s="55"/>
      <c r="L252" s="55"/>
      <c r="M252" s="55"/>
      <c r="N252" s="55"/>
      <c r="O252" s="55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</row>
    <row r="253" spans="3:42" x14ac:dyDescent="0.3">
      <c r="C253" s="1"/>
      <c r="D253" s="1"/>
      <c r="E253" s="55"/>
      <c r="F253" s="55"/>
      <c r="G253" s="55"/>
      <c r="H253" s="55"/>
      <c r="I253" s="55"/>
      <c r="J253" s="55"/>
      <c r="K253" s="55"/>
      <c r="L253" s="55"/>
      <c r="M253" s="55"/>
      <c r="N253" s="55"/>
      <c r="O253" s="55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</row>
    <row r="254" spans="3:42" x14ac:dyDescent="0.3">
      <c r="C254" s="1"/>
      <c r="D254" s="1"/>
      <c r="E254" s="55"/>
      <c r="F254" s="55"/>
      <c r="G254" s="55"/>
      <c r="H254" s="55"/>
      <c r="I254" s="55"/>
      <c r="J254" s="55"/>
      <c r="K254" s="55"/>
      <c r="L254" s="55"/>
      <c r="M254" s="55"/>
      <c r="N254" s="55"/>
      <c r="O254" s="55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</row>
    <row r="255" spans="3:42" x14ac:dyDescent="0.3">
      <c r="C255" s="1"/>
      <c r="D255" s="1"/>
      <c r="E255" s="55"/>
      <c r="F255" s="55"/>
      <c r="G255" s="55"/>
      <c r="H255" s="55"/>
      <c r="I255" s="55"/>
      <c r="J255" s="55"/>
      <c r="K255" s="55"/>
      <c r="L255" s="55"/>
      <c r="M255" s="55"/>
      <c r="N255" s="55"/>
      <c r="O255" s="55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</row>
    <row r="256" spans="3:42" x14ac:dyDescent="0.3">
      <c r="C256" s="1"/>
      <c r="D256" s="1"/>
      <c r="E256" s="55"/>
      <c r="F256" s="55"/>
      <c r="G256" s="55"/>
      <c r="H256" s="55"/>
      <c r="I256" s="55"/>
      <c r="J256" s="55"/>
      <c r="K256" s="55"/>
      <c r="L256" s="55"/>
      <c r="M256" s="55"/>
      <c r="N256" s="55"/>
      <c r="O256" s="55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</row>
    <row r="257" spans="3:42" x14ac:dyDescent="0.3">
      <c r="C257" s="1"/>
      <c r="D257" s="1"/>
      <c r="E257" s="55"/>
      <c r="F257" s="55"/>
      <c r="G257" s="55"/>
      <c r="H257" s="55"/>
      <c r="I257" s="55"/>
      <c r="J257" s="55"/>
      <c r="K257" s="55"/>
      <c r="L257" s="55"/>
      <c r="M257" s="55"/>
      <c r="N257" s="55"/>
      <c r="O257" s="55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</row>
    <row r="258" spans="3:42" x14ac:dyDescent="0.3">
      <c r="C258" s="1"/>
      <c r="D258" s="1"/>
      <c r="E258" s="55"/>
      <c r="F258" s="55"/>
      <c r="G258" s="55"/>
      <c r="H258" s="55"/>
      <c r="I258" s="55"/>
      <c r="J258" s="55"/>
      <c r="K258" s="55"/>
      <c r="L258" s="55"/>
      <c r="M258" s="55"/>
      <c r="N258" s="55"/>
      <c r="O258" s="55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</row>
    <row r="259" spans="3:42" x14ac:dyDescent="0.3">
      <c r="C259" s="1"/>
      <c r="D259" s="1"/>
      <c r="E259" s="55"/>
      <c r="F259" s="55"/>
      <c r="G259" s="55"/>
      <c r="H259" s="55"/>
      <c r="I259" s="55"/>
      <c r="J259" s="55"/>
      <c r="K259" s="55"/>
      <c r="L259" s="55"/>
      <c r="M259" s="55"/>
      <c r="N259" s="55"/>
      <c r="O259" s="55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</row>
    <row r="260" spans="3:42" x14ac:dyDescent="0.3">
      <c r="C260" s="1"/>
      <c r="D260" s="1"/>
      <c r="E260" s="55"/>
      <c r="F260" s="55"/>
      <c r="G260" s="55"/>
      <c r="H260" s="55"/>
      <c r="I260" s="55"/>
      <c r="J260" s="55"/>
      <c r="K260" s="55"/>
      <c r="L260" s="55"/>
      <c r="M260" s="55"/>
      <c r="N260" s="55"/>
      <c r="O260" s="55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</row>
    <row r="261" spans="3:42" x14ac:dyDescent="0.3">
      <c r="C261" s="1"/>
      <c r="D261" s="1"/>
      <c r="E261" s="55"/>
      <c r="F261" s="55"/>
      <c r="G261" s="55"/>
      <c r="H261" s="55"/>
      <c r="I261" s="55"/>
      <c r="J261" s="55"/>
      <c r="K261" s="55"/>
      <c r="L261" s="55"/>
      <c r="M261" s="55"/>
      <c r="N261" s="55"/>
      <c r="O261" s="55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</row>
    <row r="262" spans="3:42" x14ac:dyDescent="0.3">
      <c r="C262" s="1"/>
      <c r="D262" s="1"/>
      <c r="E262" s="55"/>
      <c r="F262" s="55"/>
      <c r="G262" s="55"/>
      <c r="H262" s="55"/>
      <c r="I262" s="55"/>
      <c r="J262" s="55"/>
      <c r="K262" s="55"/>
      <c r="L262" s="55"/>
      <c r="M262" s="55"/>
      <c r="N262" s="55"/>
      <c r="O262" s="55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</row>
    <row r="263" spans="3:42" x14ac:dyDescent="0.3">
      <c r="C263" s="1"/>
      <c r="D263" s="1"/>
      <c r="E263" s="55"/>
      <c r="F263" s="55"/>
      <c r="G263" s="55"/>
      <c r="H263" s="55"/>
      <c r="I263" s="55"/>
      <c r="J263" s="55"/>
      <c r="K263" s="55"/>
      <c r="L263" s="55"/>
      <c r="M263" s="55"/>
      <c r="N263" s="55"/>
      <c r="O263" s="55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</row>
    <row r="264" spans="3:42" x14ac:dyDescent="0.3">
      <c r="C264" s="1"/>
      <c r="D264" s="1"/>
      <c r="E264" s="55"/>
      <c r="F264" s="55"/>
      <c r="G264" s="55"/>
      <c r="H264" s="55"/>
      <c r="I264" s="55"/>
      <c r="J264" s="55"/>
      <c r="K264" s="55"/>
      <c r="L264" s="55"/>
      <c r="M264" s="55"/>
      <c r="N264" s="55"/>
      <c r="O264" s="55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</row>
    <row r="265" spans="3:42" x14ac:dyDescent="0.3">
      <c r="C265" s="1"/>
      <c r="D265" s="1"/>
      <c r="E265" s="55"/>
      <c r="F265" s="55"/>
      <c r="G265" s="55"/>
      <c r="H265" s="55"/>
      <c r="I265" s="55"/>
      <c r="J265" s="55"/>
      <c r="K265" s="55"/>
      <c r="L265" s="55"/>
      <c r="M265" s="55"/>
      <c r="N265" s="55"/>
      <c r="O265" s="55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</row>
    <row r="266" spans="3:42" x14ac:dyDescent="0.3">
      <c r="C266" s="1"/>
      <c r="D266" s="1"/>
      <c r="E266" s="55"/>
      <c r="F266" s="55"/>
      <c r="G266" s="55"/>
      <c r="H266" s="55"/>
      <c r="I266" s="55"/>
      <c r="J266" s="55"/>
      <c r="K266" s="55"/>
      <c r="L266" s="55"/>
      <c r="M266" s="55"/>
      <c r="N266" s="55"/>
      <c r="O266" s="55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</row>
    <row r="267" spans="3:42" x14ac:dyDescent="0.3">
      <c r="C267" s="1"/>
      <c r="D267" s="1"/>
      <c r="E267" s="55"/>
      <c r="F267" s="55"/>
      <c r="G267" s="55"/>
      <c r="H267" s="55"/>
      <c r="I267" s="55"/>
      <c r="J267" s="55"/>
      <c r="K267" s="55"/>
      <c r="L267" s="55"/>
      <c r="M267" s="55"/>
      <c r="N267" s="55"/>
      <c r="O267" s="55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</row>
    <row r="268" spans="3:42" x14ac:dyDescent="0.3">
      <c r="C268" s="1"/>
      <c r="D268" s="1"/>
      <c r="E268" s="55"/>
      <c r="F268" s="55"/>
      <c r="G268" s="55"/>
      <c r="H268" s="55"/>
      <c r="I268" s="55"/>
      <c r="J268" s="55"/>
      <c r="K268" s="55"/>
      <c r="L268" s="55"/>
      <c r="M268" s="55"/>
      <c r="N268" s="55"/>
      <c r="O268" s="55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</row>
    <row r="269" spans="3:42" x14ac:dyDescent="0.3">
      <c r="C269" s="1"/>
      <c r="D269" s="1"/>
      <c r="E269" s="55"/>
      <c r="F269" s="55"/>
      <c r="G269" s="55"/>
      <c r="H269" s="55"/>
      <c r="I269" s="55"/>
      <c r="J269" s="55"/>
      <c r="K269" s="55"/>
      <c r="L269" s="55"/>
      <c r="M269" s="55"/>
      <c r="N269" s="55"/>
      <c r="O269" s="55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</row>
    <row r="270" spans="3:42" x14ac:dyDescent="0.3">
      <c r="C270" s="1"/>
      <c r="D270" s="1"/>
      <c r="E270" s="55"/>
      <c r="F270" s="55"/>
      <c r="G270" s="55"/>
      <c r="H270" s="55"/>
      <c r="I270" s="55"/>
      <c r="J270" s="55"/>
      <c r="K270" s="55"/>
      <c r="L270" s="55"/>
      <c r="M270" s="55"/>
      <c r="N270" s="55"/>
      <c r="O270" s="55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</row>
    <row r="271" spans="3:42" x14ac:dyDescent="0.3">
      <c r="C271" s="1"/>
      <c r="D271" s="1"/>
      <c r="E271" s="55"/>
      <c r="F271" s="55"/>
      <c r="G271" s="55"/>
      <c r="H271" s="55"/>
      <c r="I271" s="55"/>
      <c r="J271" s="55"/>
      <c r="K271" s="55"/>
      <c r="L271" s="55"/>
      <c r="M271" s="55"/>
      <c r="N271" s="55"/>
      <c r="O271" s="55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</row>
    <row r="272" spans="3:42" x14ac:dyDescent="0.3">
      <c r="C272" s="1"/>
      <c r="D272" s="1"/>
      <c r="E272" s="55"/>
      <c r="F272" s="55"/>
      <c r="G272" s="55"/>
      <c r="H272" s="55"/>
      <c r="I272" s="55"/>
      <c r="J272" s="55"/>
      <c r="K272" s="55"/>
      <c r="L272" s="55"/>
      <c r="M272" s="55"/>
      <c r="N272" s="55"/>
      <c r="O272" s="55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</row>
    <row r="273" spans="3:42" x14ac:dyDescent="0.3">
      <c r="C273" s="1"/>
      <c r="D273" s="1"/>
      <c r="E273" s="55"/>
      <c r="F273" s="55"/>
      <c r="G273" s="55"/>
      <c r="H273" s="55"/>
      <c r="I273" s="55"/>
      <c r="J273" s="55"/>
      <c r="K273" s="55"/>
      <c r="L273" s="55"/>
      <c r="M273" s="55"/>
      <c r="N273" s="55"/>
      <c r="O273" s="55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</row>
    <row r="274" spans="3:42" x14ac:dyDescent="0.3">
      <c r="C274" s="1"/>
      <c r="D274" s="1"/>
      <c r="E274" s="55"/>
      <c r="F274" s="55"/>
      <c r="G274" s="55"/>
      <c r="H274" s="55"/>
      <c r="I274" s="55"/>
      <c r="J274" s="55"/>
      <c r="K274" s="55"/>
      <c r="L274" s="55"/>
      <c r="M274" s="55"/>
      <c r="N274" s="55"/>
      <c r="O274" s="55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</row>
    <row r="275" spans="3:42" x14ac:dyDescent="0.3">
      <c r="C275" s="1"/>
      <c r="D275" s="1"/>
      <c r="E275" s="55"/>
      <c r="F275" s="55"/>
      <c r="G275" s="55"/>
      <c r="H275" s="55"/>
      <c r="I275" s="55"/>
      <c r="J275" s="55"/>
      <c r="K275" s="55"/>
      <c r="L275" s="55"/>
      <c r="M275" s="55"/>
      <c r="N275" s="55"/>
      <c r="O275" s="55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</row>
    <row r="276" spans="3:42" x14ac:dyDescent="0.3">
      <c r="C276" s="1"/>
      <c r="D276" s="1"/>
      <c r="E276" s="55"/>
      <c r="F276" s="55"/>
      <c r="G276" s="55"/>
      <c r="H276" s="55"/>
      <c r="I276" s="55"/>
      <c r="J276" s="55"/>
      <c r="K276" s="55"/>
      <c r="L276" s="55"/>
      <c r="M276" s="55"/>
      <c r="N276" s="55"/>
      <c r="O276" s="55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</row>
    <row r="277" spans="3:42" x14ac:dyDescent="0.3">
      <c r="C277" s="1"/>
      <c r="D277" s="1"/>
      <c r="E277" s="55"/>
      <c r="F277" s="55"/>
      <c r="G277" s="55"/>
      <c r="H277" s="55"/>
      <c r="I277" s="55"/>
      <c r="J277" s="55"/>
      <c r="K277" s="55"/>
      <c r="L277" s="55"/>
      <c r="M277" s="55"/>
      <c r="N277" s="55"/>
      <c r="O277" s="55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</row>
    <row r="278" spans="3:42" x14ac:dyDescent="0.3">
      <c r="C278" s="1"/>
      <c r="D278" s="1"/>
      <c r="E278" s="55"/>
      <c r="F278" s="55"/>
      <c r="G278" s="55"/>
      <c r="H278" s="55"/>
      <c r="I278" s="55"/>
      <c r="J278" s="55"/>
      <c r="K278" s="55"/>
      <c r="L278" s="55"/>
      <c r="M278" s="55"/>
      <c r="N278" s="55"/>
      <c r="O278" s="55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</row>
    <row r="279" spans="3:42" x14ac:dyDescent="0.3">
      <c r="C279" s="1"/>
      <c r="D279" s="1"/>
      <c r="E279" s="55"/>
      <c r="F279" s="55"/>
      <c r="G279" s="55"/>
      <c r="H279" s="55"/>
      <c r="I279" s="55"/>
      <c r="J279" s="55"/>
      <c r="K279" s="55"/>
      <c r="L279" s="55"/>
      <c r="M279" s="55"/>
      <c r="N279" s="55"/>
      <c r="O279" s="55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</row>
    <row r="280" spans="3:42" x14ac:dyDescent="0.3">
      <c r="C280" s="1"/>
      <c r="D280" s="1"/>
      <c r="E280" s="55"/>
      <c r="F280" s="55"/>
      <c r="G280" s="55"/>
      <c r="H280" s="55"/>
      <c r="I280" s="55"/>
      <c r="J280" s="55"/>
      <c r="K280" s="55"/>
      <c r="L280" s="55"/>
      <c r="M280" s="55"/>
      <c r="N280" s="55"/>
      <c r="O280" s="55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</row>
    <row r="281" spans="3:42" x14ac:dyDescent="0.3">
      <c r="C281" s="1"/>
      <c r="D281" s="1"/>
      <c r="E281" s="55"/>
      <c r="F281" s="55"/>
      <c r="G281" s="55"/>
      <c r="H281" s="55"/>
      <c r="I281" s="55"/>
      <c r="J281" s="55"/>
      <c r="K281" s="55"/>
      <c r="L281" s="55"/>
      <c r="M281" s="55"/>
      <c r="N281" s="55"/>
      <c r="O281" s="55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</row>
    <row r="282" spans="3:42" x14ac:dyDescent="0.3">
      <c r="C282" s="1"/>
      <c r="D282" s="1"/>
      <c r="E282" s="55"/>
      <c r="F282" s="55"/>
      <c r="G282" s="55"/>
      <c r="H282" s="55"/>
      <c r="I282" s="55"/>
      <c r="J282" s="55"/>
      <c r="K282" s="55"/>
      <c r="L282" s="55"/>
      <c r="M282" s="55"/>
      <c r="N282" s="55"/>
      <c r="O282" s="55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</row>
    <row r="283" spans="3:42" x14ac:dyDescent="0.3">
      <c r="C283" s="1"/>
      <c r="D283" s="1"/>
      <c r="E283" s="55"/>
      <c r="F283" s="55"/>
      <c r="G283" s="55"/>
      <c r="H283" s="55"/>
      <c r="I283" s="55"/>
      <c r="J283" s="55"/>
      <c r="K283" s="55"/>
      <c r="L283" s="55"/>
      <c r="M283" s="55"/>
      <c r="N283" s="55"/>
      <c r="O283" s="55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</row>
    <row r="284" spans="3:42" x14ac:dyDescent="0.3">
      <c r="C284" s="1"/>
      <c r="D284" s="1"/>
      <c r="E284" s="55"/>
      <c r="F284" s="55"/>
      <c r="G284" s="55"/>
      <c r="H284" s="55"/>
      <c r="I284" s="55"/>
      <c r="J284" s="55"/>
      <c r="K284" s="55"/>
      <c r="L284" s="55"/>
      <c r="M284" s="55"/>
      <c r="N284" s="55"/>
      <c r="O284" s="55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</row>
    <row r="285" spans="3:42" x14ac:dyDescent="0.3">
      <c r="C285" s="1"/>
      <c r="D285" s="1"/>
      <c r="E285" s="55"/>
      <c r="F285" s="55"/>
      <c r="G285" s="55"/>
      <c r="H285" s="55"/>
      <c r="I285" s="55"/>
      <c r="J285" s="55"/>
      <c r="K285" s="55"/>
      <c r="L285" s="55"/>
      <c r="M285" s="55"/>
      <c r="N285" s="55"/>
      <c r="O285" s="55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</row>
    <row r="286" spans="3:42" x14ac:dyDescent="0.3">
      <c r="C286" s="1"/>
      <c r="D286" s="1"/>
      <c r="E286" s="55"/>
      <c r="F286" s="55"/>
      <c r="G286" s="55"/>
      <c r="H286" s="55"/>
      <c r="I286" s="55"/>
      <c r="J286" s="55"/>
      <c r="K286" s="55"/>
      <c r="L286" s="55"/>
      <c r="M286" s="55"/>
      <c r="N286" s="55"/>
      <c r="O286" s="55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</row>
    <row r="287" spans="3:42" x14ac:dyDescent="0.3">
      <c r="C287" s="1"/>
      <c r="D287" s="1"/>
      <c r="E287" s="55"/>
      <c r="F287" s="55"/>
      <c r="G287" s="55"/>
      <c r="H287" s="55"/>
      <c r="I287" s="55"/>
      <c r="J287" s="55"/>
      <c r="K287" s="55"/>
      <c r="L287" s="55"/>
      <c r="M287" s="55"/>
      <c r="N287" s="55"/>
      <c r="O287" s="55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</row>
    <row r="288" spans="3:42" x14ac:dyDescent="0.3">
      <c r="C288" s="1"/>
      <c r="D288" s="1"/>
      <c r="E288" s="55"/>
      <c r="F288" s="55"/>
      <c r="G288" s="55"/>
      <c r="H288" s="55"/>
      <c r="I288" s="55"/>
      <c r="J288" s="55"/>
      <c r="K288" s="55"/>
      <c r="L288" s="55"/>
      <c r="M288" s="55"/>
      <c r="N288" s="55"/>
      <c r="O288" s="55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</row>
    <row r="289" spans="3:42" x14ac:dyDescent="0.3">
      <c r="C289" s="1"/>
      <c r="D289" s="1"/>
      <c r="E289" s="55"/>
      <c r="F289" s="55"/>
      <c r="G289" s="55"/>
      <c r="H289" s="55"/>
      <c r="I289" s="55"/>
      <c r="J289" s="55"/>
      <c r="K289" s="55"/>
      <c r="L289" s="55"/>
      <c r="M289" s="55"/>
      <c r="N289" s="55"/>
      <c r="O289" s="55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</row>
    <row r="290" spans="3:42" x14ac:dyDescent="0.3">
      <c r="C290" s="1"/>
      <c r="D290" s="1"/>
      <c r="E290" s="55"/>
      <c r="F290" s="55"/>
      <c r="G290" s="55"/>
      <c r="H290" s="55"/>
      <c r="I290" s="55"/>
      <c r="J290" s="55"/>
      <c r="K290" s="55"/>
      <c r="L290" s="55"/>
      <c r="M290" s="55"/>
      <c r="N290" s="55"/>
      <c r="O290" s="55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</row>
    <row r="291" spans="3:42" x14ac:dyDescent="0.3">
      <c r="C291" s="1"/>
      <c r="D291" s="1"/>
      <c r="E291" s="55"/>
      <c r="F291" s="55"/>
      <c r="G291" s="55"/>
      <c r="H291" s="55"/>
      <c r="I291" s="55"/>
      <c r="J291" s="55"/>
      <c r="K291" s="55"/>
      <c r="L291" s="55"/>
      <c r="M291" s="55"/>
      <c r="N291" s="55"/>
      <c r="O291" s="55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</row>
    <row r="292" spans="3:42" x14ac:dyDescent="0.3">
      <c r="C292" s="1"/>
      <c r="D292" s="1"/>
      <c r="E292" s="55"/>
      <c r="F292" s="55"/>
      <c r="G292" s="55"/>
      <c r="H292" s="55"/>
      <c r="I292" s="55"/>
      <c r="J292" s="55"/>
      <c r="K292" s="55"/>
      <c r="L292" s="55"/>
      <c r="M292" s="55"/>
      <c r="N292" s="55"/>
      <c r="O292" s="55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</row>
    <row r="293" spans="3:42" x14ac:dyDescent="0.3">
      <c r="C293" s="1"/>
      <c r="D293" s="1"/>
      <c r="E293" s="55"/>
      <c r="F293" s="55"/>
      <c r="G293" s="55"/>
      <c r="H293" s="55"/>
      <c r="I293" s="55"/>
      <c r="J293" s="55"/>
      <c r="K293" s="55"/>
      <c r="L293" s="55"/>
      <c r="M293" s="55"/>
      <c r="N293" s="55"/>
      <c r="O293" s="55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</row>
    <row r="294" spans="3:42" x14ac:dyDescent="0.3">
      <c r="C294" s="1"/>
      <c r="D294" s="1"/>
      <c r="E294" s="55"/>
      <c r="F294" s="55"/>
      <c r="G294" s="55"/>
      <c r="H294" s="55"/>
      <c r="I294" s="55"/>
      <c r="J294" s="55"/>
      <c r="K294" s="55"/>
      <c r="L294" s="55"/>
      <c r="M294" s="55"/>
      <c r="N294" s="55"/>
      <c r="O294" s="55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</row>
    <row r="295" spans="3:42" x14ac:dyDescent="0.3">
      <c r="C295" s="1"/>
      <c r="D295" s="1"/>
      <c r="E295" s="55"/>
      <c r="F295" s="55"/>
      <c r="G295" s="55"/>
      <c r="H295" s="55"/>
      <c r="I295" s="55"/>
      <c r="J295" s="55"/>
      <c r="K295" s="55"/>
      <c r="L295" s="55"/>
      <c r="M295" s="55"/>
      <c r="N295" s="55"/>
      <c r="O295" s="55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</row>
    <row r="296" spans="3:42" x14ac:dyDescent="0.3">
      <c r="C296" s="1"/>
      <c r="D296" s="1"/>
      <c r="E296" s="55"/>
      <c r="F296" s="55"/>
      <c r="G296" s="55"/>
      <c r="H296" s="55"/>
      <c r="I296" s="55"/>
      <c r="J296" s="55"/>
      <c r="K296" s="55"/>
      <c r="L296" s="55"/>
      <c r="M296" s="55"/>
      <c r="N296" s="55"/>
      <c r="O296" s="55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</row>
    <row r="297" spans="3:42" x14ac:dyDescent="0.3">
      <c r="C297" s="1"/>
      <c r="D297" s="1"/>
      <c r="E297" s="55"/>
      <c r="F297" s="55"/>
      <c r="G297" s="55"/>
      <c r="H297" s="55"/>
      <c r="I297" s="55"/>
      <c r="J297" s="55"/>
      <c r="K297" s="55"/>
      <c r="L297" s="55"/>
      <c r="M297" s="55"/>
      <c r="N297" s="55"/>
      <c r="O297" s="55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</row>
    <row r="298" spans="3:42" x14ac:dyDescent="0.3">
      <c r="C298" s="1"/>
      <c r="D298" s="1"/>
      <c r="E298" s="55"/>
      <c r="F298" s="55"/>
      <c r="G298" s="55"/>
      <c r="H298" s="55"/>
      <c r="I298" s="55"/>
      <c r="J298" s="55"/>
      <c r="K298" s="55"/>
      <c r="L298" s="55"/>
      <c r="M298" s="55"/>
      <c r="N298" s="55"/>
      <c r="O298" s="55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</row>
    <row r="299" spans="3:42" x14ac:dyDescent="0.3">
      <c r="C299" s="1"/>
      <c r="D299" s="1"/>
      <c r="E299" s="55"/>
      <c r="F299" s="55"/>
      <c r="G299" s="55"/>
      <c r="H299" s="55"/>
      <c r="I299" s="55"/>
      <c r="J299" s="55"/>
      <c r="K299" s="55"/>
      <c r="L299" s="55"/>
      <c r="M299" s="55"/>
      <c r="N299" s="55"/>
      <c r="O299" s="55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</row>
    <row r="300" spans="3:42" x14ac:dyDescent="0.3">
      <c r="C300" s="1"/>
      <c r="D300" s="1"/>
      <c r="E300" s="55"/>
      <c r="F300" s="55"/>
      <c r="G300" s="55"/>
      <c r="H300" s="55"/>
      <c r="I300" s="55"/>
      <c r="J300" s="55"/>
      <c r="K300" s="55"/>
      <c r="L300" s="55"/>
      <c r="M300" s="55"/>
      <c r="N300" s="55"/>
      <c r="O300" s="55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</row>
    <row r="301" spans="3:42" x14ac:dyDescent="0.3">
      <c r="C301" s="1"/>
      <c r="D301" s="1"/>
      <c r="E301" s="55"/>
      <c r="F301" s="55"/>
      <c r="G301" s="55"/>
      <c r="H301" s="55"/>
      <c r="I301" s="55"/>
      <c r="J301" s="55"/>
      <c r="K301" s="55"/>
      <c r="L301" s="55"/>
      <c r="M301" s="55"/>
      <c r="N301" s="55"/>
      <c r="O301" s="55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</row>
    <row r="302" spans="3:42" x14ac:dyDescent="0.3">
      <c r="C302" s="1"/>
      <c r="D302" s="1"/>
      <c r="E302" s="55"/>
      <c r="F302" s="55"/>
      <c r="G302" s="55"/>
      <c r="H302" s="55"/>
      <c r="I302" s="55"/>
      <c r="J302" s="55"/>
      <c r="K302" s="55"/>
      <c r="L302" s="55"/>
      <c r="M302" s="55"/>
      <c r="N302" s="55"/>
      <c r="O302" s="55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</row>
    <row r="303" spans="3:42" x14ac:dyDescent="0.3">
      <c r="C303" s="1"/>
      <c r="D303" s="1"/>
      <c r="E303" s="55"/>
      <c r="F303" s="55"/>
      <c r="G303" s="55"/>
      <c r="H303" s="55"/>
      <c r="I303" s="55"/>
      <c r="J303" s="55"/>
      <c r="K303" s="55"/>
      <c r="L303" s="55"/>
      <c r="M303" s="55"/>
      <c r="N303" s="55"/>
      <c r="O303" s="55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</row>
    <row r="304" spans="3:42" x14ac:dyDescent="0.3">
      <c r="C304" s="1"/>
      <c r="D304" s="1"/>
      <c r="E304" s="55"/>
      <c r="F304" s="55"/>
      <c r="G304" s="55"/>
      <c r="H304" s="55"/>
      <c r="I304" s="55"/>
      <c r="J304" s="55"/>
      <c r="K304" s="55"/>
      <c r="L304" s="55"/>
      <c r="M304" s="55"/>
      <c r="N304" s="55"/>
      <c r="O304" s="55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</row>
    <row r="305" spans="3:42" x14ac:dyDescent="0.3">
      <c r="C305" s="1"/>
      <c r="D305" s="1"/>
      <c r="E305" s="55"/>
      <c r="F305" s="55"/>
      <c r="G305" s="55"/>
      <c r="H305" s="55"/>
      <c r="I305" s="55"/>
      <c r="J305" s="55"/>
      <c r="K305" s="55"/>
      <c r="L305" s="55"/>
      <c r="M305" s="55"/>
      <c r="N305" s="55"/>
      <c r="O305" s="55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</row>
    <row r="306" spans="3:42" x14ac:dyDescent="0.3">
      <c r="C306" s="1"/>
      <c r="D306" s="1"/>
      <c r="E306" s="55"/>
      <c r="F306" s="55"/>
      <c r="G306" s="55"/>
      <c r="H306" s="55"/>
      <c r="I306" s="55"/>
      <c r="J306" s="55"/>
      <c r="K306" s="55"/>
      <c r="L306" s="55"/>
      <c r="M306" s="55"/>
      <c r="N306" s="55"/>
      <c r="O306" s="55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</row>
    <row r="307" spans="3:42" x14ac:dyDescent="0.3">
      <c r="C307" s="1"/>
      <c r="D307" s="1"/>
      <c r="E307" s="55"/>
      <c r="F307" s="55"/>
      <c r="G307" s="55"/>
      <c r="H307" s="55"/>
      <c r="I307" s="55"/>
      <c r="J307" s="55"/>
      <c r="K307" s="55"/>
      <c r="L307" s="55"/>
      <c r="M307" s="55"/>
      <c r="N307" s="55"/>
      <c r="O307" s="55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</row>
    <row r="308" spans="3:42" x14ac:dyDescent="0.3">
      <c r="C308" s="1"/>
      <c r="D308" s="1"/>
      <c r="E308" s="55"/>
      <c r="F308" s="55"/>
      <c r="G308" s="55"/>
      <c r="H308" s="55"/>
      <c r="I308" s="55"/>
      <c r="J308" s="55"/>
      <c r="K308" s="55"/>
      <c r="L308" s="55"/>
      <c r="M308" s="55"/>
      <c r="N308" s="55"/>
      <c r="O308" s="55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</row>
    <row r="309" spans="3:42" x14ac:dyDescent="0.3">
      <c r="C309" s="1"/>
      <c r="D309" s="1"/>
      <c r="E309" s="55"/>
      <c r="F309" s="55"/>
      <c r="G309" s="55"/>
      <c r="H309" s="55"/>
      <c r="I309" s="55"/>
      <c r="J309" s="55"/>
      <c r="K309" s="55"/>
      <c r="L309" s="55"/>
      <c r="M309" s="55"/>
      <c r="N309" s="55"/>
      <c r="O309" s="55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</row>
    <row r="310" spans="3:42" x14ac:dyDescent="0.3">
      <c r="C310" s="1"/>
      <c r="D310" s="1"/>
      <c r="E310" s="55"/>
      <c r="F310" s="55"/>
      <c r="G310" s="55"/>
      <c r="H310" s="55"/>
      <c r="I310" s="55"/>
      <c r="J310" s="55"/>
      <c r="K310" s="55"/>
      <c r="L310" s="55"/>
      <c r="M310" s="55"/>
      <c r="N310" s="55"/>
      <c r="O310" s="55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</row>
    <row r="311" spans="3:42" x14ac:dyDescent="0.3">
      <c r="C311" s="1"/>
      <c r="D311" s="1"/>
      <c r="E311" s="55"/>
      <c r="F311" s="55"/>
      <c r="G311" s="55"/>
      <c r="H311" s="55"/>
      <c r="I311" s="55"/>
      <c r="J311" s="55"/>
      <c r="K311" s="55"/>
      <c r="L311" s="55"/>
      <c r="M311" s="55"/>
      <c r="N311" s="55"/>
      <c r="O311" s="55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</row>
    <row r="312" spans="3:42" x14ac:dyDescent="0.3">
      <c r="C312" s="1"/>
      <c r="D312" s="1"/>
      <c r="E312" s="55"/>
      <c r="F312" s="55"/>
      <c r="G312" s="55"/>
      <c r="H312" s="55"/>
      <c r="I312" s="55"/>
      <c r="J312" s="55"/>
      <c r="K312" s="55"/>
      <c r="L312" s="55"/>
      <c r="M312" s="55"/>
      <c r="N312" s="55"/>
      <c r="O312" s="55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</row>
    <row r="313" spans="3:42" x14ac:dyDescent="0.3">
      <c r="C313" s="1"/>
      <c r="D313" s="1"/>
      <c r="E313" s="55"/>
      <c r="F313" s="55"/>
      <c r="G313" s="55"/>
      <c r="H313" s="55"/>
      <c r="I313" s="55"/>
      <c r="J313" s="55"/>
      <c r="K313" s="55"/>
      <c r="L313" s="55"/>
      <c r="M313" s="55"/>
      <c r="N313" s="55"/>
      <c r="O313" s="55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</row>
    <row r="314" spans="3:42" x14ac:dyDescent="0.3">
      <c r="C314" s="1"/>
      <c r="D314" s="1"/>
      <c r="E314" s="55"/>
      <c r="F314" s="55"/>
      <c r="G314" s="55"/>
      <c r="H314" s="55"/>
      <c r="I314" s="55"/>
      <c r="J314" s="55"/>
      <c r="K314" s="55"/>
      <c r="L314" s="55"/>
      <c r="M314" s="55"/>
      <c r="N314" s="55"/>
      <c r="O314" s="55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</row>
    <row r="315" spans="3:42" x14ac:dyDescent="0.3">
      <c r="C315" s="1"/>
      <c r="D315" s="1"/>
      <c r="E315" s="55"/>
      <c r="F315" s="55"/>
      <c r="G315" s="55"/>
      <c r="H315" s="55"/>
      <c r="I315" s="55"/>
      <c r="J315" s="55"/>
      <c r="K315" s="55"/>
      <c r="L315" s="55"/>
      <c r="M315" s="55"/>
      <c r="N315" s="55"/>
      <c r="O315" s="55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</row>
    <row r="316" spans="3:42" x14ac:dyDescent="0.3">
      <c r="C316" s="1"/>
      <c r="D316" s="1"/>
      <c r="E316" s="55"/>
      <c r="F316" s="55"/>
      <c r="G316" s="55"/>
      <c r="H316" s="55"/>
      <c r="I316" s="55"/>
      <c r="J316" s="55"/>
      <c r="K316" s="55"/>
      <c r="L316" s="55"/>
      <c r="M316" s="55"/>
      <c r="N316" s="55"/>
      <c r="O316" s="55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</row>
    <row r="317" spans="3:42" x14ac:dyDescent="0.3">
      <c r="C317" s="1"/>
      <c r="D317" s="1"/>
      <c r="E317" s="55"/>
      <c r="F317" s="55"/>
      <c r="G317" s="55"/>
      <c r="H317" s="55"/>
      <c r="I317" s="55"/>
      <c r="J317" s="55"/>
      <c r="K317" s="55"/>
      <c r="L317" s="55"/>
      <c r="M317" s="55"/>
      <c r="N317" s="55"/>
      <c r="O317" s="55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</row>
    <row r="318" spans="3:42" x14ac:dyDescent="0.3">
      <c r="C318" s="1"/>
      <c r="D318" s="1"/>
      <c r="E318" s="55"/>
      <c r="F318" s="55"/>
      <c r="G318" s="55"/>
      <c r="H318" s="55"/>
      <c r="I318" s="55"/>
      <c r="J318" s="55"/>
      <c r="K318" s="55"/>
      <c r="L318" s="55"/>
      <c r="M318" s="55"/>
      <c r="N318" s="55"/>
      <c r="O318" s="55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</row>
    <row r="319" spans="3:42" x14ac:dyDescent="0.3">
      <c r="C319" s="1"/>
      <c r="D319" s="1"/>
      <c r="E319" s="55"/>
      <c r="F319" s="55"/>
      <c r="G319" s="55"/>
      <c r="H319" s="55"/>
      <c r="I319" s="55"/>
      <c r="J319" s="55"/>
      <c r="K319" s="55"/>
      <c r="L319" s="55"/>
      <c r="M319" s="55"/>
      <c r="N319" s="55"/>
      <c r="O319" s="55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</row>
    <row r="320" spans="3:42" x14ac:dyDescent="0.3">
      <c r="C320" s="1"/>
      <c r="D320" s="1"/>
      <c r="E320" s="55"/>
      <c r="F320" s="55"/>
      <c r="G320" s="55"/>
      <c r="H320" s="55"/>
      <c r="I320" s="55"/>
      <c r="J320" s="55"/>
      <c r="K320" s="55"/>
      <c r="L320" s="55"/>
      <c r="M320" s="55"/>
      <c r="N320" s="55"/>
      <c r="O320" s="55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</row>
    <row r="321" spans="3:42" x14ac:dyDescent="0.3">
      <c r="C321" s="1"/>
      <c r="D321" s="1"/>
      <c r="E321" s="55"/>
      <c r="F321" s="55"/>
      <c r="G321" s="55"/>
      <c r="H321" s="55"/>
      <c r="I321" s="55"/>
      <c r="J321" s="55"/>
      <c r="K321" s="55"/>
      <c r="L321" s="55"/>
      <c r="M321" s="55"/>
      <c r="N321" s="55"/>
      <c r="O321" s="55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</row>
    <row r="322" spans="3:42" x14ac:dyDescent="0.3">
      <c r="C322" s="1"/>
      <c r="D322" s="1"/>
      <c r="E322" s="55"/>
      <c r="F322" s="55"/>
      <c r="G322" s="55"/>
      <c r="H322" s="55"/>
      <c r="I322" s="55"/>
      <c r="J322" s="55"/>
      <c r="K322" s="55"/>
      <c r="L322" s="55"/>
      <c r="M322" s="55"/>
      <c r="N322" s="55"/>
      <c r="O322" s="55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</row>
    <row r="323" spans="3:42" x14ac:dyDescent="0.3">
      <c r="C323" s="1"/>
      <c r="D323" s="1"/>
      <c r="E323" s="55"/>
      <c r="F323" s="55"/>
      <c r="G323" s="55"/>
      <c r="H323" s="55"/>
      <c r="I323" s="55"/>
      <c r="J323" s="55"/>
      <c r="K323" s="55"/>
      <c r="L323" s="55"/>
      <c r="M323" s="55"/>
      <c r="N323" s="55"/>
      <c r="O323" s="55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</row>
    <row r="324" spans="3:42" x14ac:dyDescent="0.3">
      <c r="C324" s="1"/>
      <c r="D324" s="1"/>
      <c r="E324" s="55"/>
      <c r="F324" s="55"/>
      <c r="G324" s="55"/>
      <c r="H324" s="55"/>
      <c r="I324" s="55"/>
      <c r="J324" s="55"/>
      <c r="K324" s="55"/>
      <c r="L324" s="55"/>
      <c r="M324" s="55"/>
      <c r="N324" s="55"/>
      <c r="O324" s="55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</row>
    <row r="325" spans="3:42" x14ac:dyDescent="0.3">
      <c r="C325" s="1"/>
      <c r="D325" s="1"/>
      <c r="E325" s="55"/>
      <c r="F325" s="55"/>
      <c r="G325" s="55"/>
      <c r="H325" s="55"/>
      <c r="I325" s="55"/>
      <c r="J325" s="55"/>
      <c r="K325" s="55"/>
      <c r="L325" s="55"/>
      <c r="M325" s="55"/>
      <c r="N325" s="55"/>
      <c r="O325" s="55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</row>
    <row r="326" spans="3:42" x14ac:dyDescent="0.3">
      <c r="C326" s="1"/>
      <c r="D326" s="1"/>
      <c r="E326" s="55"/>
      <c r="F326" s="55"/>
      <c r="G326" s="55"/>
      <c r="H326" s="55"/>
      <c r="I326" s="55"/>
      <c r="J326" s="55"/>
      <c r="K326" s="55"/>
      <c r="L326" s="55"/>
      <c r="M326" s="55"/>
      <c r="N326" s="55"/>
      <c r="O326" s="55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</row>
    <row r="327" spans="3:42" x14ac:dyDescent="0.3">
      <c r="C327" s="1"/>
      <c r="D327" s="1"/>
      <c r="E327" s="55"/>
      <c r="F327" s="55"/>
      <c r="G327" s="55"/>
      <c r="H327" s="55"/>
      <c r="I327" s="55"/>
      <c r="J327" s="55"/>
      <c r="K327" s="55"/>
      <c r="L327" s="55"/>
      <c r="M327" s="55"/>
      <c r="N327" s="55"/>
      <c r="O327" s="55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</row>
    <row r="328" spans="3:42" x14ac:dyDescent="0.3">
      <c r="C328" s="1"/>
      <c r="D328" s="1"/>
      <c r="E328" s="55"/>
      <c r="F328" s="55"/>
      <c r="G328" s="55"/>
      <c r="H328" s="55"/>
      <c r="I328" s="55"/>
      <c r="J328" s="55"/>
      <c r="K328" s="55"/>
      <c r="L328" s="55"/>
      <c r="M328" s="55"/>
      <c r="N328" s="55"/>
      <c r="O328" s="55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</row>
    <row r="329" spans="3:42" x14ac:dyDescent="0.3">
      <c r="C329" s="1"/>
      <c r="D329" s="1"/>
      <c r="E329" s="55"/>
      <c r="F329" s="55"/>
      <c r="G329" s="55"/>
      <c r="H329" s="55"/>
      <c r="I329" s="55"/>
      <c r="J329" s="55"/>
      <c r="K329" s="55"/>
      <c r="L329" s="55"/>
      <c r="M329" s="55"/>
      <c r="N329" s="55"/>
      <c r="O329" s="55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</row>
    <row r="330" spans="3:42" x14ac:dyDescent="0.3">
      <c r="C330" s="1"/>
      <c r="D330" s="1"/>
      <c r="E330" s="55"/>
      <c r="F330" s="55"/>
      <c r="G330" s="55"/>
      <c r="H330" s="55"/>
      <c r="I330" s="55"/>
      <c r="J330" s="55"/>
      <c r="K330" s="55"/>
      <c r="L330" s="55"/>
      <c r="M330" s="55"/>
      <c r="N330" s="55"/>
      <c r="O330" s="55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</row>
    <row r="331" spans="3:42" x14ac:dyDescent="0.3">
      <c r="C331" s="1"/>
      <c r="D331" s="1"/>
      <c r="E331" s="55"/>
      <c r="F331" s="55"/>
      <c r="G331" s="55"/>
      <c r="H331" s="55"/>
      <c r="I331" s="55"/>
      <c r="J331" s="55"/>
      <c r="K331" s="55"/>
      <c r="L331" s="55"/>
      <c r="M331" s="55"/>
      <c r="N331" s="55"/>
      <c r="O331" s="55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</row>
    <row r="332" spans="3:42" x14ac:dyDescent="0.3">
      <c r="C332" s="1"/>
      <c r="D332" s="1"/>
      <c r="E332" s="55"/>
      <c r="F332" s="55"/>
      <c r="G332" s="55"/>
      <c r="H332" s="55"/>
      <c r="I332" s="55"/>
      <c r="J332" s="55"/>
      <c r="K332" s="55"/>
      <c r="L332" s="55"/>
      <c r="M332" s="55"/>
      <c r="N332" s="55"/>
      <c r="O332" s="55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</row>
    <row r="333" spans="3:42" x14ac:dyDescent="0.3">
      <c r="C333" s="1"/>
      <c r="D333" s="1"/>
      <c r="E333" s="55"/>
      <c r="F333" s="55"/>
      <c r="G333" s="55"/>
      <c r="H333" s="55"/>
      <c r="I333" s="55"/>
      <c r="J333" s="55"/>
      <c r="K333" s="55"/>
      <c r="L333" s="55"/>
      <c r="M333" s="55"/>
      <c r="N333" s="55"/>
      <c r="O333" s="55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</row>
    <row r="334" spans="3:42" x14ac:dyDescent="0.3">
      <c r="C334" s="1"/>
      <c r="D334" s="1"/>
      <c r="E334" s="55"/>
      <c r="F334" s="55"/>
      <c r="G334" s="55"/>
      <c r="H334" s="55"/>
      <c r="I334" s="55"/>
      <c r="J334" s="55"/>
      <c r="K334" s="55"/>
      <c r="L334" s="55"/>
      <c r="M334" s="55"/>
      <c r="N334" s="55"/>
      <c r="O334" s="55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</row>
    <row r="335" spans="3:42" x14ac:dyDescent="0.3">
      <c r="C335" s="1"/>
      <c r="D335" s="1"/>
      <c r="E335" s="55"/>
      <c r="F335" s="55"/>
      <c r="G335" s="55"/>
      <c r="H335" s="55"/>
      <c r="I335" s="55"/>
      <c r="J335" s="55"/>
      <c r="K335" s="55"/>
      <c r="L335" s="55"/>
      <c r="M335" s="55"/>
      <c r="N335" s="55"/>
      <c r="O335" s="55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</row>
    <row r="336" spans="3:42" x14ac:dyDescent="0.3">
      <c r="C336" s="1"/>
      <c r="D336" s="1"/>
      <c r="E336" s="55"/>
      <c r="F336" s="55"/>
      <c r="G336" s="55"/>
      <c r="H336" s="55"/>
      <c r="I336" s="55"/>
      <c r="J336" s="55"/>
      <c r="K336" s="55"/>
      <c r="L336" s="55"/>
      <c r="M336" s="55"/>
      <c r="N336" s="55"/>
      <c r="O336" s="55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</row>
    <row r="337" spans="3:42" x14ac:dyDescent="0.3">
      <c r="C337" s="1"/>
      <c r="D337" s="1"/>
      <c r="E337" s="55"/>
      <c r="F337" s="55"/>
      <c r="G337" s="55"/>
      <c r="H337" s="55"/>
      <c r="I337" s="55"/>
      <c r="J337" s="55"/>
      <c r="K337" s="55"/>
      <c r="L337" s="55"/>
      <c r="M337" s="55"/>
      <c r="N337" s="55"/>
      <c r="O337" s="55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</row>
    <row r="338" spans="3:42" x14ac:dyDescent="0.3">
      <c r="C338" s="1"/>
      <c r="D338" s="1"/>
      <c r="E338" s="55"/>
      <c r="F338" s="55"/>
      <c r="G338" s="55"/>
      <c r="H338" s="55"/>
      <c r="I338" s="55"/>
      <c r="J338" s="55"/>
      <c r="K338" s="55"/>
      <c r="L338" s="55"/>
      <c r="M338" s="55"/>
      <c r="N338" s="55"/>
      <c r="O338" s="55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</row>
    <row r="339" spans="3:42" x14ac:dyDescent="0.3">
      <c r="C339" s="1"/>
      <c r="D339" s="1"/>
      <c r="E339" s="55"/>
      <c r="F339" s="55"/>
      <c r="G339" s="55"/>
      <c r="H339" s="55"/>
      <c r="I339" s="55"/>
      <c r="J339" s="55"/>
      <c r="K339" s="55"/>
      <c r="L339" s="55"/>
      <c r="M339" s="55"/>
      <c r="N339" s="55"/>
      <c r="O339" s="55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</row>
    <row r="340" spans="3:42" x14ac:dyDescent="0.3">
      <c r="C340" s="1"/>
      <c r="D340" s="1"/>
      <c r="E340" s="55"/>
      <c r="F340" s="55"/>
      <c r="G340" s="55"/>
      <c r="H340" s="55"/>
      <c r="I340" s="55"/>
      <c r="J340" s="55"/>
      <c r="K340" s="55"/>
      <c r="L340" s="55"/>
      <c r="M340" s="55"/>
      <c r="N340" s="55"/>
      <c r="O340" s="55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</row>
    <row r="341" spans="3:42" x14ac:dyDescent="0.3">
      <c r="C341" s="1"/>
      <c r="D341" s="1"/>
      <c r="E341" s="55"/>
      <c r="F341" s="55"/>
      <c r="G341" s="55"/>
      <c r="H341" s="55"/>
      <c r="I341" s="55"/>
      <c r="J341" s="55"/>
      <c r="K341" s="55"/>
      <c r="L341" s="55"/>
      <c r="M341" s="55"/>
      <c r="N341" s="55"/>
      <c r="O341" s="55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</row>
    <row r="342" spans="3:42" x14ac:dyDescent="0.3">
      <c r="C342" s="1"/>
      <c r="D342" s="1"/>
      <c r="E342" s="55"/>
      <c r="F342" s="55"/>
      <c r="G342" s="55"/>
      <c r="H342" s="55"/>
      <c r="I342" s="55"/>
      <c r="J342" s="55"/>
      <c r="K342" s="55"/>
      <c r="L342" s="55"/>
      <c r="M342" s="55"/>
      <c r="N342" s="55"/>
      <c r="O342" s="55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</row>
    <row r="343" spans="3:42" x14ac:dyDescent="0.3">
      <c r="C343" s="1"/>
      <c r="D343" s="1"/>
      <c r="E343" s="55"/>
      <c r="F343" s="55"/>
      <c r="G343" s="55"/>
      <c r="H343" s="55"/>
      <c r="I343" s="55"/>
      <c r="J343" s="55"/>
      <c r="K343" s="55"/>
      <c r="L343" s="55"/>
      <c r="M343" s="55"/>
      <c r="N343" s="55"/>
      <c r="O343" s="55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</row>
    <row r="344" spans="3:42" x14ac:dyDescent="0.3">
      <c r="C344" s="1"/>
      <c r="D344" s="1"/>
      <c r="E344" s="55"/>
      <c r="F344" s="55"/>
      <c r="G344" s="55"/>
      <c r="H344" s="55"/>
      <c r="I344" s="55"/>
      <c r="J344" s="55"/>
      <c r="K344" s="55"/>
      <c r="L344" s="55"/>
      <c r="M344" s="55"/>
      <c r="N344" s="55"/>
      <c r="O344" s="55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</row>
    <row r="345" spans="3:42" x14ac:dyDescent="0.3">
      <c r="C345" s="1"/>
      <c r="D345" s="1"/>
      <c r="E345" s="55"/>
      <c r="F345" s="55"/>
      <c r="G345" s="55"/>
      <c r="H345" s="55"/>
      <c r="I345" s="55"/>
      <c r="J345" s="55"/>
      <c r="K345" s="55"/>
      <c r="L345" s="55"/>
      <c r="M345" s="55"/>
      <c r="N345" s="55"/>
      <c r="O345" s="55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</row>
    <row r="346" spans="3:42" x14ac:dyDescent="0.3">
      <c r="C346" s="1"/>
      <c r="D346" s="1"/>
      <c r="E346" s="55"/>
      <c r="F346" s="55"/>
      <c r="G346" s="55"/>
      <c r="H346" s="55"/>
      <c r="I346" s="55"/>
      <c r="J346" s="55"/>
      <c r="K346" s="55"/>
      <c r="L346" s="55"/>
      <c r="M346" s="55"/>
      <c r="N346" s="55"/>
      <c r="O346" s="55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</row>
    <row r="347" spans="3:42" x14ac:dyDescent="0.3">
      <c r="C347" s="1"/>
      <c r="D347" s="1"/>
      <c r="E347" s="55"/>
      <c r="F347" s="55"/>
      <c r="G347" s="55"/>
      <c r="H347" s="55"/>
      <c r="I347" s="55"/>
      <c r="J347" s="55"/>
      <c r="K347" s="55"/>
      <c r="L347" s="55"/>
      <c r="M347" s="55"/>
      <c r="N347" s="55"/>
      <c r="O347" s="55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</row>
    <row r="348" spans="3:42" x14ac:dyDescent="0.3">
      <c r="C348" s="1"/>
      <c r="D348" s="1"/>
      <c r="E348" s="55"/>
      <c r="F348" s="55"/>
      <c r="G348" s="55"/>
      <c r="H348" s="55"/>
      <c r="I348" s="55"/>
      <c r="J348" s="55"/>
      <c r="K348" s="55"/>
      <c r="L348" s="55"/>
      <c r="M348" s="55"/>
      <c r="N348" s="55"/>
      <c r="O348" s="55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</row>
    <row r="349" spans="3:42" x14ac:dyDescent="0.3">
      <c r="C349" s="1"/>
      <c r="D349" s="1"/>
      <c r="E349" s="55"/>
      <c r="F349" s="55"/>
      <c r="G349" s="55"/>
      <c r="H349" s="55"/>
      <c r="I349" s="55"/>
      <c r="J349" s="55"/>
      <c r="K349" s="55"/>
      <c r="L349" s="55"/>
      <c r="M349" s="55"/>
      <c r="N349" s="55"/>
      <c r="O349" s="55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</row>
    <row r="350" spans="3:42" x14ac:dyDescent="0.3">
      <c r="C350" s="1"/>
      <c r="D350" s="1"/>
      <c r="E350" s="55"/>
      <c r="F350" s="55"/>
      <c r="G350" s="55"/>
      <c r="H350" s="55"/>
      <c r="I350" s="55"/>
      <c r="J350" s="55"/>
      <c r="K350" s="55"/>
      <c r="L350" s="55"/>
      <c r="M350" s="55"/>
      <c r="N350" s="55"/>
      <c r="O350" s="55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</row>
    <row r="351" spans="3:42" x14ac:dyDescent="0.3">
      <c r="C351" s="1"/>
      <c r="D351" s="1"/>
      <c r="E351" s="55"/>
      <c r="F351" s="55"/>
      <c r="G351" s="55"/>
      <c r="H351" s="55"/>
      <c r="I351" s="55"/>
      <c r="J351" s="55"/>
      <c r="K351" s="55"/>
      <c r="L351" s="55"/>
      <c r="M351" s="55"/>
      <c r="N351" s="55"/>
      <c r="O351" s="55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</row>
    <row r="352" spans="3:42" x14ac:dyDescent="0.3">
      <c r="C352" s="1"/>
      <c r="D352" s="1"/>
      <c r="E352" s="55"/>
      <c r="F352" s="55"/>
      <c r="G352" s="55"/>
      <c r="H352" s="55"/>
      <c r="I352" s="55"/>
      <c r="J352" s="55"/>
      <c r="K352" s="55"/>
      <c r="L352" s="55"/>
      <c r="M352" s="55"/>
      <c r="N352" s="55"/>
      <c r="O352" s="55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</row>
    <row r="353" spans="3:42" x14ac:dyDescent="0.3">
      <c r="C353" s="1"/>
      <c r="D353" s="1"/>
      <c r="E353" s="55"/>
      <c r="F353" s="55"/>
      <c r="G353" s="55"/>
      <c r="H353" s="55"/>
      <c r="I353" s="55"/>
      <c r="J353" s="55"/>
      <c r="K353" s="55"/>
      <c r="L353" s="55"/>
      <c r="M353" s="55"/>
      <c r="N353" s="55"/>
      <c r="O353" s="55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</row>
    <row r="354" spans="3:42" x14ac:dyDescent="0.3">
      <c r="C354" s="1"/>
      <c r="D354" s="1"/>
      <c r="E354" s="55"/>
      <c r="F354" s="55"/>
      <c r="G354" s="55"/>
      <c r="H354" s="55"/>
      <c r="I354" s="55"/>
      <c r="J354" s="55"/>
      <c r="K354" s="55"/>
      <c r="L354" s="55"/>
      <c r="M354" s="55"/>
      <c r="N354" s="55"/>
      <c r="O354" s="55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</row>
    <row r="355" spans="3:42" x14ac:dyDescent="0.3">
      <c r="C355" s="1"/>
      <c r="D355" s="1"/>
      <c r="E355" s="55"/>
      <c r="F355" s="55"/>
      <c r="G355" s="55"/>
      <c r="H355" s="55"/>
      <c r="I355" s="55"/>
      <c r="J355" s="55"/>
      <c r="K355" s="55"/>
      <c r="L355" s="55"/>
      <c r="M355" s="55"/>
      <c r="N355" s="55"/>
      <c r="O355" s="55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</row>
    <row r="356" spans="3:42" x14ac:dyDescent="0.3">
      <c r="C356" s="1"/>
      <c r="D356" s="1"/>
      <c r="E356" s="55"/>
      <c r="F356" s="55"/>
      <c r="G356" s="55"/>
      <c r="H356" s="55"/>
      <c r="I356" s="55"/>
      <c r="J356" s="55"/>
      <c r="K356" s="55"/>
      <c r="L356" s="55"/>
      <c r="M356" s="55"/>
      <c r="N356" s="55"/>
      <c r="O356" s="55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</row>
    <row r="357" spans="3:42" x14ac:dyDescent="0.3">
      <c r="C357" s="1"/>
      <c r="D357" s="1"/>
      <c r="E357" s="55"/>
      <c r="F357" s="55"/>
      <c r="G357" s="55"/>
      <c r="H357" s="55"/>
      <c r="I357" s="55"/>
      <c r="J357" s="55"/>
      <c r="K357" s="55"/>
      <c r="L357" s="55"/>
      <c r="M357" s="55"/>
      <c r="N357" s="55"/>
      <c r="O357" s="55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</row>
    <row r="358" spans="3:42" x14ac:dyDescent="0.3">
      <c r="C358" s="1"/>
      <c r="D358" s="1"/>
      <c r="E358" s="55"/>
      <c r="F358" s="55"/>
      <c r="G358" s="55"/>
      <c r="H358" s="55"/>
      <c r="I358" s="55"/>
      <c r="J358" s="55"/>
      <c r="K358" s="55"/>
      <c r="L358" s="55"/>
      <c r="M358" s="55"/>
      <c r="N358" s="55"/>
      <c r="O358" s="55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</row>
    <row r="359" spans="3:42" x14ac:dyDescent="0.3">
      <c r="C359" s="1"/>
      <c r="D359" s="1"/>
      <c r="E359" s="55"/>
      <c r="F359" s="55"/>
      <c r="G359" s="55"/>
      <c r="H359" s="55"/>
      <c r="I359" s="55"/>
      <c r="J359" s="55"/>
      <c r="K359" s="55"/>
      <c r="L359" s="55"/>
      <c r="M359" s="55"/>
      <c r="N359" s="55"/>
      <c r="O359" s="55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</row>
    <row r="360" spans="3:42" x14ac:dyDescent="0.3">
      <c r="C360" s="1"/>
      <c r="D360" s="1"/>
      <c r="E360" s="55"/>
      <c r="F360" s="55"/>
      <c r="G360" s="55"/>
      <c r="H360" s="55"/>
      <c r="I360" s="55"/>
      <c r="J360" s="55"/>
      <c r="K360" s="55"/>
      <c r="L360" s="55"/>
      <c r="M360" s="55"/>
      <c r="N360" s="55"/>
      <c r="O360" s="55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</row>
    <row r="361" spans="3:42" x14ac:dyDescent="0.3">
      <c r="C361" s="1"/>
      <c r="D361" s="1"/>
      <c r="E361" s="55"/>
      <c r="F361" s="55"/>
      <c r="G361" s="55"/>
      <c r="H361" s="55"/>
      <c r="I361" s="55"/>
      <c r="J361" s="55"/>
      <c r="K361" s="55"/>
      <c r="L361" s="55"/>
      <c r="M361" s="55"/>
      <c r="N361" s="55"/>
      <c r="O361" s="55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</row>
    <row r="362" spans="3:42" x14ac:dyDescent="0.3">
      <c r="C362" s="1"/>
      <c r="D362" s="1"/>
      <c r="E362" s="55"/>
      <c r="F362" s="55"/>
      <c r="G362" s="55"/>
      <c r="H362" s="55"/>
      <c r="I362" s="55"/>
      <c r="J362" s="55"/>
      <c r="K362" s="55"/>
      <c r="L362" s="55"/>
      <c r="M362" s="55"/>
      <c r="N362" s="55"/>
      <c r="O362" s="55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</row>
    <row r="363" spans="3:42" x14ac:dyDescent="0.3">
      <c r="C363" s="1"/>
      <c r="D363" s="1"/>
      <c r="E363" s="55"/>
      <c r="F363" s="55"/>
      <c r="G363" s="55"/>
      <c r="H363" s="55"/>
      <c r="I363" s="55"/>
      <c r="J363" s="55"/>
      <c r="K363" s="55"/>
      <c r="L363" s="55"/>
      <c r="M363" s="55"/>
      <c r="N363" s="55"/>
      <c r="O363" s="55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</row>
    <row r="364" spans="3:42" x14ac:dyDescent="0.3">
      <c r="C364" s="1"/>
      <c r="D364" s="1"/>
      <c r="E364" s="55"/>
      <c r="F364" s="55"/>
      <c r="G364" s="55"/>
      <c r="H364" s="55"/>
      <c r="I364" s="55"/>
      <c r="J364" s="55"/>
      <c r="K364" s="55"/>
      <c r="L364" s="55"/>
      <c r="M364" s="55"/>
      <c r="N364" s="55"/>
      <c r="O364" s="55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</row>
    <row r="365" spans="3:42" x14ac:dyDescent="0.3">
      <c r="C365" s="1"/>
      <c r="D365" s="1"/>
      <c r="E365" s="55"/>
      <c r="F365" s="55"/>
      <c r="G365" s="55"/>
      <c r="H365" s="55"/>
      <c r="I365" s="55"/>
      <c r="J365" s="55"/>
      <c r="K365" s="55"/>
      <c r="L365" s="55"/>
      <c r="M365" s="55"/>
      <c r="N365" s="55"/>
      <c r="O365" s="55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</row>
    <row r="366" spans="3:42" x14ac:dyDescent="0.3">
      <c r="C366" s="1"/>
      <c r="D366" s="1"/>
      <c r="E366" s="55"/>
      <c r="F366" s="55"/>
      <c r="G366" s="55"/>
      <c r="H366" s="55"/>
      <c r="I366" s="55"/>
      <c r="J366" s="55"/>
      <c r="K366" s="55"/>
      <c r="L366" s="55"/>
      <c r="M366" s="55"/>
      <c r="N366" s="55"/>
      <c r="O366" s="55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</row>
    <row r="367" spans="3:42" x14ac:dyDescent="0.3">
      <c r="C367" s="1"/>
      <c r="D367" s="1"/>
      <c r="E367" s="55"/>
      <c r="F367" s="55"/>
      <c r="G367" s="55"/>
      <c r="H367" s="55"/>
      <c r="I367" s="55"/>
      <c r="J367" s="55"/>
      <c r="K367" s="55"/>
      <c r="L367" s="55"/>
      <c r="M367" s="55"/>
      <c r="N367" s="55"/>
      <c r="O367" s="55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</row>
    <row r="368" spans="3:42" x14ac:dyDescent="0.3">
      <c r="C368" s="1"/>
      <c r="D368" s="1"/>
      <c r="E368" s="55"/>
      <c r="F368" s="55"/>
      <c r="G368" s="55"/>
      <c r="H368" s="55"/>
      <c r="I368" s="55"/>
      <c r="J368" s="55"/>
      <c r="K368" s="55"/>
      <c r="L368" s="55"/>
      <c r="M368" s="55"/>
      <c r="N368" s="55"/>
      <c r="O368" s="55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</row>
    <row r="369" spans="3:42" x14ac:dyDescent="0.3">
      <c r="C369" s="1"/>
      <c r="D369" s="1"/>
      <c r="E369" s="55"/>
      <c r="F369" s="55"/>
      <c r="G369" s="55"/>
      <c r="H369" s="55"/>
      <c r="I369" s="55"/>
      <c r="J369" s="55"/>
      <c r="K369" s="55"/>
      <c r="L369" s="55"/>
      <c r="M369" s="55"/>
      <c r="N369" s="55"/>
      <c r="O369" s="55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</row>
    <row r="370" spans="3:42" x14ac:dyDescent="0.3">
      <c r="C370" s="1"/>
      <c r="D370" s="1"/>
      <c r="E370" s="55"/>
      <c r="F370" s="55"/>
      <c r="G370" s="55"/>
      <c r="H370" s="55"/>
      <c r="I370" s="55"/>
      <c r="J370" s="55"/>
      <c r="K370" s="55"/>
      <c r="L370" s="55"/>
      <c r="M370" s="55"/>
      <c r="N370" s="55"/>
      <c r="O370" s="55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</row>
    <row r="371" spans="3:42" x14ac:dyDescent="0.3">
      <c r="C371" s="1"/>
      <c r="D371" s="1"/>
      <c r="E371" s="55"/>
      <c r="F371" s="55"/>
      <c r="G371" s="55"/>
      <c r="H371" s="55"/>
      <c r="I371" s="55"/>
      <c r="J371" s="55"/>
      <c r="K371" s="55"/>
      <c r="L371" s="55"/>
      <c r="M371" s="55"/>
      <c r="N371" s="55"/>
      <c r="O371" s="55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</row>
    <row r="372" spans="3:42" x14ac:dyDescent="0.3">
      <c r="C372" s="1"/>
      <c r="D372" s="1"/>
      <c r="E372" s="55"/>
      <c r="F372" s="55"/>
      <c r="G372" s="55"/>
      <c r="H372" s="55"/>
      <c r="I372" s="55"/>
      <c r="J372" s="55"/>
      <c r="K372" s="55"/>
      <c r="L372" s="55"/>
      <c r="M372" s="55"/>
      <c r="N372" s="55"/>
      <c r="O372" s="55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</row>
    <row r="373" spans="3:42" x14ac:dyDescent="0.3">
      <c r="C373" s="1"/>
      <c r="D373" s="1"/>
      <c r="E373" s="55"/>
      <c r="F373" s="55"/>
      <c r="G373" s="55"/>
      <c r="H373" s="55"/>
      <c r="I373" s="55"/>
      <c r="J373" s="55"/>
      <c r="K373" s="55"/>
      <c r="L373" s="55"/>
      <c r="M373" s="55"/>
      <c r="N373" s="55"/>
      <c r="O373" s="55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</row>
    <row r="374" spans="3:42" x14ac:dyDescent="0.3">
      <c r="C374" s="1"/>
      <c r="D374" s="1"/>
      <c r="E374" s="55"/>
      <c r="F374" s="55"/>
      <c r="G374" s="55"/>
      <c r="H374" s="55"/>
      <c r="I374" s="55"/>
      <c r="J374" s="55"/>
      <c r="K374" s="55"/>
      <c r="L374" s="55"/>
      <c r="M374" s="55"/>
      <c r="N374" s="55"/>
      <c r="O374" s="55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</row>
    <row r="375" spans="3:42" x14ac:dyDescent="0.3">
      <c r="C375" s="1"/>
      <c r="D375" s="1"/>
      <c r="E375" s="55"/>
      <c r="F375" s="55"/>
      <c r="G375" s="55"/>
      <c r="H375" s="55"/>
      <c r="I375" s="55"/>
      <c r="J375" s="55"/>
      <c r="K375" s="55"/>
      <c r="L375" s="55"/>
      <c r="M375" s="55"/>
      <c r="N375" s="55"/>
      <c r="O375" s="55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</row>
    <row r="376" spans="3:42" x14ac:dyDescent="0.3">
      <c r="C376" s="1"/>
      <c r="D376" s="1"/>
      <c r="E376" s="55"/>
      <c r="F376" s="55"/>
      <c r="G376" s="55"/>
      <c r="H376" s="55"/>
      <c r="I376" s="55"/>
      <c r="J376" s="55"/>
      <c r="K376" s="55"/>
      <c r="L376" s="55"/>
      <c r="M376" s="55"/>
      <c r="N376" s="55"/>
      <c r="O376" s="55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</row>
    <row r="377" spans="3:42" x14ac:dyDescent="0.3">
      <c r="C377" s="1"/>
      <c r="D377" s="1"/>
      <c r="E377" s="55"/>
      <c r="F377" s="55"/>
      <c r="G377" s="55"/>
      <c r="H377" s="55"/>
      <c r="I377" s="55"/>
      <c r="J377" s="55"/>
      <c r="K377" s="55"/>
      <c r="L377" s="55"/>
      <c r="M377" s="55"/>
      <c r="N377" s="55"/>
      <c r="O377" s="55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</row>
    <row r="378" spans="3:42" x14ac:dyDescent="0.3">
      <c r="C378" s="1"/>
      <c r="D378" s="1"/>
      <c r="E378" s="55"/>
      <c r="F378" s="55"/>
      <c r="G378" s="55"/>
      <c r="H378" s="55"/>
      <c r="I378" s="55"/>
      <c r="J378" s="55"/>
      <c r="K378" s="55"/>
      <c r="L378" s="55"/>
      <c r="M378" s="55"/>
      <c r="N378" s="55"/>
      <c r="O378" s="55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</row>
    <row r="379" spans="3:42" x14ac:dyDescent="0.3">
      <c r="C379" s="1"/>
      <c r="D379" s="1"/>
      <c r="E379" s="55"/>
      <c r="F379" s="55"/>
      <c r="G379" s="55"/>
      <c r="H379" s="55"/>
      <c r="I379" s="55"/>
      <c r="J379" s="55"/>
      <c r="K379" s="55"/>
      <c r="L379" s="55"/>
      <c r="M379" s="55"/>
      <c r="N379" s="55"/>
      <c r="O379" s="55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</row>
    <row r="380" spans="3:42" x14ac:dyDescent="0.3">
      <c r="C380" s="1"/>
      <c r="D380" s="1"/>
      <c r="E380" s="55"/>
      <c r="F380" s="55"/>
      <c r="G380" s="55"/>
      <c r="H380" s="55"/>
      <c r="I380" s="55"/>
      <c r="J380" s="55"/>
      <c r="K380" s="55"/>
      <c r="L380" s="55"/>
      <c r="M380" s="55"/>
      <c r="N380" s="55"/>
      <c r="O380" s="55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</row>
    <row r="381" spans="3:42" x14ac:dyDescent="0.3">
      <c r="C381" s="1"/>
      <c r="D381" s="1"/>
      <c r="E381" s="55"/>
      <c r="F381" s="55"/>
      <c r="G381" s="55"/>
      <c r="H381" s="55"/>
      <c r="I381" s="55"/>
      <c r="J381" s="55"/>
      <c r="K381" s="55"/>
      <c r="L381" s="55"/>
      <c r="M381" s="55"/>
      <c r="N381" s="55"/>
      <c r="O381" s="55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</row>
    <row r="382" spans="3:42" x14ac:dyDescent="0.3">
      <c r="C382" s="1"/>
      <c r="D382" s="1"/>
      <c r="E382" s="55"/>
      <c r="F382" s="55"/>
      <c r="G382" s="55"/>
      <c r="H382" s="55"/>
      <c r="I382" s="55"/>
      <c r="J382" s="55"/>
      <c r="K382" s="55"/>
      <c r="L382" s="55"/>
      <c r="M382" s="55"/>
      <c r="N382" s="55"/>
      <c r="O382" s="55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</row>
    <row r="383" spans="3:42" x14ac:dyDescent="0.3">
      <c r="C383" s="1"/>
      <c r="D383" s="1"/>
      <c r="E383" s="55"/>
      <c r="F383" s="55"/>
      <c r="G383" s="55"/>
      <c r="H383" s="55"/>
      <c r="I383" s="55"/>
      <c r="J383" s="55"/>
      <c r="K383" s="55"/>
      <c r="L383" s="55"/>
      <c r="M383" s="55"/>
      <c r="N383" s="55"/>
      <c r="O383" s="55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</row>
    <row r="384" spans="3:42" x14ac:dyDescent="0.3">
      <c r="C384" s="1"/>
      <c r="D384" s="1"/>
      <c r="E384" s="55"/>
      <c r="F384" s="55"/>
      <c r="G384" s="55"/>
      <c r="H384" s="55"/>
      <c r="I384" s="55"/>
      <c r="J384" s="55"/>
      <c r="K384" s="55"/>
      <c r="L384" s="55"/>
      <c r="M384" s="55"/>
      <c r="N384" s="55"/>
      <c r="O384" s="55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</row>
    <row r="385" spans="3:42" x14ac:dyDescent="0.3">
      <c r="C385" s="1"/>
      <c r="D385" s="1"/>
      <c r="E385" s="55"/>
      <c r="F385" s="55"/>
      <c r="G385" s="55"/>
      <c r="H385" s="55"/>
      <c r="I385" s="55"/>
      <c r="J385" s="55"/>
      <c r="K385" s="55"/>
      <c r="L385" s="55"/>
      <c r="M385" s="55"/>
      <c r="N385" s="55"/>
      <c r="O385" s="55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</row>
    <row r="386" spans="3:42" x14ac:dyDescent="0.3">
      <c r="C386" s="1"/>
      <c r="D386" s="1"/>
      <c r="E386" s="55"/>
      <c r="F386" s="55"/>
      <c r="G386" s="55"/>
      <c r="H386" s="55"/>
      <c r="I386" s="55"/>
      <c r="J386" s="55"/>
      <c r="K386" s="55"/>
      <c r="L386" s="55"/>
      <c r="M386" s="55"/>
      <c r="N386" s="55"/>
      <c r="O386" s="55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</row>
    <row r="387" spans="3:42" x14ac:dyDescent="0.3">
      <c r="C387" s="1"/>
      <c r="D387" s="1"/>
      <c r="E387" s="55"/>
      <c r="F387" s="55"/>
      <c r="G387" s="55"/>
      <c r="H387" s="55"/>
      <c r="I387" s="55"/>
      <c r="J387" s="55"/>
      <c r="K387" s="55"/>
      <c r="L387" s="55"/>
      <c r="M387" s="55"/>
      <c r="N387" s="55"/>
      <c r="O387" s="55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</row>
    <row r="388" spans="3:42" x14ac:dyDescent="0.3">
      <c r="C388" s="1"/>
      <c r="D388" s="1"/>
      <c r="E388" s="55"/>
      <c r="F388" s="55"/>
      <c r="G388" s="55"/>
      <c r="H388" s="55"/>
      <c r="I388" s="55"/>
      <c r="J388" s="55"/>
      <c r="K388" s="55"/>
      <c r="L388" s="55"/>
      <c r="M388" s="55"/>
      <c r="N388" s="55"/>
      <c r="O388" s="55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</row>
    <row r="389" spans="3:42" x14ac:dyDescent="0.3">
      <c r="C389" s="1"/>
      <c r="D389" s="1"/>
      <c r="E389" s="55"/>
      <c r="F389" s="55"/>
      <c r="G389" s="55"/>
      <c r="H389" s="55"/>
      <c r="I389" s="55"/>
      <c r="J389" s="55"/>
      <c r="K389" s="55"/>
      <c r="L389" s="55"/>
      <c r="M389" s="55"/>
      <c r="N389" s="55"/>
      <c r="O389" s="55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</row>
    <row r="390" spans="3:42" x14ac:dyDescent="0.3">
      <c r="C390" s="1"/>
      <c r="D390" s="1"/>
      <c r="E390" s="55"/>
      <c r="F390" s="55"/>
      <c r="G390" s="55"/>
      <c r="H390" s="55"/>
      <c r="I390" s="55"/>
      <c r="J390" s="55"/>
      <c r="K390" s="55"/>
      <c r="L390" s="55"/>
      <c r="M390" s="55"/>
      <c r="N390" s="55"/>
      <c r="O390" s="55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</row>
    <row r="391" spans="3:42" x14ac:dyDescent="0.3">
      <c r="C391" s="1"/>
      <c r="D391" s="1"/>
      <c r="E391" s="55"/>
      <c r="F391" s="55"/>
      <c r="G391" s="55"/>
      <c r="H391" s="55"/>
      <c r="I391" s="55"/>
      <c r="J391" s="55"/>
      <c r="K391" s="55"/>
      <c r="L391" s="55"/>
      <c r="M391" s="55"/>
      <c r="N391" s="55"/>
      <c r="O391" s="55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</row>
    <row r="392" spans="3:42" x14ac:dyDescent="0.3">
      <c r="C392" s="1"/>
      <c r="D392" s="1"/>
      <c r="E392" s="55"/>
      <c r="F392" s="55"/>
      <c r="G392" s="55"/>
      <c r="H392" s="55"/>
      <c r="I392" s="55"/>
      <c r="J392" s="55"/>
      <c r="K392" s="55"/>
      <c r="L392" s="55"/>
      <c r="M392" s="55"/>
      <c r="N392" s="55"/>
      <c r="O392" s="55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</row>
    <row r="393" spans="3:42" x14ac:dyDescent="0.3">
      <c r="C393" s="1"/>
      <c r="D393" s="1"/>
      <c r="E393" s="55"/>
      <c r="F393" s="55"/>
      <c r="G393" s="55"/>
      <c r="H393" s="55"/>
      <c r="I393" s="55"/>
      <c r="J393" s="55"/>
      <c r="K393" s="55"/>
      <c r="L393" s="55"/>
      <c r="M393" s="55"/>
      <c r="N393" s="55"/>
      <c r="O393" s="55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</row>
    <row r="394" spans="3:42" x14ac:dyDescent="0.3">
      <c r="C394" s="1"/>
      <c r="D394" s="1"/>
      <c r="E394" s="55"/>
      <c r="F394" s="55"/>
      <c r="G394" s="55"/>
      <c r="H394" s="55"/>
      <c r="I394" s="55"/>
      <c r="J394" s="55"/>
      <c r="K394" s="55"/>
      <c r="L394" s="55"/>
      <c r="M394" s="55"/>
      <c r="N394" s="55"/>
      <c r="O394" s="55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</row>
    <row r="395" spans="3:42" x14ac:dyDescent="0.3">
      <c r="C395" s="1"/>
      <c r="D395" s="1"/>
      <c r="E395" s="55"/>
      <c r="F395" s="55"/>
      <c r="G395" s="55"/>
      <c r="H395" s="55"/>
      <c r="I395" s="55"/>
      <c r="J395" s="55"/>
      <c r="K395" s="55"/>
      <c r="L395" s="55"/>
      <c r="M395" s="55"/>
      <c r="N395" s="55"/>
      <c r="O395" s="55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</row>
    <row r="396" spans="3:42" x14ac:dyDescent="0.3">
      <c r="C396" s="1"/>
      <c r="D396" s="1"/>
      <c r="E396" s="55"/>
      <c r="F396" s="55"/>
      <c r="G396" s="55"/>
      <c r="H396" s="55"/>
      <c r="I396" s="55"/>
      <c r="J396" s="55"/>
      <c r="K396" s="55"/>
      <c r="L396" s="55"/>
      <c r="M396" s="55"/>
      <c r="N396" s="55"/>
      <c r="O396" s="55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</row>
    <row r="397" spans="3:42" x14ac:dyDescent="0.3">
      <c r="C397" s="1"/>
      <c r="D397" s="1"/>
      <c r="E397" s="55"/>
      <c r="F397" s="55"/>
      <c r="G397" s="55"/>
      <c r="H397" s="55"/>
      <c r="I397" s="55"/>
      <c r="J397" s="55"/>
      <c r="K397" s="55"/>
      <c r="L397" s="55"/>
      <c r="M397" s="55"/>
      <c r="N397" s="55"/>
      <c r="O397" s="55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</row>
    <row r="398" spans="3:42" x14ac:dyDescent="0.3">
      <c r="C398" s="1"/>
      <c r="D398" s="1"/>
      <c r="E398" s="55"/>
      <c r="F398" s="55"/>
      <c r="G398" s="55"/>
      <c r="H398" s="55"/>
      <c r="I398" s="55"/>
      <c r="J398" s="55"/>
      <c r="K398" s="55"/>
      <c r="L398" s="55"/>
      <c r="M398" s="55"/>
      <c r="N398" s="55"/>
      <c r="O398" s="55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</row>
    <row r="399" spans="3:42" x14ac:dyDescent="0.3">
      <c r="C399" s="1"/>
      <c r="D399" s="1"/>
      <c r="E399" s="55"/>
      <c r="F399" s="55"/>
      <c r="G399" s="55"/>
      <c r="H399" s="55"/>
      <c r="I399" s="55"/>
      <c r="J399" s="55"/>
      <c r="K399" s="55"/>
      <c r="L399" s="55"/>
      <c r="M399" s="55"/>
      <c r="N399" s="55"/>
      <c r="O399" s="55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</row>
    <row r="400" spans="3:42" x14ac:dyDescent="0.3">
      <c r="C400" s="1"/>
      <c r="D400" s="1"/>
      <c r="E400" s="55"/>
      <c r="F400" s="55"/>
      <c r="G400" s="55"/>
      <c r="H400" s="55"/>
      <c r="I400" s="55"/>
      <c r="J400" s="55"/>
      <c r="K400" s="55"/>
      <c r="L400" s="55"/>
      <c r="M400" s="55"/>
      <c r="N400" s="55"/>
      <c r="O400" s="55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</row>
    <row r="401" spans="3:42" x14ac:dyDescent="0.3">
      <c r="C401" s="1"/>
      <c r="D401" s="1"/>
      <c r="E401" s="55"/>
      <c r="F401" s="55"/>
      <c r="G401" s="55"/>
      <c r="H401" s="55"/>
      <c r="I401" s="55"/>
      <c r="J401" s="55"/>
      <c r="K401" s="55"/>
      <c r="L401" s="55"/>
      <c r="M401" s="55"/>
      <c r="N401" s="55"/>
      <c r="O401" s="55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</row>
    <row r="402" spans="3:42" x14ac:dyDescent="0.3">
      <c r="C402" s="1"/>
      <c r="D402" s="1"/>
      <c r="E402" s="55"/>
      <c r="F402" s="55"/>
      <c r="G402" s="55"/>
      <c r="H402" s="55"/>
      <c r="I402" s="55"/>
      <c r="J402" s="55"/>
      <c r="K402" s="55"/>
      <c r="L402" s="55"/>
      <c r="M402" s="55"/>
      <c r="N402" s="55"/>
      <c r="O402" s="55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</row>
    <row r="403" spans="3:42" x14ac:dyDescent="0.3">
      <c r="C403" s="1"/>
      <c r="D403" s="1"/>
      <c r="E403" s="55"/>
      <c r="F403" s="55"/>
      <c r="G403" s="55"/>
      <c r="H403" s="55"/>
      <c r="I403" s="55"/>
      <c r="J403" s="55"/>
      <c r="K403" s="55"/>
      <c r="L403" s="55"/>
      <c r="M403" s="55"/>
      <c r="N403" s="55"/>
      <c r="O403" s="55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</row>
    <row r="404" spans="3:42" x14ac:dyDescent="0.3">
      <c r="C404" s="1"/>
      <c r="D404" s="1"/>
      <c r="E404" s="55"/>
      <c r="F404" s="55"/>
      <c r="G404" s="55"/>
      <c r="H404" s="55"/>
      <c r="I404" s="55"/>
      <c r="J404" s="55"/>
      <c r="K404" s="55"/>
      <c r="L404" s="55"/>
      <c r="M404" s="55"/>
      <c r="N404" s="55"/>
      <c r="O404" s="55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</row>
    <row r="405" spans="3:42" x14ac:dyDescent="0.3">
      <c r="C405" s="1"/>
      <c r="D405" s="1"/>
      <c r="E405" s="55"/>
      <c r="F405" s="55"/>
      <c r="G405" s="55"/>
      <c r="H405" s="55"/>
      <c r="I405" s="55"/>
      <c r="J405" s="55"/>
      <c r="K405" s="55"/>
      <c r="L405" s="55"/>
      <c r="M405" s="55"/>
      <c r="N405" s="55"/>
      <c r="O405" s="55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</row>
    <row r="406" spans="3:42" x14ac:dyDescent="0.3">
      <c r="C406" s="1"/>
      <c r="D406" s="1"/>
      <c r="E406" s="55"/>
      <c r="F406" s="55"/>
      <c r="G406" s="55"/>
      <c r="H406" s="55"/>
      <c r="I406" s="55"/>
      <c r="J406" s="55"/>
      <c r="K406" s="55"/>
      <c r="L406" s="55"/>
      <c r="M406" s="55"/>
      <c r="N406" s="55"/>
      <c r="O406" s="55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</row>
    <row r="407" spans="3:42" x14ac:dyDescent="0.3">
      <c r="C407" s="1"/>
      <c r="D407" s="1"/>
      <c r="E407" s="55"/>
      <c r="F407" s="55"/>
      <c r="G407" s="55"/>
      <c r="H407" s="55"/>
      <c r="I407" s="55"/>
      <c r="J407" s="55"/>
      <c r="K407" s="55"/>
      <c r="L407" s="55"/>
      <c r="M407" s="55"/>
      <c r="N407" s="55"/>
      <c r="O407" s="55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</row>
    <row r="408" spans="3:42" x14ac:dyDescent="0.3">
      <c r="C408" s="1"/>
      <c r="D408" s="1"/>
      <c r="E408" s="55"/>
      <c r="F408" s="55"/>
      <c r="G408" s="55"/>
      <c r="H408" s="55"/>
      <c r="I408" s="55"/>
      <c r="J408" s="55"/>
      <c r="K408" s="55"/>
      <c r="L408" s="55"/>
      <c r="M408" s="55"/>
      <c r="N408" s="55"/>
      <c r="O408" s="55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</row>
    <row r="409" spans="3:42" x14ac:dyDescent="0.3">
      <c r="C409" s="1"/>
      <c r="D409" s="1"/>
      <c r="E409" s="55"/>
      <c r="F409" s="55"/>
      <c r="G409" s="55"/>
      <c r="H409" s="55"/>
      <c r="I409" s="55"/>
      <c r="J409" s="55"/>
      <c r="K409" s="55"/>
      <c r="L409" s="55"/>
      <c r="M409" s="55"/>
      <c r="N409" s="55"/>
      <c r="O409" s="55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</row>
    <row r="410" spans="3:42" x14ac:dyDescent="0.3">
      <c r="C410" s="1"/>
      <c r="D410" s="1"/>
      <c r="E410" s="55"/>
      <c r="F410" s="55"/>
      <c r="G410" s="55"/>
      <c r="H410" s="55"/>
      <c r="I410" s="55"/>
      <c r="J410" s="55"/>
      <c r="K410" s="55"/>
      <c r="L410" s="55"/>
      <c r="M410" s="55"/>
      <c r="N410" s="55"/>
      <c r="O410" s="55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</row>
    <row r="411" spans="3:42" x14ac:dyDescent="0.3">
      <c r="C411" s="1"/>
      <c r="D411" s="1"/>
      <c r="E411" s="55"/>
      <c r="F411" s="55"/>
      <c r="G411" s="55"/>
      <c r="H411" s="55"/>
      <c r="I411" s="55"/>
      <c r="J411" s="55"/>
      <c r="K411" s="55"/>
      <c r="L411" s="55"/>
      <c r="M411" s="55"/>
      <c r="N411" s="55"/>
      <c r="O411" s="55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</row>
    <row r="412" spans="3:42" x14ac:dyDescent="0.3">
      <c r="C412" s="1"/>
      <c r="D412" s="1"/>
      <c r="E412" s="55"/>
      <c r="F412" s="55"/>
      <c r="G412" s="55"/>
      <c r="H412" s="55"/>
      <c r="I412" s="55"/>
      <c r="J412" s="55"/>
      <c r="K412" s="55"/>
      <c r="L412" s="55"/>
      <c r="M412" s="55"/>
      <c r="N412" s="55"/>
      <c r="O412" s="55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</row>
    <row r="413" spans="3:42" x14ac:dyDescent="0.3">
      <c r="C413" s="1"/>
      <c r="D413" s="1"/>
      <c r="E413" s="55"/>
      <c r="F413" s="55"/>
      <c r="G413" s="55"/>
      <c r="H413" s="55"/>
      <c r="I413" s="55"/>
      <c r="J413" s="55"/>
      <c r="K413" s="55"/>
      <c r="L413" s="55"/>
      <c r="M413" s="55"/>
      <c r="N413" s="55"/>
      <c r="O413" s="55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</row>
    <row r="414" spans="3:42" x14ac:dyDescent="0.3">
      <c r="C414" s="1"/>
      <c r="D414" s="1"/>
      <c r="E414" s="55"/>
      <c r="F414" s="55"/>
      <c r="G414" s="55"/>
      <c r="H414" s="55"/>
      <c r="I414" s="55"/>
      <c r="J414" s="55"/>
      <c r="K414" s="55"/>
      <c r="L414" s="55"/>
      <c r="M414" s="55"/>
      <c r="N414" s="55"/>
      <c r="O414" s="55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</row>
    <row r="415" spans="3:42" x14ac:dyDescent="0.3">
      <c r="C415" s="1"/>
      <c r="D415" s="1"/>
      <c r="E415" s="55"/>
      <c r="F415" s="55"/>
      <c r="G415" s="55"/>
      <c r="H415" s="55"/>
      <c r="I415" s="55"/>
      <c r="J415" s="55"/>
      <c r="K415" s="55"/>
      <c r="L415" s="55"/>
      <c r="M415" s="55"/>
      <c r="N415" s="55"/>
      <c r="O415" s="55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</row>
    <row r="416" spans="3:42" x14ac:dyDescent="0.3">
      <c r="C416" s="1"/>
      <c r="D416" s="1"/>
      <c r="E416" s="55"/>
      <c r="F416" s="55"/>
      <c r="G416" s="55"/>
      <c r="H416" s="55"/>
      <c r="I416" s="55"/>
      <c r="J416" s="55"/>
      <c r="K416" s="55"/>
      <c r="L416" s="55"/>
      <c r="M416" s="55"/>
      <c r="N416" s="55"/>
      <c r="O416" s="55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</row>
    <row r="417" spans="3:42" x14ac:dyDescent="0.3">
      <c r="C417" s="1"/>
      <c r="D417" s="1"/>
      <c r="E417" s="55"/>
      <c r="F417" s="55"/>
      <c r="G417" s="55"/>
      <c r="H417" s="55"/>
      <c r="I417" s="55"/>
      <c r="J417" s="55"/>
      <c r="K417" s="55"/>
      <c r="L417" s="55"/>
      <c r="M417" s="55"/>
      <c r="N417" s="55"/>
      <c r="O417" s="55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</row>
    <row r="418" spans="3:42" x14ac:dyDescent="0.3">
      <c r="C418" s="1"/>
      <c r="D418" s="1"/>
      <c r="E418" s="55"/>
      <c r="F418" s="55"/>
      <c r="G418" s="55"/>
      <c r="H418" s="55"/>
      <c r="I418" s="55"/>
      <c r="J418" s="55"/>
      <c r="K418" s="55"/>
      <c r="L418" s="55"/>
      <c r="M418" s="55"/>
      <c r="N418" s="55"/>
      <c r="O418" s="55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</row>
    <row r="419" spans="3:42" x14ac:dyDescent="0.3">
      <c r="C419" s="1"/>
      <c r="D419" s="1"/>
      <c r="E419" s="55"/>
      <c r="F419" s="55"/>
      <c r="G419" s="55"/>
      <c r="H419" s="55"/>
      <c r="I419" s="55"/>
      <c r="J419" s="55"/>
      <c r="K419" s="55"/>
      <c r="L419" s="55"/>
      <c r="M419" s="55"/>
      <c r="N419" s="55"/>
      <c r="O419" s="55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</row>
    <row r="420" spans="3:42" x14ac:dyDescent="0.3">
      <c r="C420" s="1"/>
      <c r="D420" s="1"/>
      <c r="E420" s="55"/>
      <c r="F420" s="55"/>
      <c r="G420" s="55"/>
      <c r="H420" s="55"/>
      <c r="I420" s="55"/>
      <c r="J420" s="55"/>
      <c r="K420" s="55"/>
      <c r="L420" s="55"/>
      <c r="M420" s="55"/>
      <c r="N420" s="55"/>
      <c r="O420" s="55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</row>
    <row r="421" spans="3:42" x14ac:dyDescent="0.3">
      <c r="C421" s="1"/>
      <c r="D421" s="1"/>
      <c r="E421" s="55"/>
      <c r="F421" s="55"/>
      <c r="G421" s="55"/>
      <c r="H421" s="55"/>
      <c r="I421" s="55"/>
      <c r="J421" s="55"/>
      <c r="K421" s="55"/>
      <c r="L421" s="55"/>
      <c r="M421" s="55"/>
      <c r="N421" s="55"/>
      <c r="O421" s="55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</row>
    <row r="422" spans="3:42" x14ac:dyDescent="0.3">
      <c r="C422" s="1"/>
      <c r="D422" s="1"/>
      <c r="E422" s="55"/>
      <c r="F422" s="55"/>
      <c r="G422" s="55"/>
      <c r="H422" s="55"/>
      <c r="I422" s="55"/>
      <c r="J422" s="55"/>
      <c r="K422" s="55"/>
      <c r="L422" s="55"/>
      <c r="M422" s="55"/>
      <c r="N422" s="55"/>
      <c r="O422" s="55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</row>
    <row r="423" spans="3:42" x14ac:dyDescent="0.3">
      <c r="C423" s="1"/>
      <c r="D423" s="1"/>
      <c r="E423" s="55"/>
      <c r="F423" s="55"/>
      <c r="G423" s="55"/>
      <c r="H423" s="55"/>
      <c r="I423" s="55"/>
      <c r="J423" s="55"/>
      <c r="K423" s="55"/>
      <c r="L423" s="55"/>
      <c r="M423" s="55"/>
      <c r="N423" s="55"/>
      <c r="O423" s="55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</row>
    <row r="424" spans="3:42" x14ac:dyDescent="0.3">
      <c r="C424" s="1"/>
      <c r="D424" s="1"/>
      <c r="E424" s="55"/>
      <c r="F424" s="55"/>
      <c r="G424" s="55"/>
      <c r="H424" s="55"/>
      <c r="I424" s="55"/>
      <c r="J424" s="55"/>
      <c r="K424" s="55"/>
      <c r="L424" s="55"/>
      <c r="M424" s="55"/>
      <c r="N424" s="55"/>
      <c r="O424" s="55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</row>
    <row r="425" spans="3:42" x14ac:dyDescent="0.3">
      <c r="C425" s="1"/>
      <c r="D425" s="1"/>
      <c r="E425" s="55"/>
      <c r="F425" s="55"/>
      <c r="G425" s="55"/>
      <c r="H425" s="55"/>
      <c r="I425" s="55"/>
      <c r="J425" s="55"/>
      <c r="K425" s="55"/>
      <c r="L425" s="55"/>
      <c r="M425" s="55"/>
      <c r="N425" s="55"/>
      <c r="O425" s="55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</row>
    <row r="426" spans="3:42" x14ac:dyDescent="0.3">
      <c r="C426" s="1"/>
      <c r="D426" s="1"/>
      <c r="E426" s="55"/>
      <c r="F426" s="55"/>
      <c r="G426" s="55"/>
      <c r="H426" s="55"/>
      <c r="I426" s="55"/>
      <c r="J426" s="55"/>
      <c r="K426" s="55"/>
      <c r="L426" s="55"/>
      <c r="M426" s="55"/>
      <c r="N426" s="55"/>
      <c r="O426" s="55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</row>
    <row r="427" spans="3:42" x14ac:dyDescent="0.3">
      <c r="C427" s="1"/>
      <c r="D427" s="1"/>
      <c r="E427" s="55"/>
      <c r="F427" s="55"/>
      <c r="G427" s="55"/>
      <c r="H427" s="55"/>
      <c r="I427" s="55"/>
      <c r="J427" s="55"/>
      <c r="K427" s="55"/>
      <c r="L427" s="55"/>
      <c r="M427" s="55"/>
      <c r="N427" s="55"/>
      <c r="O427" s="55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</row>
    <row r="428" spans="3:42" x14ac:dyDescent="0.3">
      <c r="C428" s="1"/>
      <c r="D428" s="1"/>
      <c r="E428" s="55"/>
      <c r="F428" s="55"/>
      <c r="G428" s="55"/>
      <c r="H428" s="55"/>
      <c r="I428" s="55"/>
      <c r="J428" s="55"/>
      <c r="K428" s="55"/>
      <c r="L428" s="55"/>
      <c r="M428" s="55"/>
      <c r="N428" s="55"/>
      <c r="O428" s="55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</row>
    <row r="429" spans="3:42" x14ac:dyDescent="0.3">
      <c r="C429" s="1"/>
      <c r="D429" s="1"/>
      <c r="E429" s="55"/>
      <c r="F429" s="55"/>
      <c r="G429" s="55"/>
      <c r="H429" s="55"/>
      <c r="I429" s="55"/>
      <c r="J429" s="55"/>
      <c r="K429" s="55"/>
      <c r="L429" s="55"/>
      <c r="M429" s="55"/>
      <c r="N429" s="55"/>
      <c r="O429" s="55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</row>
    <row r="430" spans="3:42" x14ac:dyDescent="0.3">
      <c r="C430" s="1"/>
      <c r="D430" s="1"/>
      <c r="E430" s="55"/>
      <c r="F430" s="55"/>
      <c r="G430" s="55"/>
      <c r="H430" s="55"/>
      <c r="I430" s="55"/>
      <c r="J430" s="55"/>
      <c r="K430" s="55"/>
      <c r="L430" s="55"/>
      <c r="M430" s="55"/>
      <c r="N430" s="55"/>
      <c r="O430" s="55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</row>
    <row r="431" spans="3:42" x14ac:dyDescent="0.3">
      <c r="C431" s="1"/>
      <c r="D431" s="1"/>
      <c r="E431" s="55"/>
      <c r="F431" s="55"/>
      <c r="G431" s="55"/>
      <c r="H431" s="55"/>
      <c r="I431" s="55"/>
      <c r="J431" s="55"/>
      <c r="K431" s="55"/>
      <c r="L431" s="55"/>
      <c r="M431" s="55"/>
      <c r="N431" s="55"/>
      <c r="O431" s="55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</row>
    <row r="432" spans="3:42" x14ac:dyDescent="0.3">
      <c r="C432" s="1"/>
      <c r="D432" s="1"/>
      <c r="E432" s="55"/>
      <c r="F432" s="55"/>
      <c r="G432" s="55"/>
      <c r="H432" s="55"/>
      <c r="I432" s="55"/>
      <c r="J432" s="55"/>
      <c r="K432" s="55"/>
      <c r="L432" s="55"/>
      <c r="M432" s="55"/>
      <c r="N432" s="55"/>
      <c r="O432" s="55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</row>
    <row r="433" spans="3:42" x14ac:dyDescent="0.3">
      <c r="C433" s="1"/>
      <c r="D433" s="1"/>
      <c r="E433" s="55"/>
      <c r="F433" s="55"/>
      <c r="G433" s="55"/>
      <c r="H433" s="55"/>
      <c r="I433" s="55"/>
      <c r="J433" s="55"/>
      <c r="K433" s="55"/>
      <c r="L433" s="55"/>
      <c r="M433" s="55"/>
      <c r="N433" s="55"/>
      <c r="O433" s="55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</row>
    <row r="434" spans="3:42" x14ac:dyDescent="0.3">
      <c r="C434" s="1"/>
      <c r="D434" s="1"/>
      <c r="E434" s="55"/>
      <c r="F434" s="55"/>
      <c r="G434" s="55"/>
      <c r="H434" s="55"/>
      <c r="I434" s="55"/>
      <c r="J434" s="55"/>
      <c r="K434" s="55"/>
      <c r="L434" s="55"/>
      <c r="M434" s="55"/>
      <c r="N434" s="55"/>
      <c r="O434" s="55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</row>
    <row r="435" spans="3:42" x14ac:dyDescent="0.3">
      <c r="C435" s="1"/>
      <c r="D435" s="1"/>
      <c r="E435" s="55"/>
      <c r="F435" s="55"/>
      <c r="G435" s="55"/>
      <c r="H435" s="55"/>
      <c r="I435" s="55"/>
      <c r="J435" s="55"/>
      <c r="K435" s="55"/>
      <c r="L435" s="55"/>
      <c r="M435" s="55"/>
      <c r="N435" s="55"/>
      <c r="O435" s="55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</row>
    <row r="436" spans="3:42" x14ac:dyDescent="0.3">
      <c r="C436" s="1"/>
      <c r="D436" s="1"/>
      <c r="E436" s="55"/>
      <c r="F436" s="55"/>
      <c r="G436" s="55"/>
      <c r="H436" s="55"/>
      <c r="I436" s="55"/>
      <c r="J436" s="55"/>
      <c r="K436" s="55"/>
      <c r="L436" s="55"/>
      <c r="M436" s="55"/>
      <c r="N436" s="55"/>
      <c r="O436" s="55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</row>
    <row r="437" spans="3:42" x14ac:dyDescent="0.3">
      <c r="C437" s="1"/>
      <c r="D437" s="1"/>
      <c r="E437" s="55"/>
      <c r="F437" s="55"/>
      <c r="G437" s="55"/>
      <c r="H437" s="55"/>
      <c r="I437" s="55"/>
      <c r="J437" s="55"/>
      <c r="K437" s="55"/>
      <c r="L437" s="55"/>
      <c r="M437" s="55"/>
      <c r="N437" s="55"/>
      <c r="O437" s="55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</row>
    <row r="438" spans="3:42" x14ac:dyDescent="0.3">
      <c r="C438" s="1"/>
      <c r="D438" s="1"/>
      <c r="E438" s="55"/>
      <c r="F438" s="55"/>
      <c r="G438" s="55"/>
      <c r="H438" s="55"/>
      <c r="I438" s="55"/>
      <c r="J438" s="55"/>
      <c r="K438" s="55"/>
      <c r="L438" s="55"/>
      <c r="M438" s="55"/>
      <c r="N438" s="55"/>
      <c r="O438" s="55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</row>
    <row r="439" spans="3:42" x14ac:dyDescent="0.3">
      <c r="C439" s="1"/>
      <c r="D439" s="1"/>
      <c r="E439" s="55"/>
      <c r="F439" s="55"/>
      <c r="G439" s="55"/>
      <c r="H439" s="55"/>
      <c r="I439" s="55"/>
      <c r="J439" s="55"/>
      <c r="K439" s="55"/>
      <c r="L439" s="55"/>
      <c r="M439" s="55"/>
      <c r="N439" s="55"/>
      <c r="O439" s="55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</row>
    <row r="440" spans="3:42" x14ac:dyDescent="0.3">
      <c r="C440" s="1"/>
      <c r="D440" s="1"/>
      <c r="E440" s="55"/>
      <c r="F440" s="55"/>
      <c r="G440" s="55"/>
      <c r="H440" s="55"/>
      <c r="I440" s="55"/>
      <c r="J440" s="55"/>
      <c r="K440" s="55"/>
      <c r="L440" s="55"/>
      <c r="M440" s="55"/>
      <c r="N440" s="55"/>
      <c r="O440" s="55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</row>
    <row r="441" spans="3:42" x14ac:dyDescent="0.3">
      <c r="C441" s="1"/>
      <c r="D441" s="1"/>
      <c r="E441" s="55"/>
      <c r="F441" s="55"/>
      <c r="G441" s="55"/>
      <c r="H441" s="55"/>
      <c r="I441" s="55"/>
      <c r="J441" s="55"/>
      <c r="K441" s="55"/>
      <c r="L441" s="55"/>
      <c r="M441" s="55"/>
      <c r="N441" s="55"/>
      <c r="O441" s="55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</row>
    <row r="442" spans="3:42" x14ac:dyDescent="0.3">
      <c r="C442" s="1"/>
      <c r="D442" s="1"/>
      <c r="E442" s="55"/>
      <c r="F442" s="55"/>
      <c r="G442" s="55"/>
      <c r="H442" s="55"/>
      <c r="I442" s="55"/>
      <c r="J442" s="55"/>
      <c r="K442" s="55"/>
      <c r="L442" s="55"/>
      <c r="M442" s="55"/>
      <c r="N442" s="55"/>
      <c r="O442" s="55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</row>
    <row r="443" spans="3:42" x14ac:dyDescent="0.3">
      <c r="C443" s="1"/>
      <c r="D443" s="1"/>
      <c r="E443" s="55"/>
      <c r="F443" s="55"/>
      <c r="G443" s="55"/>
      <c r="H443" s="55"/>
      <c r="I443" s="55"/>
      <c r="J443" s="55"/>
      <c r="K443" s="55"/>
      <c r="L443" s="55"/>
      <c r="M443" s="55"/>
      <c r="N443" s="55"/>
      <c r="O443" s="55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</row>
    <row r="444" spans="3:42" x14ac:dyDescent="0.3">
      <c r="C444" s="1"/>
      <c r="D444" s="1"/>
      <c r="E444" s="55"/>
      <c r="F444" s="55"/>
      <c r="G444" s="55"/>
      <c r="H444" s="55"/>
      <c r="I444" s="55"/>
      <c r="J444" s="55"/>
      <c r="K444" s="55"/>
      <c r="L444" s="55"/>
      <c r="M444" s="55"/>
      <c r="N444" s="55"/>
      <c r="O444" s="55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</row>
    <row r="445" spans="3:42" x14ac:dyDescent="0.3">
      <c r="C445" s="1"/>
      <c r="D445" s="1"/>
      <c r="E445" s="55"/>
      <c r="F445" s="55"/>
      <c r="G445" s="55"/>
      <c r="H445" s="55"/>
      <c r="I445" s="55"/>
      <c r="J445" s="55"/>
      <c r="K445" s="55"/>
      <c r="L445" s="55"/>
      <c r="M445" s="55"/>
      <c r="N445" s="55"/>
      <c r="O445" s="55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</row>
    <row r="446" spans="3:42" x14ac:dyDescent="0.3">
      <c r="C446" s="1"/>
      <c r="D446" s="1"/>
      <c r="E446" s="55"/>
      <c r="F446" s="55"/>
      <c r="G446" s="55"/>
      <c r="H446" s="55"/>
      <c r="I446" s="55"/>
      <c r="J446" s="55"/>
      <c r="K446" s="55"/>
      <c r="L446" s="55"/>
      <c r="M446" s="55"/>
      <c r="N446" s="55"/>
      <c r="O446" s="55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</row>
    <row r="447" spans="3:42" x14ac:dyDescent="0.3">
      <c r="C447" s="1"/>
      <c r="D447" s="1"/>
      <c r="E447" s="55"/>
      <c r="F447" s="55"/>
      <c r="G447" s="55"/>
      <c r="H447" s="55"/>
      <c r="I447" s="55"/>
      <c r="J447" s="55"/>
      <c r="K447" s="55"/>
      <c r="L447" s="55"/>
      <c r="M447" s="55"/>
      <c r="N447" s="55"/>
      <c r="O447" s="55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</row>
    <row r="448" spans="3:42" x14ac:dyDescent="0.3">
      <c r="C448" s="1"/>
      <c r="D448" s="1"/>
      <c r="E448" s="55"/>
      <c r="F448" s="55"/>
      <c r="G448" s="55"/>
      <c r="H448" s="55"/>
      <c r="I448" s="55"/>
      <c r="J448" s="55"/>
      <c r="K448" s="55"/>
      <c r="L448" s="55"/>
      <c r="M448" s="55"/>
      <c r="N448" s="55"/>
      <c r="O448" s="55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</row>
    <row r="449" spans="3:42" x14ac:dyDescent="0.3">
      <c r="C449" s="1"/>
      <c r="D449" s="1"/>
      <c r="E449" s="55"/>
      <c r="F449" s="55"/>
      <c r="G449" s="55"/>
      <c r="H449" s="55"/>
      <c r="I449" s="55"/>
      <c r="J449" s="55"/>
      <c r="K449" s="55"/>
      <c r="L449" s="55"/>
      <c r="M449" s="55"/>
      <c r="N449" s="55"/>
      <c r="O449" s="55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</row>
    <row r="450" spans="3:42" x14ac:dyDescent="0.3">
      <c r="C450" s="1"/>
      <c r="D450" s="1"/>
      <c r="E450" s="55"/>
      <c r="F450" s="55"/>
      <c r="G450" s="55"/>
      <c r="H450" s="55"/>
      <c r="I450" s="55"/>
      <c r="J450" s="55"/>
      <c r="K450" s="55"/>
      <c r="L450" s="55"/>
      <c r="M450" s="55"/>
      <c r="N450" s="55"/>
      <c r="O450" s="55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</row>
    <row r="451" spans="3:42" x14ac:dyDescent="0.3">
      <c r="C451" s="1"/>
      <c r="D451" s="1"/>
      <c r="E451" s="55"/>
      <c r="F451" s="55"/>
      <c r="G451" s="55"/>
      <c r="H451" s="55"/>
      <c r="I451" s="55"/>
      <c r="J451" s="55"/>
      <c r="K451" s="55"/>
      <c r="L451" s="55"/>
      <c r="M451" s="55"/>
      <c r="N451" s="55"/>
      <c r="O451" s="55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</row>
    <row r="452" spans="3:42" x14ac:dyDescent="0.3">
      <c r="C452" s="1"/>
      <c r="D452" s="1"/>
      <c r="E452" s="55"/>
      <c r="F452" s="55"/>
      <c r="G452" s="55"/>
      <c r="H452" s="55"/>
      <c r="I452" s="55"/>
      <c r="J452" s="55"/>
      <c r="K452" s="55"/>
      <c r="L452" s="55"/>
      <c r="M452" s="55"/>
      <c r="N452" s="55"/>
      <c r="O452" s="55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</row>
    <row r="453" spans="3:42" x14ac:dyDescent="0.3">
      <c r="C453" s="1"/>
      <c r="D453" s="1"/>
      <c r="E453" s="55"/>
      <c r="F453" s="55"/>
      <c r="G453" s="55"/>
      <c r="H453" s="55"/>
      <c r="I453" s="55"/>
      <c r="J453" s="55"/>
      <c r="K453" s="55"/>
      <c r="L453" s="55"/>
      <c r="M453" s="55"/>
      <c r="N453" s="55"/>
      <c r="O453" s="55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</row>
    <row r="454" spans="3:42" x14ac:dyDescent="0.3">
      <c r="C454" s="1"/>
      <c r="D454" s="1"/>
      <c r="E454" s="55"/>
      <c r="F454" s="55"/>
      <c r="G454" s="55"/>
      <c r="H454" s="55"/>
      <c r="I454" s="55"/>
      <c r="J454" s="55"/>
      <c r="K454" s="55"/>
      <c r="L454" s="55"/>
      <c r="M454" s="55"/>
      <c r="N454" s="55"/>
      <c r="O454" s="55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</row>
    <row r="455" spans="3:42" x14ac:dyDescent="0.3">
      <c r="C455" s="1"/>
      <c r="D455" s="1"/>
      <c r="E455" s="55"/>
      <c r="F455" s="55"/>
      <c r="G455" s="55"/>
      <c r="H455" s="55"/>
      <c r="I455" s="55"/>
      <c r="J455" s="55"/>
      <c r="K455" s="55"/>
      <c r="L455" s="55"/>
      <c r="M455" s="55"/>
      <c r="N455" s="55"/>
      <c r="O455" s="55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</row>
    <row r="456" spans="3:42" x14ac:dyDescent="0.3">
      <c r="C456" s="1"/>
      <c r="D456" s="1"/>
      <c r="E456" s="55"/>
      <c r="F456" s="55"/>
      <c r="G456" s="55"/>
      <c r="H456" s="55"/>
      <c r="I456" s="55"/>
      <c r="J456" s="55"/>
      <c r="K456" s="55"/>
      <c r="L456" s="55"/>
      <c r="M456" s="55"/>
      <c r="N456" s="55"/>
      <c r="O456" s="55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</row>
    <row r="457" spans="3:42" x14ac:dyDescent="0.3">
      <c r="C457" s="1"/>
      <c r="D457" s="1"/>
      <c r="E457" s="55"/>
      <c r="F457" s="55"/>
      <c r="G457" s="55"/>
      <c r="H457" s="55"/>
      <c r="I457" s="55"/>
      <c r="J457" s="55"/>
      <c r="K457" s="55"/>
      <c r="L457" s="55"/>
      <c r="M457" s="55"/>
      <c r="N457" s="55"/>
      <c r="O457" s="55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</row>
    <row r="458" spans="3:42" x14ac:dyDescent="0.3">
      <c r="C458" s="1"/>
      <c r="D458" s="1"/>
      <c r="E458" s="55"/>
      <c r="F458" s="55"/>
      <c r="G458" s="55"/>
      <c r="H458" s="55"/>
      <c r="I458" s="55"/>
      <c r="J458" s="55"/>
      <c r="K458" s="55"/>
      <c r="L458" s="55"/>
      <c r="M458" s="55"/>
      <c r="N458" s="55"/>
      <c r="O458" s="55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</row>
    <row r="459" spans="3:42" x14ac:dyDescent="0.3">
      <c r="C459" s="1"/>
      <c r="D459" s="1"/>
      <c r="E459" s="55"/>
      <c r="F459" s="55"/>
      <c r="G459" s="55"/>
      <c r="H459" s="55"/>
      <c r="I459" s="55"/>
      <c r="J459" s="55"/>
      <c r="K459" s="55"/>
      <c r="L459" s="55"/>
      <c r="M459" s="55"/>
      <c r="N459" s="55"/>
      <c r="O459" s="55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</row>
    <row r="460" spans="3:42" x14ac:dyDescent="0.3">
      <c r="C460" s="1"/>
      <c r="D460" s="1"/>
      <c r="E460" s="55"/>
      <c r="F460" s="55"/>
      <c r="G460" s="55"/>
      <c r="H460" s="55"/>
      <c r="I460" s="55"/>
      <c r="J460" s="55"/>
      <c r="K460" s="55"/>
      <c r="L460" s="55"/>
      <c r="M460" s="55"/>
      <c r="N460" s="55"/>
      <c r="O460" s="55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</row>
    <row r="461" spans="3:42" x14ac:dyDescent="0.3">
      <c r="C461" s="1"/>
      <c r="D461" s="1"/>
      <c r="E461" s="55"/>
      <c r="F461" s="55"/>
      <c r="G461" s="55"/>
      <c r="H461" s="55"/>
      <c r="I461" s="55"/>
      <c r="J461" s="55"/>
      <c r="K461" s="55"/>
      <c r="L461" s="55"/>
      <c r="M461" s="55"/>
      <c r="N461" s="55"/>
      <c r="O461" s="55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</row>
    <row r="462" spans="3:42" x14ac:dyDescent="0.3">
      <c r="C462" s="1"/>
      <c r="D462" s="1"/>
      <c r="E462" s="55"/>
      <c r="F462" s="55"/>
      <c r="G462" s="55"/>
      <c r="H462" s="55"/>
      <c r="I462" s="55"/>
      <c r="J462" s="55"/>
      <c r="K462" s="55"/>
      <c r="L462" s="55"/>
      <c r="M462" s="55"/>
      <c r="N462" s="55"/>
      <c r="O462" s="55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</row>
    <row r="463" spans="3:42" x14ac:dyDescent="0.3">
      <c r="C463" s="1"/>
      <c r="D463" s="1"/>
      <c r="E463" s="55"/>
      <c r="F463" s="55"/>
      <c r="G463" s="55"/>
      <c r="H463" s="55"/>
      <c r="I463" s="55"/>
      <c r="J463" s="55"/>
      <c r="K463" s="55"/>
      <c r="L463" s="55"/>
      <c r="M463" s="55"/>
      <c r="N463" s="55"/>
      <c r="O463" s="55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</row>
    <row r="464" spans="3:42" x14ac:dyDescent="0.3">
      <c r="C464" s="1"/>
      <c r="D464" s="1"/>
      <c r="E464" s="55"/>
      <c r="F464" s="55"/>
      <c r="G464" s="55"/>
      <c r="H464" s="55"/>
      <c r="I464" s="55"/>
      <c r="J464" s="55"/>
      <c r="K464" s="55"/>
      <c r="L464" s="55"/>
      <c r="M464" s="55"/>
      <c r="N464" s="55"/>
      <c r="O464" s="55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</row>
    <row r="465" spans="3:42" x14ac:dyDescent="0.3">
      <c r="C465" s="1"/>
      <c r="D465" s="1"/>
      <c r="E465" s="55"/>
      <c r="F465" s="55"/>
      <c r="G465" s="55"/>
      <c r="H465" s="55"/>
      <c r="I465" s="55"/>
      <c r="J465" s="55"/>
      <c r="K465" s="55"/>
      <c r="L465" s="55"/>
      <c r="M465" s="55"/>
      <c r="N465" s="55"/>
      <c r="O465" s="55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</row>
    <row r="466" spans="3:42" x14ac:dyDescent="0.3">
      <c r="C466" s="1"/>
      <c r="D466" s="1"/>
      <c r="E466" s="55"/>
      <c r="F466" s="55"/>
      <c r="G466" s="55"/>
      <c r="H466" s="55"/>
      <c r="I466" s="55"/>
      <c r="J466" s="55"/>
      <c r="K466" s="55"/>
      <c r="L466" s="55"/>
      <c r="M466" s="55"/>
      <c r="N466" s="55"/>
      <c r="O466" s="55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</row>
    <row r="467" spans="3:42" x14ac:dyDescent="0.3">
      <c r="C467" s="1"/>
      <c r="D467" s="1"/>
      <c r="E467" s="55"/>
      <c r="F467" s="55"/>
      <c r="G467" s="55"/>
      <c r="H467" s="55"/>
      <c r="I467" s="55"/>
      <c r="J467" s="55"/>
      <c r="K467" s="55"/>
      <c r="L467" s="55"/>
      <c r="M467" s="55"/>
      <c r="N467" s="55"/>
      <c r="O467" s="55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</row>
    <row r="468" spans="3:42" x14ac:dyDescent="0.3">
      <c r="C468" s="1"/>
      <c r="D468" s="1"/>
      <c r="E468" s="55"/>
      <c r="F468" s="55"/>
      <c r="G468" s="55"/>
      <c r="H468" s="55"/>
      <c r="I468" s="55"/>
      <c r="J468" s="55"/>
      <c r="K468" s="55"/>
      <c r="L468" s="55"/>
      <c r="M468" s="55"/>
      <c r="N468" s="55"/>
      <c r="O468" s="55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</row>
    <row r="469" spans="3:42" x14ac:dyDescent="0.3">
      <c r="C469" s="1"/>
      <c r="D469" s="1"/>
      <c r="E469" s="55"/>
      <c r="F469" s="55"/>
      <c r="G469" s="55"/>
      <c r="H469" s="55"/>
      <c r="I469" s="55"/>
      <c r="J469" s="55"/>
      <c r="K469" s="55"/>
      <c r="L469" s="55"/>
      <c r="M469" s="55"/>
      <c r="N469" s="55"/>
      <c r="O469" s="55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</row>
    <row r="470" spans="3:42" x14ac:dyDescent="0.3">
      <c r="C470" s="1"/>
      <c r="D470" s="1"/>
      <c r="E470" s="55"/>
      <c r="F470" s="55"/>
      <c r="G470" s="55"/>
      <c r="H470" s="55"/>
      <c r="I470" s="55"/>
      <c r="J470" s="55"/>
      <c r="K470" s="55"/>
      <c r="L470" s="55"/>
      <c r="M470" s="55"/>
      <c r="N470" s="55"/>
      <c r="O470" s="55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</row>
    <row r="471" spans="3:42" x14ac:dyDescent="0.3">
      <c r="C471" s="1"/>
      <c r="D471" s="1"/>
      <c r="E471" s="55"/>
      <c r="F471" s="55"/>
      <c r="G471" s="55"/>
      <c r="H471" s="55"/>
      <c r="I471" s="55"/>
      <c r="J471" s="55"/>
      <c r="K471" s="55"/>
      <c r="L471" s="55"/>
      <c r="M471" s="55"/>
      <c r="N471" s="55"/>
      <c r="O471" s="55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</row>
    <row r="472" spans="3:42" x14ac:dyDescent="0.3">
      <c r="C472" s="1"/>
      <c r="D472" s="1"/>
      <c r="E472" s="55"/>
      <c r="F472" s="55"/>
      <c r="G472" s="55"/>
      <c r="H472" s="55"/>
      <c r="I472" s="55"/>
      <c r="J472" s="55"/>
      <c r="K472" s="55"/>
      <c r="L472" s="55"/>
      <c r="M472" s="55"/>
      <c r="N472" s="55"/>
      <c r="O472" s="55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</row>
    <row r="473" spans="3:42" x14ac:dyDescent="0.3">
      <c r="C473" s="1"/>
      <c r="D473" s="1"/>
      <c r="E473" s="55"/>
      <c r="F473" s="55"/>
      <c r="G473" s="55"/>
      <c r="H473" s="55"/>
      <c r="I473" s="55"/>
      <c r="J473" s="55"/>
      <c r="K473" s="55"/>
      <c r="L473" s="55"/>
      <c r="M473" s="55"/>
      <c r="N473" s="55"/>
      <c r="O473" s="55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</row>
    <row r="474" spans="3:42" x14ac:dyDescent="0.3">
      <c r="C474" s="1"/>
      <c r="D474" s="1"/>
      <c r="E474" s="55"/>
      <c r="F474" s="55"/>
      <c r="G474" s="55"/>
      <c r="H474" s="55"/>
      <c r="I474" s="55"/>
      <c r="J474" s="55"/>
      <c r="K474" s="55"/>
      <c r="L474" s="55"/>
      <c r="M474" s="55"/>
      <c r="N474" s="55"/>
      <c r="O474" s="55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</row>
    <row r="475" spans="3:42" x14ac:dyDescent="0.3">
      <c r="C475" s="1"/>
      <c r="D475" s="1"/>
      <c r="E475" s="55"/>
      <c r="F475" s="55"/>
      <c r="G475" s="55"/>
      <c r="H475" s="55"/>
      <c r="I475" s="55"/>
      <c r="J475" s="55"/>
      <c r="K475" s="55"/>
      <c r="L475" s="55"/>
      <c r="M475" s="55"/>
      <c r="N475" s="55"/>
      <c r="O475" s="55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</row>
    <row r="476" spans="3:42" x14ac:dyDescent="0.3">
      <c r="C476" s="1"/>
      <c r="D476" s="1"/>
      <c r="E476" s="55"/>
      <c r="F476" s="55"/>
      <c r="G476" s="55"/>
      <c r="H476" s="55"/>
      <c r="I476" s="55"/>
      <c r="J476" s="55"/>
      <c r="K476" s="55"/>
      <c r="L476" s="55"/>
      <c r="M476" s="55"/>
      <c r="N476" s="55"/>
      <c r="O476" s="55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</row>
    <row r="477" spans="3:42" x14ac:dyDescent="0.3">
      <c r="C477" s="1"/>
      <c r="D477" s="1"/>
      <c r="E477" s="55"/>
      <c r="F477" s="55"/>
      <c r="G477" s="55"/>
      <c r="H477" s="55"/>
      <c r="I477" s="55"/>
      <c r="J477" s="55"/>
      <c r="K477" s="55"/>
      <c r="L477" s="55"/>
      <c r="M477" s="55"/>
      <c r="N477" s="55"/>
      <c r="O477" s="55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</row>
    <row r="478" spans="3:42" x14ac:dyDescent="0.3">
      <c r="C478" s="1"/>
      <c r="D478" s="1"/>
      <c r="E478" s="55"/>
      <c r="F478" s="55"/>
      <c r="G478" s="55"/>
      <c r="H478" s="55"/>
      <c r="I478" s="55"/>
      <c r="J478" s="55"/>
      <c r="K478" s="55"/>
      <c r="L478" s="55"/>
      <c r="M478" s="55"/>
      <c r="N478" s="55"/>
      <c r="O478" s="55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</row>
    <row r="479" spans="3:42" x14ac:dyDescent="0.3">
      <c r="C479" s="1"/>
      <c r="D479" s="1"/>
      <c r="E479" s="55"/>
      <c r="F479" s="55"/>
      <c r="G479" s="55"/>
      <c r="H479" s="55"/>
      <c r="I479" s="55"/>
      <c r="J479" s="55"/>
      <c r="K479" s="55"/>
      <c r="L479" s="55"/>
      <c r="M479" s="55"/>
      <c r="N479" s="55"/>
      <c r="O479" s="55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</row>
    <row r="480" spans="3:42" x14ac:dyDescent="0.3">
      <c r="C480" s="1"/>
      <c r="D480" s="1"/>
      <c r="E480" s="55"/>
      <c r="F480" s="55"/>
      <c r="G480" s="55"/>
      <c r="H480" s="55"/>
      <c r="I480" s="55"/>
      <c r="J480" s="55"/>
      <c r="K480" s="55"/>
      <c r="L480" s="55"/>
      <c r="M480" s="55"/>
      <c r="N480" s="55"/>
      <c r="O480" s="55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</row>
    <row r="481" spans="3:42" x14ac:dyDescent="0.3">
      <c r="C481" s="1"/>
      <c r="D481" s="1"/>
      <c r="E481" s="55"/>
      <c r="F481" s="55"/>
      <c r="G481" s="55"/>
      <c r="H481" s="55"/>
      <c r="I481" s="55"/>
      <c r="J481" s="55"/>
      <c r="K481" s="55"/>
      <c r="L481" s="55"/>
      <c r="M481" s="55"/>
      <c r="N481" s="55"/>
      <c r="O481" s="55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</row>
    <row r="482" spans="3:42" x14ac:dyDescent="0.3">
      <c r="C482" s="1"/>
      <c r="D482" s="1"/>
      <c r="E482" s="55"/>
      <c r="F482" s="55"/>
      <c r="G482" s="55"/>
      <c r="H482" s="55"/>
      <c r="I482" s="55"/>
      <c r="J482" s="55"/>
      <c r="K482" s="55"/>
      <c r="L482" s="55"/>
      <c r="M482" s="55"/>
      <c r="N482" s="55"/>
      <c r="O482" s="55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</row>
    <row r="483" spans="3:42" x14ac:dyDescent="0.3">
      <c r="C483" s="1"/>
      <c r="D483" s="1"/>
      <c r="E483" s="55"/>
      <c r="F483" s="55"/>
      <c r="G483" s="55"/>
      <c r="H483" s="55"/>
      <c r="I483" s="55"/>
      <c r="J483" s="55"/>
      <c r="K483" s="55"/>
      <c r="L483" s="55"/>
      <c r="M483" s="55"/>
      <c r="N483" s="55"/>
      <c r="O483" s="55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</row>
    <row r="484" spans="3:42" x14ac:dyDescent="0.3">
      <c r="C484" s="1"/>
      <c r="D484" s="1"/>
      <c r="E484" s="55"/>
      <c r="F484" s="55"/>
      <c r="G484" s="55"/>
      <c r="H484" s="55"/>
      <c r="I484" s="55"/>
      <c r="J484" s="55"/>
      <c r="K484" s="55"/>
      <c r="L484" s="55"/>
      <c r="M484" s="55"/>
      <c r="N484" s="55"/>
      <c r="O484" s="55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</row>
    <row r="485" spans="3:42" x14ac:dyDescent="0.3">
      <c r="C485" s="1"/>
      <c r="D485" s="1"/>
      <c r="E485" s="55"/>
      <c r="F485" s="55"/>
      <c r="G485" s="55"/>
      <c r="H485" s="55"/>
      <c r="I485" s="55"/>
      <c r="J485" s="55"/>
      <c r="K485" s="55"/>
      <c r="L485" s="55"/>
      <c r="M485" s="55"/>
      <c r="N485" s="55"/>
      <c r="O485" s="55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</row>
    <row r="486" spans="3:42" x14ac:dyDescent="0.3">
      <c r="C486" s="1"/>
      <c r="D486" s="1"/>
      <c r="E486" s="55"/>
      <c r="F486" s="55"/>
      <c r="G486" s="55"/>
      <c r="H486" s="55"/>
      <c r="I486" s="55"/>
      <c r="J486" s="55"/>
      <c r="K486" s="55"/>
      <c r="L486" s="55"/>
      <c r="M486" s="55"/>
      <c r="N486" s="55"/>
      <c r="O486" s="55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</row>
    <row r="487" spans="3:42" x14ac:dyDescent="0.3">
      <c r="C487" s="1"/>
      <c r="D487" s="1"/>
      <c r="E487" s="55"/>
      <c r="F487" s="55"/>
      <c r="G487" s="55"/>
      <c r="H487" s="55"/>
      <c r="I487" s="55"/>
      <c r="J487" s="55"/>
      <c r="K487" s="55"/>
      <c r="L487" s="55"/>
      <c r="M487" s="55"/>
      <c r="N487" s="55"/>
      <c r="O487" s="55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</row>
    <row r="488" spans="3:42" x14ac:dyDescent="0.3">
      <c r="C488" s="1"/>
      <c r="D488" s="1"/>
      <c r="E488" s="55"/>
      <c r="F488" s="55"/>
      <c r="G488" s="55"/>
      <c r="H488" s="55"/>
      <c r="I488" s="55"/>
      <c r="J488" s="55"/>
      <c r="K488" s="55"/>
      <c r="L488" s="55"/>
      <c r="M488" s="55"/>
      <c r="N488" s="55"/>
      <c r="O488" s="55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</row>
    <row r="489" spans="3:42" x14ac:dyDescent="0.3">
      <c r="C489" s="1"/>
      <c r="D489" s="1"/>
      <c r="E489" s="55"/>
      <c r="F489" s="55"/>
      <c r="G489" s="55"/>
      <c r="H489" s="55"/>
      <c r="I489" s="55"/>
      <c r="J489" s="55"/>
      <c r="K489" s="55"/>
      <c r="L489" s="55"/>
      <c r="M489" s="55"/>
      <c r="N489" s="55"/>
      <c r="O489" s="55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</row>
    <row r="490" spans="3:42" x14ac:dyDescent="0.3">
      <c r="C490" s="1"/>
      <c r="D490" s="1"/>
      <c r="E490" s="55"/>
      <c r="F490" s="55"/>
      <c r="G490" s="55"/>
      <c r="H490" s="55"/>
      <c r="I490" s="55"/>
      <c r="J490" s="55"/>
      <c r="K490" s="55"/>
      <c r="L490" s="55"/>
      <c r="M490" s="55"/>
      <c r="N490" s="55"/>
      <c r="O490" s="55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</row>
    <row r="491" spans="3:42" x14ac:dyDescent="0.3">
      <c r="C491" s="1"/>
      <c r="D491" s="1"/>
      <c r="E491" s="55"/>
      <c r="F491" s="55"/>
      <c r="G491" s="55"/>
      <c r="H491" s="55"/>
      <c r="I491" s="55"/>
      <c r="J491" s="55"/>
      <c r="K491" s="55"/>
      <c r="L491" s="55"/>
      <c r="M491" s="55"/>
      <c r="N491" s="55"/>
      <c r="O491" s="55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</row>
    <row r="492" spans="3:42" x14ac:dyDescent="0.3">
      <c r="C492" s="1"/>
      <c r="D492" s="1"/>
      <c r="E492" s="55"/>
      <c r="F492" s="55"/>
      <c r="G492" s="55"/>
      <c r="H492" s="55"/>
      <c r="I492" s="55"/>
      <c r="J492" s="55"/>
      <c r="K492" s="55"/>
      <c r="L492" s="55"/>
      <c r="M492" s="55"/>
      <c r="N492" s="55"/>
      <c r="O492" s="55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</row>
    <row r="493" spans="3:42" x14ac:dyDescent="0.3">
      <c r="C493" s="1"/>
      <c r="D493" s="1"/>
      <c r="E493" s="55"/>
      <c r="F493" s="55"/>
      <c r="G493" s="55"/>
      <c r="H493" s="55"/>
      <c r="I493" s="55"/>
      <c r="J493" s="55"/>
      <c r="K493" s="55"/>
      <c r="L493" s="55"/>
      <c r="M493" s="55"/>
      <c r="N493" s="55"/>
      <c r="O493" s="55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</row>
    <row r="494" spans="3:42" x14ac:dyDescent="0.3">
      <c r="C494" s="1"/>
      <c r="D494" s="1"/>
      <c r="E494" s="55"/>
      <c r="F494" s="55"/>
      <c r="G494" s="55"/>
      <c r="H494" s="55"/>
      <c r="I494" s="55"/>
      <c r="J494" s="55"/>
      <c r="K494" s="55"/>
      <c r="L494" s="55"/>
      <c r="M494" s="55"/>
      <c r="N494" s="55"/>
      <c r="O494" s="55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</row>
    <row r="495" spans="3:42" x14ac:dyDescent="0.3">
      <c r="C495" s="1"/>
      <c r="D495" s="1"/>
      <c r="E495" s="55"/>
      <c r="F495" s="55"/>
      <c r="G495" s="55"/>
      <c r="H495" s="55"/>
      <c r="I495" s="55"/>
      <c r="J495" s="55"/>
      <c r="K495" s="55"/>
      <c r="L495" s="55"/>
      <c r="M495" s="55"/>
      <c r="N495" s="55"/>
      <c r="O495" s="55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</row>
    <row r="496" spans="3:42" x14ac:dyDescent="0.3">
      <c r="C496" s="1"/>
      <c r="D496" s="1"/>
      <c r="E496" s="55"/>
      <c r="F496" s="55"/>
      <c r="G496" s="55"/>
      <c r="H496" s="55"/>
      <c r="I496" s="55"/>
      <c r="J496" s="55"/>
      <c r="K496" s="55"/>
      <c r="L496" s="55"/>
      <c r="M496" s="55"/>
      <c r="N496" s="55"/>
      <c r="O496" s="55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</row>
    <row r="497" spans="3:42" x14ac:dyDescent="0.3">
      <c r="C497" s="1"/>
      <c r="D497" s="1"/>
      <c r="E497" s="55"/>
      <c r="F497" s="55"/>
      <c r="G497" s="55"/>
      <c r="H497" s="55"/>
      <c r="I497" s="55"/>
      <c r="J497" s="55"/>
      <c r="K497" s="55"/>
      <c r="L497" s="55"/>
      <c r="M497" s="55"/>
      <c r="N497" s="55"/>
      <c r="O497" s="55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</row>
    <row r="498" spans="3:42" x14ac:dyDescent="0.3">
      <c r="C498" s="1"/>
      <c r="D498" s="1"/>
      <c r="E498" s="55"/>
      <c r="F498" s="55"/>
      <c r="G498" s="55"/>
      <c r="H498" s="55"/>
      <c r="I498" s="55"/>
      <c r="J498" s="55"/>
      <c r="K498" s="55"/>
      <c r="L498" s="55"/>
      <c r="M498" s="55"/>
      <c r="N498" s="55"/>
      <c r="O498" s="55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</row>
    <row r="499" spans="3:42" x14ac:dyDescent="0.3">
      <c r="C499" s="1"/>
      <c r="D499" s="1"/>
      <c r="E499" s="55"/>
      <c r="F499" s="55"/>
      <c r="G499" s="55"/>
      <c r="H499" s="55"/>
      <c r="I499" s="55"/>
      <c r="J499" s="55"/>
      <c r="K499" s="55"/>
      <c r="L499" s="55"/>
      <c r="M499" s="55"/>
      <c r="N499" s="55"/>
      <c r="O499" s="55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</row>
    <row r="500" spans="3:42" x14ac:dyDescent="0.3">
      <c r="C500" s="1"/>
      <c r="D500" s="1"/>
      <c r="E500" s="55"/>
      <c r="F500" s="55"/>
      <c r="G500" s="55"/>
      <c r="H500" s="55"/>
      <c r="I500" s="55"/>
      <c r="J500" s="55"/>
      <c r="K500" s="55"/>
      <c r="L500" s="55"/>
      <c r="M500" s="55"/>
      <c r="N500" s="55"/>
      <c r="O500" s="55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</row>
    <row r="501" spans="3:42" x14ac:dyDescent="0.3">
      <c r="C501" s="1"/>
      <c r="D501" s="1"/>
      <c r="E501" s="55"/>
      <c r="F501" s="55"/>
      <c r="G501" s="55"/>
      <c r="H501" s="55"/>
      <c r="I501" s="55"/>
      <c r="J501" s="55"/>
      <c r="K501" s="55"/>
      <c r="L501" s="55"/>
      <c r="M501" s="55"/>
      <c r="N501" s="55"/>
      <c r="O501" s="55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</row>
    <row r="502" spans="3:42" x14ac:dyDescent="0.3">
      <c r="C502" s="1"/>
      <c r="D502" s="1"/>
      <c r="E502" s="55"/>
      <c r="F502" s="55"/>
      <c r="G502" s="55"/>
      <c r="H502" s="55"/>
      <c r="I502" s="55"/>
      <c r="J502" s="55"/>
      <c r="K502" s="55"/>
      <c r="L502" s="55"/>
      <c r="M502" s="55"/>
      <c r="N502" s="55"/>
      <c r="O502" s="55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</row>
    <row r="503" spans="3:42" x14ac:dyDescent="0.3">
      <c r="C503" s="1"/>
      <c r="D503" s="1"/>
      <c r="E503" s="55"/>
      <c r="F503" s="55"/>
      <c r="G503" s="55"/>
      <c r="H503" s="55"/>
      <c r="I503" s="55"/>
      <c r="J503" s="55"/>
      <c r="K503" s="55"/>
      <c r="L503" s="55"/>
      <c r="M503" s="55"/>
      <c r="N503" s="55"/>
      <c r="O503" s="55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</row>
    <row r="504" spans="3:42" x14ac:dyDescent="0.3">
      <c r="C504" s="1"/>
      <c r="D504" s="1"/>
      <c r="E504" s="55"/>
      <c r="F504" s="55"/>
      <c r="G504" s="55"/>
      <c r="H504" s="55"/>
      <c r="I504" s="55"/>
      <c r="J504" s="55"/>
      <c r="K504" s="55"/>
      <c r="L504" s="55"/>
      <c r="M504" s="55"/>
      <c r="N504" s="55"/>
      <c r="O504" s="55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</row>
    <row r="505" spans="3:42" x14ac:dyDescent="0.3">
      <c r="C505" s="1"/>
      <c r="D505" s="1"/>
      <c r="E505" s="55"/>
      <c r="F505" s="55"/>
      <c r="G505" s="55"/>
      <c r="H505" s="55"/>
      <c r="I505" s="55"/>
      <c r="J505" s="55"/>
      <c r="K505" s="55"/>
      <c r="L505" s="55"/>
      <c r="M505" s="55"/>
      <c r="N505" s="55"/>
      <c r="O505" s="55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</row>
    <row r="506" spans="3:42" x14ac:dyDescent="0.3">
      <c r="C506" s="1"/>
      <c r="D506" s="1"/>
      <c r="E506" s="55"/>
      <c r="F506" s="55"/>
      <c r="G506" s="55"/>
      <c r="H506" s="55"/>
      <c r="I506" s="55"/>
      <c r="J506" s="55"/>
      <c r="K506" s="55"/>
      <c r="L506" s="55"/>
      <c r="M506" s="55"/>
      <c r="N506" s="55"/>
      <c r="O506" s="55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</row>
    <row r="507" spans="3:42" x14ac:dyDescent="0.3">
      <c r="C507" s="1"/>
      <c r="D507" s="1"/>
      <c r="E507" s="55"/>
      <c r="F507" s="55"/>
      <c r="G507" s="55"/>
      <c r="H507" s="55"/>
      <c r="I507" s="55"/>
      <c r="J507" s="55"/>
      <c r="K507" s="55"/>
      <c r="L507" s="55"/>
      <c r="M507" s="55"/>
      <c r="N507" s="55"/>
      <c r="O507" s="55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</row>
    <row r="508" spans="3:42" x14ac:dyDescent="0.3">
      <c r="C508" s="1"/>
      <c r="D508" s="1"/>
      <c r="E508" s="55"/>
      <c r="F508" s="55"/>
      <c r="G508" s="55"/>
      <c r="H508" s="55"/>
      <c r="I508" s="55"/>
      <c r="J508" s="55"/>
      <c r="K508" s="55"/>
      <c r="L508" s="55"/>
      <c r="M508" s="55"/>
      <c r="N508" s="55"/>
      <c r="O508" s="55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</row>
    <row r="509" spans="3:42" x14ac:dyDescent="0.3">
      <c r="C509" s="1"/>
      <c r="D509" s="1"/>
      <c r="E509" s="55"/>
      <c r="F509" s="55"/>
      <c r="G509" s="55"/>
      <c r="H509" s="55"/>
      <c r="I509" s="55"/>
      <c r="J509" s="55"/>
      <c r="K509" s="55"/>
      <c r="L509" s="55"/>
      <c r="M509" s="55"/>
      <c r="N509" s="55"/>
      <c r="O509" s="55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</row>
    <row r="510" spans="3:42" x14ac:dyDescent="0.3">
      <c r="C510" s="1"/>
      <c r="D510" s="1"/>
      <c r="E510" s="55"/>
      <c r="F510" s="55"/>
      <c r="G510" s="55"/>
      <c r="H510" s="55"/>
      <c r="I510" s="55"/>
      <c r="J510" s="55"/>
      <c r="K510" s="55"/>
      <c r="L510" s="55"/>
      <c r="M510" s="55"/>
      <c r="N510" s="55"/>
      <c r="O510" s="55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</row>
    <row r="511" spans="3:42" x14ac:dyDescent="0.3">
      <c r="C511" s="1"/>
      <c r="D511" s="1"/>
      <c r="E511" s="55"/>
      <c r="F511" s="55"/>
      <c r="G511" s="55"/>
      <c r="H511" s="55"/>
      <c r="I511" s="55"/>
      <c r="J511" s="55"/>
      <c r="K511" s="55"/>
      <c r="L511" s="55"/>
      <c r="M511" s="55"/>
      <c r="N511" s="55"/>
      <c r="O511" s="55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</row>
    <row r="512" spans="3:42" x14ac:dyDescent="0.3">
      <c r="C512" s="1"/>
      <c r="D512" s="1"/>
      <c r="E512" s="55"/>
      <c r="F512" s="55"/>
      <c r="G512" s="55"/>
      <c r="H512" s="55"/>
      <c r="I512" s="55"/>
      <c r="J512" s="55"/>
      <c r="K512" s="55"/>
      <c r="L512" s="55"/>
      <c r="M512" s="55"/>
      <c r="N512" s="55"/>
      <c r="O512" s="55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</row>
    <row r="513" spans="3:42" x14ac:dyDescent="0.3">
      <c r="C513" s="1"/>
      <c r="D513" s="1"/>
      <c r="E513" s="55"/>
      <c r="F513" s="55"/>
      <c r="G513" s="55"/>
      <c r="H513" s="55"/>
      <c r="I513" s="55"/>
      <c r="J513" s="55"/>
      <c r="K513" s="55"/>
      <c r="L513" s="55"/>
      <c r="M513" s="55"/>
      <c r="N513" s="55"/>
      <c r="O513" s="55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</row>
    <row r="514" spans="3:42" x14ac:dyDescent="0.3">
      <c r="C514" s="1"/>
      <c r="D514" s="1"/>
      <c r="E514" s="55"/>
      <c r="F514" s="55"/>
      <c r="G514" s="55"/>
      <c r="H514" s="55"/>
      <c r="I514" s="55"/>
      <c r="J514" s="55"/>
      <c r="K514" s="55"/>
      <c r="L514" s="55"/>
      <c r="M514" s="55"/>
      <c r="N514" s="55"/>
      <c r="O514" s="55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</row>
    <row r="515" spans="3:42" x14ac:dyDescent="0.3">
      <c r="C515" s="1"/>
      <c r="D515" s="1"/>
      <c r="E515" s="55"/>
      <c r="F515" s="55"/>
      <c r="G515" s="55"/>
      <c r="H515" s="55"/>
      <c r="I515" s="55"/>
      <c r="J515" s="55"/>
      <c r="K515" s="55"/>
      <c r="L515" s="55"/>
      <c r="M515" s="55"/>
      <c r="N515" s="55"/>
      <c r="O515" s="55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</row>
    <row r="516" spans="3:42" x14ac:dyDescent="0.3">
      <c r="C516" s="1"/>
      <c r="D516" s="1"/>
      <c r="E516" s="55"/>
      <c r="F516" s="55"/>
      <c r="G516" s="55"/>
      <c r="H516" s="55"/>
      <c r="I516" s="55"/>
      <c r="J516" s="55"/>
      <c r="K516" s="55"/>
      <c r="L516" s="55"/>
      <c r="M516" s="55"/>
      <c r="N516" s="55"/>
      <c r="O516" s="55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</row>
    <row r="517" spans="3:42" x14ac:dyDescent="0.3">
      <c r="C517" s="1"/>
      <c r="D517" s="1"/>
      <c r="E517" s="55"/>
      <c r="F517" s="55"/>
      <c r="G517" s="55"/>
      <c r="H517" s="55"/>
      <c r="I517" s="55"/>
      <c r="J517" s="55"/>
      <c r="K517" s="55"/>
      <c r="L517" s="55"/>
      <c r="M517" s="55"/>
      <c r="N517" s="55"/>
      <c r="O517" s="55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</row>
    <row r="518" spans="3:42" x14ac:dyDescent="0.3">
      <c r="C518" s="1"/>
      <c r="D518" s="1"/>
      <c r="E518" s="55"/>
      <c r="F518" s="55"/>
      <c r="G518" s="55"/>
      <c r="H518" s="55"/>
      <c r="I518" s="55"/>
      <c r="J518" s="55"/>
      <c r="K518" s="55"/>
      <c r="L518" s="55"/>
      <c r="M518" s="55"/>
      <c r="N518" s="55"/>
      <c r="O518" s="55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</row>
    <row r="519" spans="3:42" x14ac:dyDescent="0.3">
      <c r="C519" s="1"/>
      <c r="D519" s="1"/>
      <c r="E519" s="55"/>
      <c r="F519" s="55"/>
      <c r="G519" s="55"/>
      <c r="H519" s="55"/>
      <c r="I519" s="55"/>
      <c r="J519" s="55"/>
      <c r="K519" s="55"/>
      <c r="L519" s="55"/>
      <c r="M519" s="55"/>
      <c r="N519" s="55"/>
      <c r="O519" s="55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</row>
    <row r="520" spans="3:42" x14ac:dyDescent="0.3">
      <c r="C520" s="1"/>
      <c r="D520" s="1"/>
      <c r="E520" s="55"/>
      <c r="F520" s="55"/>
      <c r="G520" s="55"/>
      <c r="H520" s="55"/>
      <c r="I520" s="55"/>
      <c r="J520" s="55"/>
      <c r="K520" s="55"/>
      <c r="L520" s="55"/>
      <c r="M520" s="55"/>
      <c r="N520" s="55"/>
      <c r="O520" s="55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</row>
    <row r="521" spans="3:42" x14ac:dyDescent="0.3">
      <c r="C521" s="1"/>
      <c r="D521" s="1"/>
      <c r="E521" s="55"/>
      <c r="F521" s="55"/>
      <c r="G521" s="55"/>
      <c r="H521" s="55"/>
      <c r="I521" s="55"/>
      <c r="J521" s="55"/>
      <c r="K521" s="55"/>
      <c r="L521" s="55"/>
      <c r="M521" s="55"/>
      <c r="N521" s="55"/>
      <c r="O521" s="55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</row>
    <row r="522" spans="3:42" x14ac:dyDescent="0.3">
      <c r="C522" s="1"/>
      <c r="D522" s="1"/>
      <c r="E522" s="55"/>
      <c r="F522" s="55"/>
      <c r="G522" s="55"/>
      <c r="H522" s="55"/>
      <c r="I522" s="55"/>
      <c r="J522" s="55"/>
      <c r="K522" s="55"/>
      <c r="L522" s="55"/>
      <c r="M522" s="55"/>
      <c r="N522" s="55"/>
      <c r="O522" s="55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</row>
    <row r="523" spans="3:42" x14ac:dyDescent="0.3">
      <c r="C523" s="1"/>
      <c r="D523" s="1"/>
      <c r="E523" s="55"/>
      <c r="F523" s="55"/>
      <c r="G523" s="55"/>
      <c r="H523" s="55"/>
      <c r="I523" s="55"/>
      <c r="J523" s="55"/>
      <c r="K523" s="55"/>
      <c r="L523" s="55"/>
      <c r="M523" s="55"/>
      <c r="N523" s="55"/>
      <c r="O523" s="55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</row>
    <row r="524" spans="3:42" x14ac:dyDescent="0.3">
      <c r="C524" s="1"/>
      <c r="D524" s="1"/>
      <c r="E524" s="55"/>
      <c r="F524" s="55"/>
      <c r="G524" s="55"/>
      <c r="H524" s="55"/>
      <c r="I524" s="55"/>
      <c r="J524" s="55"/>
      <c r="K524" s="55"/>
      <c r="L524" s="55"/>
      <c r="M524" s="55"/>
      <c r="N524" s="55"/>
      <c r="O524" s="55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</row>
    <row r="525" spans="3:42" x14ac:dyDescent="0.3">
      <c r="C525" s="1"/>
      <c r="D525" s="1"/>
      <c r="E525" s="55"/>
      <c r="F525" s="55"/>
      <c r="G525" s="55"/>
      <c r="H525" s="55"/>
      <c r="I525" s="55"/>
      <c r="J525" s="55"/>
      <c r="K525" s="55"/>
      <c r="L525" s="55"/>
      <c r="M525" s="55"/>
      <c r="N525" s="55"/>
      <c r="O525" s="55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</row>
    <row r="526" spans="3:42" x14ac:dyDescent="0.3">
      <c r="C526" s="1"/>
      <c r="D526" s="1"/>
      <c r="E526" s="55"/>
      <c r="F526" s="55"/>
      <c r="G526" s="55"/>
      <c r="H526" s="55"/>
      <c r="I526" s="55"/>
      <c r="J526" s="55"/>
      <c r="K526" s="55"/>
      <c r="L526" s="55"/>
      <c r="M526" s="55"/>
      <c r="N526" s="55"/>
      <c r="O526" s="55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</row>
    <row r="527" spans="3:42" x14ac:dyDescent="0.3">
      <c r="C527" s="1"/>
      <c r="D527" s="1"/>
      <c r="E527" s="55"/>
      <c r="F527" s="55"/>
      <c r="G527" s="55"/>
      <c r="H527" s="55"/>
      <c r="I527" s="55"/>
      <c r="J527" s="55"/>
      <c r="K527" s="55"/>
      <c r="L527" s="55"/>
      <c r="M527" s="55"/>
      <c r="N527" s="55"/>
      <c r="O527" s="55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</row>
    <row r="528" spans="3:42" x14ac:dyDescent="0.3">
      <c r="C528" s="1"/>
      <c r="D528" s="1"/>
      <c r="E528" s="55"/>
      <c r="F528" s="55"/>
      <c r="G528" s="55"/>
      <c r="H528" s="55"/>
      <c r="I528" s="55"/>
      <c r="J528" s="55"/>
      <c r="K528" s="55"/>
      <c r="L528" s="55"/>
      <c r="M528" s="55"/>
      <c r="N528" s="55"/>
      <c r="O528" s="55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</row>
    <row r="529" spans="3:42" x14ac:dyDescent="0.3">
      <c r="C529" s="1"/>
      <c r="D529" s="1"/>
      <c r="E529" s="55"/>
      <c r="F529" s="55"/>
      <c r="G529" s="55"/>
      <c r="H529" s="55"/>
      <c r="I529" s="55"/>
      <c r="J529" s="55"/>
      <c r="K529" s="55"/>
      <c r="L529" s="55"/>
      <c r="M529" s="55"/>
      <c r="N529" s="55"/>
      <c r="O529" s="55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</row>
    <row r="530" spans="3:42" x14ac:dyDescent="0.3">
      <c r="C530" s="1"/>
      <c r="D530" s="1"/>
      <c r="E530" s="55"/>
      <c r="F530" s="55"/>
      <c r="G530" s="55"/>
      <c r="H530" s="55"/>
      <c r="I530" s="55"/>
      <c r="J530" s="55"/>
      <c r="K530" s="55"/>
      <c r="L530" s="55"/>
      <c r="M530" s="55"/>
      <c r="N530" s="55"/>
      <c r="O530" s="55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</row>
    <row r="531" spans="3:42" x14ac:dyDescent="0.3">
      <c r="C531" s="1"/>
      <c r="D531" s="1"/>
      <c r="E531" s="55"/>
      <c r="F531" s="55"/>
      <c r="G531" s="55"/>
      <c r="H531" s="55"/>
      <c r="I531" s="55"/>
      <c r="J531" s="55"/>
      <c r="K531" s="55"/>
      <c r="L531" s="55"/>
      <c r="M531" s="55"/>
      <c r="N531" s="55"/>
      <c r="O531" s="55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</row>
    <row r="532" spans="3:42" x14ac:dyDescent="0.3">
      <c r="C532" s="1"/>
      <c r="D532" s="1"/>
      <c r="E532" s="55"/>
      <c r="F532" s="55"/>
      <c r="G532" s="55"/>
      <c r="H532" s="55"/>
      <c r="I532" s="55"/>
      <c r="J532" s="55"/>
      <c r="K532" s="55"/>
      <c r="L532" s="55"/>
      <c r="M532" s="55"/>
      <c r="N532" s="55"/>
      <c r="O532" s="55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</row>
    <row r="533" spans="3:42" x14ac:dyDescent="0.3">
      <c r="C533" s="1"/>
      <c r="D533" s="1"/>
      <c r="E533" s="55"/>
      <c r="F533" s="55"/>
      <c r="G533" s="55"/>
      <c r="H533" s="55"/>
      <c r="I533" s="55"/>
      <c r="J533" s="55"/>
      <c r="K533" s="55"/>
      <c r="L533" s="55"/>
      <c r="M533" s="55"/>
      <c r="N533" s="55"/>
      <c r="O533" s="55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</row>
    <row r="534" spans="3:42" x14ac:dyDescent="0.3">
      <c r="C534" s="1"/>
      <c r="D534" s="1"/>
      <c r="E534" s="55"/>
      <c r="F534" s="55"/>
      <c r="G534" s="55"/>
      <c r="H534" s="55"/>
      <c r="I534" s="55"/>
      <c r="J534" s="55"/>
      <c r="K534" s="55"/>
      <c r="L534" s="55"/>
      <c r="M534" s="55"/>
      <c r="N534" s="55"/>
      <c r="O534" s="55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</row>
    <row r="535" spans="3:42" x14ac:dyDescent="0.3">
      <c r="C535" s="1"/>
      <c r="D535" s="1"/>
      <c r="E535" s="55"/>
      <c r="F535" s="55"/>
      <c r="G535" s="55"/>
      <c r="H535" s="55"/>
      <c r="I535" s="55"/>
      <c r="J535" s="55"/>
      <c r="K535" s="55"/>
      <c r="L535" s="55"/>
      <c r="M535" s="55"/>
      <c r="N535" s="55"/>
      <c r="O535" s="55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</row>
    <row r="536" spans="3:42" x14ac:dyDescent="0.3">
      <c r="C536" s="1"/>
      <c r="D536" s="1"/>
      <c r="E536" s="55"/>
      <c r="F536" s="55"/>
      <c r="G536" s="55"/>
      <c r="H536" s="55"/>
      <c r="I536" s="55"/>
      <c r="J536" s="55"/>
      <c r="K536" s="55"/>
      <c r="L536" s="55"/>
      <c r="M536" s="55"/>
      <c r="N536" s="55"/>
      <c r="O536" s="55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</row>
    <row r="537" spans="3:42" x14ac:dyDescent="0.3">
      <c r="C537" s="1"/>
      <c r="D537" s="1"/>
      <c r="E537" s="55"/>
      <c r="F537" s="55"/>
      <c r="G537" s="55"/>
      <c r="H537" s="55"/>
      <c r="I537" s="55"/>
      <c r="J537" s="55"/>
      <c r="K537" s="55"/>
      <c r="L537" s="55"/>
      <c r="M537" s="55"/>
      <c r="N537" s="55"/>
      <c r="O537" s="55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</row>
    <row r="538" spans="3:42" x14ac:dyDescent="0.3">
      <c r="C538" s="1"/>
      <c r="D538" s="1"/>
      <c r="E538" s="55"/>
      <c r="F538" s="55"/>
      <c r="G538" s="55"/>
      <c r="H538" s="55"/>
      <c r="I538" s="55"/>
      <c r="J538" s="55"/>
      <c r="K538" s="55"/>
      <c r="L538" s="55"/>
      <c r="M538" s="55"/>
      <c r="N538" s="55"/>
      <c r="O538" s="55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</row>
    <row r="539" spans="3:42" x14ac:dyDescent="0.3">
      <c r="C539" s="1"/>
      <c r="D539" s="1"/>
      <c r="E539" s="55"/>
      <c r="F539" s="55"/>
      <c r="G539" s="55"/>
      <c r="H539" s="55"/>
      <c r="I539" s="55"/>
      <c r="J539" s="55"/>
      <c r="K539" s="55"/>
      <c r="L539" s="55"/>
      <c r="M539" s="55"/>
      <c r="N539" s="55"/>
      <c r="O539" s="55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</row>
    <row r="540" spans="3:42" x14ac:dyDescent="0.3">
      <c r="C540" s="1"/>
      <c r="D540" s="1"/>
      <c r="E540" s="55"/>
      <c r="F540" s="55"/>
      <c r="G540" s="55"/>
      <c r="H540" s="55"/>
      <c r="I540" s="55"/>
      <c r="J540" s="55"/>
      <c r="K540" s="55"/>
      <c r="L540" s="55"/>
      <c r="M540" s="55"/>
      <c r="N540" s="55"/>
      <c r="O540" s="55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</row>
    <row r="541" spans="3:42" x14ac:dyDescent="0.3">
      <c r="C541" s="1"/>
      <c r="D541" s="1"/>
      <c r="E541" s="55"/>
      <c r="F541" s="55"/>
      <c r="G541" s="55"/>
      <c r="H541" s="55"/>
      <c r="I541" s="55"/>
      <c r="J541" s="55"/>
      <c r="K541" s="55"/>
      <c r="L541" s="55"/>
      <c r="M541" s="55"/>
      <c r="N541" s="55"/>
      <c r="O541" s="55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</row>
    <row r="542" spans="3:42" x14ac:dyDescent="0.3">
      <c r="C542" s="1"/>
      <c r="D542" s="1"/>
      <c r="E542" s="55"/>
      <c r="F542" s="55"/>
      <c r="G542" s="55"/>
      <c r="H542" s="55"/>
      <c r="I542" s="55"/>
      <c r="J542" s="55"/>
      <c r="K542" s="55"/>
      <c r="L542" s="55"/>
      <c r="M542" s="55"/>
      <c r="N542" s="55"/>
      <c r="O542" s="55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</row>
    <row r="543" spans="3:42" x14ac:dyDescent="0.3">
      <c r="C543" s="1"/>
      <c r="D543" s="1"/>
      <c r="E543" s="55"/>
      <c r="F543" s="55"/>
      <c r="G543" s="55"/>
      <c r="H543" s="55"/>
      <c r="I543" s="55"/>
      <c r="J543" s="55"/>
      <c r="K543" s="55"/>
      <c r="L543" s="55"/>
      <c r="M543" s="55"/>
      <c r="N543" s="55"/>
      <c r="O543" s="55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</row>
    <row r="544" spans="3:42" x14ac:dyDescent="0.3">
      <c r="C544" s="1"/>
      <c r="D544" s="1"/>
      <c r="E544" s="55"/>
      <c r="F544" s="55"/>
      <c r="G544" s="55"/>
      <c r="H544" s="55"/>
      <c r="I544" s="55"/>
      <c r="J544" s="55"/>
      <c r="K544" s="55"/>
      <c r="L544" s="55"/>
      <c r="M544" s="55"/>
      <c r="N544" s="55"/>
      <c r="O544" s="55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</row>
    <row r="545" spans="3:42" x14ac:dyDescent="0.3">
      <c r="C545" s="1"/>
      <c r="D545" s="1"/>
      <c r="E545" s="55"/>
      <c r="F545" s="55"/>
      <c r="G545" s="55"/>
      <c r="H545" s="55"/>
      <c r="I545" s="55"/>
      <c r="J545" s="55"/>
      <c r="K545" s="55"/>
      <c r="L545" s="55"/>
      <c r="M545" s="55"/>
      <c r="N545" s="55"/>
      <c r="O545" s="55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</row>
    <row r="546" spans="3:42" x14ac:dyDescent="0.3">
      <c r="C546" s="1"/>
      <c r="D546" s="1"/>
      <c r="E546" s="55"/>
      <c r="F546" s="55"/>
      <c r="G546" s="55"/>
      <c r="H546" s="55"/>
      <c r="I546" s="55"/>
      <c r="J546" s="55"/>
      <c r="K546" s="55"/>
      <c r="L546" s="55"/>
      <c r="M546" s="55"/>
      <c r="N546" s="55"/>
      <c r="O546" s="55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</row>
    <row r="547" spans="3:42" x14ac:dyDescent="0.3">
      <c r="C547" s="1"/>
      <c r="D547" s="1"/>
      <c r="E547" s="55"/>
      <c r="F547" s="55"/>
      <c r="G547" s="55"/>
      <c r="H547" s="55"/>
      <c r="I547" s="55"/>
      <c r="J547" s="55"/>
      <c r="K547" s="55"/>
      <c r="L547" s="55"/>
      <c r="M547" s="55"/>
      <c r="N547" s="55"/>
      <c r="O547" s="55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</row>
    <row r="548" spans="3:42" x14ac:dyDescent="0.3">
      <c r="C548" s="1"/>
      <c r="D548" s="1"/>
      <c r="E548" s="55"/>
      <c r="F548" s="55"/>
      <c r="G548" s="55"/>
      <c r="H548" s="55"/>
      <c r="I548" s="55"/>
      <c r="J548" s="55"/>
      <c r="K548" s="55"/>
      <c r="L548" s="55"/>
      <c r="M548" s="55"/>
      <c r="N548" s="55"/>
      <c r="O548" s="55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</row>
    <row r="549" spans="3:42" x14ac:dyDescent="0.3">
      <c r="C549" s="1"/>
      <c r="D549" s="1"/>
      <c r="E549" s="55"/>
      <c r="F549" s="55"/>
      <c r="G549" s="55"/>
      <c r="H549" s="55"/>
      <c r="I549" s="55"/>
      <c r="J549" s="55"/>
      <c r="K549" s="55"/>
      <c r="L549" s="55"/>
      <c r="M549" s="55"/>
      <c r="N549" s="55"/>
      <c r="O549" s="55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</row>
    <row r="550" spans="3:42" x14ac:dyDescent="0.3">
      <c r="C550" s="1"/>
      <c r="D550" s="1"/>
      <c r="E550" s="55"/>
      <c r="F550" s="55"/>
      <c r="G550" s="55"/>
      <c r="H550" s="55"/>
      <c r="I550" s="55"/>
      <c r="J550" s="55"/>
      <c r="K550" s="55"/>
      <c r="L550" s="55"/>
      <c r="M550" s="55"/>
      <c r="N550" s="55"/>
      <c r="O550" s="55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</row>
    <row r="551" spans="3:42" x14ac:dyDescent="0.3">
      <c r="C551" s="1"/>
      <c r="D551" s="1"/>
      <c r="E551" s="55"/>
      <c r="F551" s="55"/>
      <c r="G551" s="55"/>
      <c r="H551" s="55"/>
      <c r="I551" s="55"/>
      <c r="J551" s="55"/>
      <c r="K551" s="55"/>
      <c r="L551" s="55"/>
      <c r="M551" s="55"/>
      <c r="N551" s="55"/>
      <c r="O551" s="55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</row>
    <row r="552" spans="3:42" x14ac:dyDescent="0.3">
      <c r="C552" s="1"/>
      <c r="D552" s="1"/>
      <c r="E552" s="55"/>
      <c r="F552" s="55"/>
      <c r="G552" s="55"/>
      <c r="H552" s="55"/>
      <c r="I552" s="55"/>
      <c r="J552" s="55"/>
      <c r="K552" s="55"/>
      <c r="L552" s="55"/>
      <c r="M552" s="55"/>
      <c r="N552" s="55"/>
      <c r="O552" s="55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</row>
    <row r="553" spans="3:42" x14ac:dyDescent="0.3">
      <c r="C553" s="1"/>
      <c r="D553" s="1"/>
      <c r="E553" s="55"/>
      <c r="F553" s="55"/>
      <c r="G553" s="55"/>
      <c r="H553" s="55"/>
      <c r="I553" s="55"/>
      <c r="J553" s="55"/>
      <c r="K553" s="55"/>
      <c r="L553" s="55"/>
      <c r="M553" s="55"/>
      <c r="N553" s="55"/>
      <c r="O553" s="55"/>
      <c r="P553" s="1"/>
    </row>
    <row r="554" spans="3:42" x14ac:dyDescent="0.3">
      <c r="C554" s="1"/>
      <c r="D554" s="1"/>
      <c r="E554" s="55"/>
      <c r="F554" s="55"/>
      <c r="G554" s="55"/>
      <c r="H554" s="55"/>
      <c r="I554" s="55"/>
      <c r="J554" s="55"/>
      <c r="K554" s="55"/>
      <c r="L554" s="55"/>
      <c r="M554" s="55"/>
      <c r="N554" s="55"/>
      <c r="O554" s="55"/>
    </row>
    <row r="555" spans="3:42" x14ac:dyDescent="0.3">
      <c r="C555" s="1"/>
      <c r="D555" s="1"/>
      <c r="E555" s="55"/>
      <c r="F555" s="55"/>
      <c r="G555" s="55"/>
      <c r="H555" s="55"/>
      <c r="I555" s="55"/>
      <c r="J555" s="55"/>
      <c r="K555" s="55"/>
      <c r="L555" s="55"/>
      <c r="M555" s="55"/>
      <c r="N555" s="55"/>
      <c r="O555" s="55"/>
    </row>
    <row r="556" spans="3:42" x14ac:dyDescent="0.3">
      <c r="C556" s="1"/>
      <c r="D556" s="1"/>
      <c r="E556" s="55"/>
      <c r="F556" s="55"/>
      <c r="G556" s="55"/>
      <c r="H556" s="55"/>
      <c r="I556" s="55"/>
      <c r="J556" s="55"/>
      <c r="K556" s="55"/>
      <c r="L556" s="55"/>
      <c r="M556" s="55"/>
      <c r="N556" s="55"/>
      <c r="O556" s="55"/>
    </row>
    <row r="557" spans="3:42" x14ac:dyDescent="0.3">
      <c r="C557" s="1"/>
      <c r="D557" s="1"/>
      <c r="E557" s="55"/>
      <c r="F557" s="55"/>
      <c r="G557" s="55"/>
      <c r="H557" s="55"/>
      <c r="I557" s="55"/>
      <c r="J557" s="55"/>
      <c r="K557" s="55"/>
      <c r="L557" s="55"/>
      <c r="M557" s="55"/>
      <c r="N557" s="55"/>
      <c r="O557" s="55"/>
    </row>
    <row r="558" spans="3:42" x14ac:dyDescent="0.3">
      <c r="C558" s="1"/>
      <c r="D558" s="1"/>
      <c r="E558" s="55"/>
      <c r="F558" s="55"/>
      <c r="G558" s="55"/>
      <c r="H558" s="55"/>
      <c r="I558" s="55"/>
      <c r="J558" s="55"/>
      <c r="K558" s="55"/>
      <c r="L558" s="55"/>
      <c r="M558" s="55"/>
      <c r="N558" s="55"/>
      <c r="O558" s="55"/>
    </row>
    <row r="559" spans="3:42" x14ac:dyDescent="0.3">
      <c r="C559" s="1"/>
      <c r="D559" s="1"/>
      <c r="E559" s="55"/>
      <c r="F559" s="55"/>
      <c r="G559" s="55"/>
      <c r="H559" s="55"/>
      <c r="I559" s="55"/>
      <c r="J559" s="55"/>
      <c r="K559" s="55"/>
      <c r="L559" s="55"/>
      <c r="M559" s="55"/>
      <c r="N559" s="55"/>
      <c r="O559" s="55"/>
    </row>
    <row r="560" spans="3:42" x14ac:dyDescent="0.3">
      <c r="C560" s="1"/>
      <c r="D560" s="1"/>
      <c r="E560" s="55"/>
      <c r="F560" s="55"/>
      <c r="G560" s="55"/>
      <c r="H560" s="55"/>
      <c r="I560" s="55"/>
      <c r="J560" s="55"/>
      <c r="K560" s="55"/>
      <c r="L560" s="55"/>
      <c r="M560" s="55"/>
      <c r="N560" s="55"/>
      <c r="O560" s="55"/>
    </row>
    <row r="561" spans="3:15" x14ac:dyDescent="0.3">
      <c r="C561" s="1"/>
      <c r="D561" s="1"/>
      <c r="E561" s="55"/>
      <c r="F561" s="55"/>
      <c r="G561" s="55"/>
      <c r="H561" s="55"/>
      <c r="I561" s="55"/>
      <c r="J561" s="55"/>
      <c r="K561" s="55"/>
      <c r="L561" s="55"/>
      <c r="M561" s="55"/>
      <c r="N561" s="55"/>
      <c r="O561" s="55"/>
    </row>
    <row r="562" spans="3:15" x14ac:dyDescent="0.3">
      <c r="C562" s="1"/>
      <c r="D562" s="1"/>
      <c r="E562" s="55"/>
      <c r="F562" s="55"/>
      <c r="G562" s="55"/>
      <c r="H562" s="55"/>
      <c r="I562" s="55"/>
      <c r="J562" s="55"/>
      <c r="K562" s="55"/>
      <c r="L562" s="55"/>
      <c r="M562" s="55"/>
      <c r="N562" s="55"/>
      <c r="O562" s="55"/>
    </row>
    <row r="563" spans="3:15" x14ac:dyDescent="0.3">
      <c r="C563" s="1"/>
      <c r="D563" s="1"/>
      <c r="E563" s="55"/>
      <c r="F563" s="55"/>
      <c r="G563" s="55"/>
      <c r="H563" s="55"/>
      <c r="I563" s="55"/>
      <c r="J563" s="55"/>
      <c r="K563" s="55"/>
      <c r="L563" s="55"/>
      <c r="M563" s="55"/>
      <c r="N563" s="55"/>
      <c r="O563" s="55"/>
    </row>
    <row r="564" spans="3:15" x14ac:dyDescent="0.3">
      <c r="C564" s="1"/>
      <c r="D564" s="1"/>
      <c r="E564" s="55"/>
      <c r="F564" s="55"/>
      <c r="G564" s="55"/>
      <c r="H564" s="55"/>
      <c r="I564" s="55"/>
      <c r="J564" s="55"/>
      <c r="K564" s="55"/>
      <c r="L564" s="55"/>
      <c r="M564" s="55"/>
      <c r="N564" s="55"/>
      <c r="O564" s="55"/>
    </row>
    <row r="565" spans="3:15" x14ac:dyDescent="0.3">
      <c r="C565" s="1"/>
      <c r="D565" s="1"/>
      <c r="E565" s="55"/>
      <c r="F565" s="55"/>
      <c r="G565" s="55"/>
      <c r="H565" s="55"/>
      <c r="I565" s="55"/>
      <c r="J565" s="55"/>
      <c r="K565" s="55"/>
      <c r="L565" s="55"/>
      <c r="M565" s="55"/>
      <c r="N565" s="55"/>
      <c r="O565" s="55"/>
    </row>
    <row r="566" spans="3:15" x14ac:dyDescent="0.3">
      <c r="C566" s="1"/>
      <c r="D566" s="1"/>
      <c r="E566" s="55"/>
      <c r="F566" s="55"/>
      <c r="G566" s="55"/>
      <c r="H566" s="55"/>
      <c r="I566" s="55"/>
      <c r="J566" s="55"/>
      <c r="K566" s="55"/>
      <c r="L566" s="55"/>
      <c r="M566" s="55"/>
      <c r="N566" s="49"/>
      <c r="O566" s="50"/>
    </row>
    <row r="567" spans="3:15" x14ac:dyDescent="0.3">
      <c r="C567" s="1"/>
      <c r="D567" s="1"/>
      <c r="E567" s="55"/>
      <c r="F567" s="55"/>
      <c r="G567" s="55"/>
      <c r="H567" s="55"/>
      <c r="I567" s="55"/>
      <c r="J567" s="55"/>
      <c r="K567" s="55"/>
      <c r="L567" s="55"/>
      <c r="M567" s="55"/>
      <c r="N567" s="49"/>
      <c r="O567" s="50"/>
    </row>
    <row r="568" spans="3:15" x14ac:dyDescent="0.3">
      <c r="C568" s="1"/>
      <c r="D568" s="1"/>
      <c r="E568" s="55"/>
      <c r="F568" s="55"/>
      <c r="G568" s="55"/>
      <c r="H568" s="55"/>
      <c r="I568" s="55"/>
      <c r="J568" s="55"/>
      <c r="K568" s="55"/>
      <c r="L568" s="55"/>
      <c r="M568" s="55"/>
    </row>
    <row r="569" spans="3:15" x14ac:dyDescent="0.3">
      <c r="C569" s="1"/>
      <c r="D569" s="1"/>
      <c r="E569" s="55"/>
      <c r="F569" s="55"/>
      <c r="G569" s="55"/>
      <c r="H569" s="55"/>
      <c r="I569" s="55"/>
      <c r="J569" s="55"/>
      <c r="K569" s="55"/>
      <c r="L569" s="55"/>
      <c r="M569" s="49"/>
    </row>
    <row r="570" spans="3:15" x14ac:dyDescent="0.3">
      <c r="C570" s="1"/>
      <c r="D570" s="1"/>
      <c r="E570" s="55"/>
      <c r="F570" s="55"/>
      <c r="G570" s="55"/>
      <c r="H570" s="55"/>
      <c r="I570" s="55"/>
      <c r="J570" s="55"/>
      <c r="K570" s="55"/>
      <c r="L570" s="55"/>
      <c r="M570" s="49"/>
    </row>
    <row r="571" spans="3:15" x14ac:dyDescent="0.3">
      <c r="C571" s="1"/>
      <c r="D571" s="1"/>
      <c r="E571" s="55"/>
      <c r="F571" s="55"/>
      <c r="G571" s="55"/>
      <c r="H571" s="55"/>
      <c r="I571" s="55"/>
      <c r="J571" s="55"/>
      <c r="K571" s="55"/>
      <c r="L571" s="55"/>
    </row>
    <row r="572" spans="3:15" x14ac:dyDescent="0.3">
      <c r="C572" s="1"/>
      <c r="D572" s="1"/>
      <c r="E572" s="55"/>
      <c r="F572" s="55"/>
      <c r="G572" s="55"/>
      <c r="H572" s="55"/>
      <c r="I572" s="55"/>
      <c r="J572" s="55"/>
      <c r="K572" s="55"/>
      <c r="L572" s="55"/>
    </row>
    <row r="573" spans="3:15" x14ac:dyDescent="0.3">
      <c r="C573" s="1"/>
      <c r="D573" s="1"/>
      <c r="E573" s="55"/>
      <c r="F573" s="55"/>
      <c r="G573" s="55"/>
      <c r="H573" s="55"/>
      <c r="I573" s="55"/>
      <c r="J573" s="55"/>
      <c r="K573" s="49"/>
      <c r="L573" s="49"/>
    </row>
    <row r="574" spans="3:15" x14ac:dyDescent="0.3">
      <c r="C574" s="1"/>
      <c r="D574" s="1"/>
      <c r="E574" s="55"/>
      <c r="F574" s="55"/>
      <c r="G574" s="55"/>
      <c r="H574" s="55"/>
      <c r="I574" s="55"/>
      <c r="J574" s="55"/>
      <c r="K574" s="49"/>
      <c r="L574" s="49"/>
    </row>
    <row r="575" spans="3:15" x14ac:dyDescent="0.3">
      <c r="C575" s="1"/>
      <c r="D575" s="1"/>
      <c r="E575" s="55"/>
      <c r="F575" s="55"/>
      <c r="G575" s="55"/>
      <c r="H575" s="55"/>
      <c r="I575" s="55"/>
      <c r="J575" s="55"/>
    </row>
    <row r="576" spans="3:15" x14ac:dyDescent="0.3">
      <c r="C576" s="1"/>
      <c r="D576" s="1"/>
      <c r="E576" s="48"/>
      <c r="F576" s="49"/>
      <c r="G576" s="49"/>
      <c r="H576" s="49"/>
      <c r="I576" s="49"/>
      <c r="J576" s="49"/>
    </row>
    <row r="577" spans="3:10" x14ac:dyDescent="0.3">
      <c r="C577" s="1"/>
      <c r="D577" s="1"/>
      <c r="E577" s="48"/>
      <c r="F577" s="49"/>
      <c r="G577" s="49"/>
      <c r="H577" s="49"/>
      <c r="I577" s="49"/>
      <c r="J577" s="49"/>
    </row>
    <row r="578" spans="3:10" x14ac:dyDescent="0.3">
      <c r="C578" s="1"/>
    </row>
    <row r="579" spans="3:10" x14ac:dyDescent="0.3">
      <c r="C579" s="1"/>
    </row>
    <row r="580" spans="3:10" x14ac:dyDescent="0.3">
      <c r="C580" s="1"/>
    </row>
    <row r="581" spans="3:10" x14ac:dyDescent="0.3">
      <c r="C581" s="1"/>
    </row>
  </sheetData>
  <mergeCells count="1">
    <mergeCell ref="E2:J2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69207-1688-4191-862B-2029FAF60542}">
  <dimension ref="A1:T97"/>
  <sheetViews>
    <sheetView zoomScaleNormal="100" workbookViewId="0">
      <pane xSplit="3" ySplit="3" topLeftCell="H67" activePane="bottomRight" state="frozen"/>
      <selection pane="topRight" activeCell="D1" sqref="D1"/>
      <selection pane="bottomLeft" activeCell="A4" sqref="A4"/>
      <selection pane="bottomRight" activeCell="B1" sqref="B1"/>
    </sheetView>
  </sheetViews>
  <sheetFormatPr defaultRowHeight="14.4" x14ac:dyDescent="0.3"/>
  <cols>
    <col min="1" max="1" width="2.33203125" style="1" customWidth="1"/>
    <col min="2" max="2" width="64.109375" customWidth="1"/>
    <col min="3" max="3" width="61.109375" hidden="1" customWidth="1"/>
    <col min="4" max="4" width="5" customWidth="1"/>
    <col min="5" max="6" width="14.5546875" bestFit="1" customWidth="1"/>
    <col min="7" max="7" width="16.33203125" customWidth="1"/>
    <col min="8" max="9" width="14.5546875" bestFit="1" customWidth="1"/>
    <col min="10" max="11" width="11.5546875" bestFit="1" customWidth="1"/>
    <col min="13" max="13" width="11.5546875" bestFit="1" customWidth="1"/>
    <col min="15" max="15" width="11.5546875" bestFit="1" customWidth="1"/>
    <col min="17" max="17" width="11.5546875" bestFit="1" customWidth="1"/>
  </cols>
  <sheetData>
    <row r="1" spans="1:20" ht="27" customHeight="1" x14ac:dyDescent="0.6">
      <c r="A1" s="62"/>
      <c r="B1" s="279" t="s">
        <v>361</v>
      </c>
      <c r="C1" s="140"/>
      <c r="D1" s="140"/>
      <c r="E1" s="140"/>
      <c r="F1" s="140"/>
      <c r="G1" s="140"/>
      <c r="H1" s="140"/>
      <c r="I1" s="64"/>
      <c r="J1" s="55"/>
      <c r="K1" s="55"/>
      <c r="L1" s="55"/>
      <c r="M1" s="55"/>
      <c r="N1" s="55"/>
      <c r="O1" s="55"/>
      <c r="P1" s="55"/>
      <c r="Q1" s="55"/>
      <c r="R1" s="55"/>
    </row>
    <row r="2" spans="1:20" ht="15" customHeight="1" x14ac:dyDescent="0.4">
      <c r="A2" s="62"/>
      <c r="B2" s="280"/>
      <c r="C2" s="280"/>
      <c r="D2" s="280"/>
      <c r="E2" s="280"/>
      <c r="F2" s="280"/>
      <c r="G2" s="281" t="s">
        <v>163</v>
      </c>
      <c r="H2" s="280"/>
      <c r="I2" s="282"/>
      <c r="J2" s="55"/>
      <c r="K2" s="55"/>
      <c r="L2" s="55"/>
      <c r="M2" s="55"/>
      <c r="N2" s="55"/>
      <c r="O2" s="55"/>
      <c r="P2" s="55"/>
      <c r="Q2" s="55"/>
      <c r="R2" s="55"/>
    </row>
    <row r="3" spans="1:20" ht="18" customHeight="1" thickBot="1" x14ac:dyDescent="0.45">
      <c r="A3" s="66"/>
      <c r="B3" s="65"/>
      <c r="C3" s="65"/>
      <c r="D3" s="144" t="s">
        <v>1</v>
      </c>
      <c r="E3" s="147">
        <v>42369</v>
      </c>
      <c r="F3" s="147">
        <v>42735</v>
      </c>
      <c r="G3" s="147">
        <v>43100</v>
      </c>
      <c r="H3" s="147">
        <v>43465</v>
      </c>
      <c r="I3" s="147">
        <v>43830</v>
      </c>
      <c r="J3" s="55"/>
      <c r="K3" s="55"/>
      <c r="L3" s="55"/>
      <c r="M3" s="55"/>
      <c r="N3" s="55"/>
      <c r="O3" s="55"/>
      <c r="P3" s="55"/>
      <c r="Q3" s="55"/>
      <c r="R3" s="55"/>
    </row>
    <row r="4" spans="1:20" ht="10.5" customHeight="1" thickBot="1" x14ac:dyDescent="0.35">
      <c r="B4" s="1"/>
      <c r="C4" s="1"/>
      <c r="D4" s="1"/>
      <c r="E4" s="1"/>
      <c r="F4" s="49"/>
      <c r="G4" s="49"/>
      <c r="H4" s="49"/>
      <c r="I4" s="49"/>
      <c r="J4" s="55"/>
      <c r="K4" s="55"/>
      <c r="L4" s="55"/>
      <c r="M4" s="55"/>
      <c r="N4" s="55"/>
      <c r="O4" s="55"/>
      <c r="P4" s="55"/>
      <c r="Q4" s="55"/>
      <c r="R4" s="55"/>
      <c r="T4" s="68" t="s">
        <v>164</v>
      </c>
    </row>
    <row r="5" spans="1:20" ht="16.8" x14ac:dyDescent="0.4">
      <c r="B5" s="8" t="s">
        <v>165</v>
      </c>
      <c r="C5" s="5" t="s">
        <v>166</v>
      </c>
      <c r="D5" s="5"/>
      <c r="E5" s="254"/>
      <c r="F5" s="219"/>
      <c r="G5" s="219"/>
      <c r="H5" s="219"/>
      <c r="I5" s="219"/>
      <c r="J5" s="55"/>
      <c r="K5" s="55"/>
      <c r="L5" s="55"/>
      <c r="M5" s="55"/>
      <c r="N5" s="55"/>
      <c r="O5" s="55"/>
      <c r="P5" s="55"/>
      <c r="Q5" s="55"/>
      <c r="R5" s="55"/>
      <c r="T5" s="69"/>
    </row>
    <row r="6" spans="1:20" ht="16.8" x14ac:dyDescent="0.4">
      <c r="B6" s="5" t="s">
        <v>167</v>
      </c>
      <c r="C6" s="5" t="s">
        <v>168</v>
      </c>
      <c r="D6" s="5"/>
      <c r="E6" s="254">
        <v>3947</v>
      </c>
      <c r="F6" s="219">
        <v>3734</v>
      </c>
      <c r="G6" s="219">
        <v>4633</v>
      </c>
      <c r="H6" s="219">
        <v>5268</v>
      </c>
      <c r="I6" s="219">
        <v>6046</v>
      </c>
      <c r="J6" s="55"/>
      <c r="K6" s="55"/>
      <c r="L6" s="55"/>
      <c r="M6" s="55"/>
      <c r="N6" s="55"/>
      <c r="O6" s="55"/>
      <c r="P6" s="55"/>
      <c r="Q6" s="55"/>
      <c r="R6" s="55"/>
      <c r="T6" s="71">
        <f>(SUM(I6,-H6))/H6</f>
        <v>0.14768413059984814</v>
      </c>
    </row>
    <row r="7" spans="1:20" ht="16.8" x14ac:dyDescent="0.4">
      <c r="B7" s="5" t="s">
        <v>169</v>
      </c>
      <c r="C7" s="5" t="s">
        <v>170</v>
      </c>
      <c r="D7" s="5"/>
      <c r="E7" s="254">
        <v>785</v>
      </c>
      <c r="F7" s="219">
        <v>847</v>
      </c>
      <c r="G7" s="219">
        <v>957</v>
      </c>
      <c r="H7" s="219">
        <v>1003</v>
      </c>
      <c r="I7" s="219">
        <v>1076</v>
      </c>
      <c r="J7" s="55"/>
      <c r="K7" s="55"/>
      <c r="L7" s="55"/>
      <c r="M7" s="55"/>
      <c r="N7" s="55"/>
      <c r="O7" s="55"/>
      <c r="P7" s="55"/>
      <c r="Q7" s="55"/>
      <c r="R7" s="55"/>
      <c r="T7" s="71">
        <f>(SUM(I7,-H7))/H7</f>
        <v>7.278165503489531E-2</v>
      </c>
    </row>
    <row r="8" spans="1:20" ht="16.8" x14ac:dyDescent="0.4">
      <c r="B8" s="135" t="s">
        <v>401</v>
      </c>
      <c r="C8" s="150" t="s">
        <v>172</v>
      </c>
      <c r="D8" s="150"/>
      <c r="E8" s="255">
        <f>SUM(E6:E7)</f>
        <v>4732</v>
      </c>
      <c r="F8" s="256">
        <f>SUM(F6:F7)</f>
        <v>4581</v>
      </c>
      <c r="G8" s="256">
        <f>SUM(G6:G7)</f>
        <v>5590</v>
      </c>
      <c r="H8" s="256">
        <f>SUM(H6:H7)</f>
        <v>6271</v>
      </c>
      <c r="I8" s="256">
        <f>SUM(I6:I7)</f>
        <v>7122</v>
      </c>
      <c r="J8" s="55"/>
      <c r="K8" s="55"/>
      <c r="L8" s="55"/>
      <c r="M8" s="55"/>
      <c r="N8" s="55"/>
      <c r="O8" s="55"/>
      <c r="P8" s="55"/>
      <c r="Q8" s="55"/>
      <c r="R8" s="55"/>
      <c r="T8" s="71">
        <f>(SUM(I8,-H8))/H8</f>
        <v>0.13570403444426726</v>
      </c>
    </row>
    <row r="9" spans="1:20" ht="16.8" x14ac:dyDescent="0.4">
      <c r="B9" s="5" t="s">
        <v>173</v>
      </c>
      <c r="C9" s="5" t="s">
        <v>174</v>
      </c>
      <c r="D9" s="5"/>
      <c r="E9" s="254">
        <v>189</v>
      </c>
      <c r="F9" s="219">
        <v>279</v>
      </c>
      <c r="G9" s="219">
        <v>206</v>
      </c>
      <c r="H9" s="219">
        <v>223</v>
      </c>
      <c r="I9" s="219">
        <v>202</v>
      </c>
      <c r="J9" s="55"/>
      <c r="K9" s="55"/>
      <c r="L9" s="55"/>
      <c r="M9" s="55"/>
      <c r="N9" s="55"/>
      <c r="O9" s="55"/>
      <c r="P9" s="55"/>
      <c r="Q9" s="55"/>
      <c r="R9" s="55"/>
      <c r="T9" s="71">
        <f>(SUM(I9,-H9))/H9</f>
        <v>-9.417040358744394E-2</v>
      </c>
    </row>
    <row r="10" spans="1:20" ht="18.600000000000001" x14ac:dyDescent="0.55000000000000004">
      <c r="B10" s="134" t="s">
        <v>110</v>
      </c>
      <c r="C10" s="64" t="s">
        <v>175</v>
      </c>
      <c r="D10" s="64"/>
      <c r="E10" s="274">
        <f>SUM(E8:E9)</f>
        <v>4921</v>
      </c>
      <c r="F10" s="275">
        <f>SUM(F8:F9)</f>
        <v>4860</v>
      </c>
      <c r="G10" s="275">
        <f>SUM(G8:G9)</f>
        <v>5796</v>
      </c>
      <c r="H10" s="275">
        <f>SUM(H8:H9)</f>
        <v>6494</v>
      </c>
      <c r="I10" s="275">
        <f>SUM(I8:I9)</f>
        <v>7324</v>
      </c>
      <c r="J10" s="55"/>
      <c r="K10" s="55"/>
      <c r="L10" s="55"/>
      <c r="M10" s="55"/>
      <c r="N10" s="55"/>
      <c r="O10" s="55"/>
      <c r="P10" s="55"/>
      <c r="Q10" s="55"/>
      <c r="R10" s="55"/>
      <c r="T10" s="71">
        <f>(SUM(I10,-H10))/H10</f>
        <v>0.12781028641823222</v>
      </c>
    </row>
    <row r="11" spans="1:20" ht="16.8" x14ac:dyDescent="0.4">
      <c r="B11" s="8"/>
      <c r="C11" s="5"/>
      <c r="D11" s="5"/>
      <c r="E11" s="254"/>
      <c r="F11" s="219"/>
      <c r="G11" s="219"/>
      <c r="H11" s="217"/>
      <c r="I11" s="217"/>
      <c r="J11" s="55"/>
      <c r="K11" s="55"/>
      <c r="L11" s="55"/>
      <c r="M11" s="55"/>
      <c r="N11" s="55"/>
      <c r="O11" s="55"/>
      <c r="P11" s="55"/>
      <c r="Q11" s="55"/>
      <c r="R11" s="55"/>
      <c r="T11" s="71"/>
    </row>
    <row r="12" spans="1:20" ht="16.8" x14ac:dyDescent="0.4">
      <c r="B12" s="8" t="s">
        <v>362</v>
      </c>
      <c r="C12" s="5" t="s">
        <v>176</v>
      </c>
      <c r="D12" s="5"/>
      <c r="E12" s="254"/>
      <c r="F12" s="219"/>
      <c r="G12" s="219"/>
      <c r="H12" s="219"/>
      <c r="I12" s="219"/>
      <c r="J12" s="55"/>
      <c r="K12" s="55"/>
      <c r="L12" s="55"/>
      <c r="M12" s="55"/>
      <c r="N12" s="55"/>
      <c r="O12" s="55"/>
      <c r="P12" s="55"/>
      <c r="Q12" s="55"/>
      <c r="R12" s="55"/>
      <c r="T12" s="71"/>
    </row>
    <row r="13" spans="1:20" ht="16.8" x14ac:dyDescent="0.4">
      <c r="B13" s="5" t="s">
        <v>177</v>
      </c>
      <c r="C13" s="5" t="s">
        <v>178</v>
      </c>
      <c r="D13" s="5"/>
      <c r="E13" s="254">
        <v>2286</v>
      </c>
      <c r="F13" s="219">
        <v>2101</v>
      </c>
      <c r="G13" s="219">
        <v>2831</v>
      </c>
      <c r="H13" s="219">
        <v>3346</v>
      </c>
      <c r="I13" s="219">
        <v>4004</v>
      </c>
      <c r="J13" s="55"/>
      <c r="K13" s="55"/>
      <c r="L13" s="55"/>
      <c r="M13" s="55"/>
      <c r="N13" s="55"/>
      <c r="O13" s="55"/>
      <c r="P13" s="55"/>
      <c r="Q13" s="55"/>
      <c r="R13" s="55"/>
      <c r="T13" s="71">
        <f>(SUM(I13,-H13))/H13</f>
        <v>0.19665271966527198</v>
      </c>
    </row>
    <row r="14" spans="1:20" ht="16.8" x14ac:dyDescent="0.4">
      <c r="B14" s="5" t="s">
        <v>179</v>
      </c>
      <c r="C14" s="5" t="s">
        <v>180</v>
      </c>
      <c r="D14" s="5"/>
      <c r="E14" s="254">
        <v>706</v>
      </c>
      <c r="F14" s="219">
        <v>758</v>
      </c>
      <c r="G14" s="219">
        <v>850</v>
      </c>
      <c r="H14" s="219">
        <v>986</v>
      </c>
      <c r="I14" s="219">
        <v>1152</v>
      </c>
      <c r="J14" s="55"/>
      <c r="K14" s="55"/>
      <c r="L14" s="55"/>
      <c r="M14" s="55"/>
      <c r="N14" s="55"/>
      <c r="O14" s="55"/>
      <c r="P14" s="55"/>
      <c r="Q14" s="55"/>
      <c r="R14" s="55"/>
      <c r="T14" s="71">
        <f>(SUM(I14,-H14))/H14</f>
        <v>0.16835699797160245</v>
      </c>
    </row>
    <row r="15" spans="1:20" ht="16.8" x14ac:dyDescent="0.4">
      <c r="B15" s="14" t="s">
        <v>181</v>
      </c>
      <c r="C15" s="5" t="s">
        <v>182</v>
      </c>
      <c r="D15" s="5"/>
      <c r="E15" s="259">
        <f>SUM(E13:E14)</f>
        <v>2992</v>
      </c>
      <c r="F15" s="229">
        <f>SUM(F13:F14)</f>
        <v>2859</v>
      </c>
      <c r="G15" s="229">
        <f>SUM(G13:G14)</f>
        <v>3681</v>
      </c>
      <c r="H15" s="229">
        <f>SUM(H13:H14)</f>
        <v>4332</v>
      </c>
      <c r="I15" s="229">
        <f>SUM(I13:I14)</f>
        <v>5156</v>
      </c>
      <c r="J15" s="55"/>
      <c r="K15" s="55"/>
      <c r="L15" s="55"/>
      <c r="M15" s="55"/>
      <c r="N15" s="55"/>
      <c r="O15" s="55"/>
      <c r="P15" s="55"/>
      <c r="Q15" s="55"/>
      <c r="R15" s="55"/>
      <c r="T15" s="71">
        <f>(SUM(I15,-H15))/H15</f>
        <v>0.19021237303785779</v>
      </c>
    </row>
    <row r="16" spans="1:20" ht="16.8" x14ac:dyDescent="0.4">
      <c r="B16" s="5" t="s">
        <v>183</v>
      </c>
      <c r="C16" s="5" t="s">
        <v>184</v>
      </c>
      <c r="D16" s="5"/>
      <c r="E16" s="254">
        <v>252</v>
      </c>
      <c r="F16" s="219">
        <v>243</v>
      </c>
      <c r="G16" s="219">
        <v>281</v>
      </c>
      <c r="H16" s="219">
        <v>266</v>
      </c>
      <c r="I16" s="219">
        <v>234</v>
      </c>
      <c r="J16" s="55"/>
      <c r="K16" s="55"/>
      <c r="L16" s="55"/>
      <c r="M16" s="55"/>
      <c r="N16" s="55"/>
      <c r="O16" s="55"/>
      <c r="P16" s="55"/>
      <c r="Q16" s="55"/>
      <c r="R16" s="55"/>
      <c r="T16" s="71">
        <f>(SUM(I16,-H16))/H16</f>
        <v>-0.12030075187969924</v>
      </c>
    </row>
    <row r="17" spans="2:20" ht="16.8" x14ac:dyDescent="0.4">
      <c r="B17" s="134" t="s">
        <v>110</v>
      </c>
      <c r="C17" s="64" t="s">
        <v>185</v>
      </c>
      <c r="D17" s="64"/>
      <c r="E17" s="257">
        <f>SUM(E15:E16)</f>
        <v>3244</v>
      </c>
      <c r="F17" s="258">
        <f>SUM(F15:F16)</f>
        <v>3102</v>
      </c>
      <c r="G17" s="258">
        <f>SUM(G15:G16)</f>
        <v>3962</v>
      </c>
      <c r="H17" s="258">
        <f>SUM(H15:H16)</f>
        <v>4598</v>
      </c>
      <c r="I17" s="258">
        <f>SUM(I15:I16)</f>
        <v>5390</v>
      </c>
      <c r="J17" s="55"/>
      <c r="K17" s="55"/>
      <c r="L17" s="55"/>
      <c r="M17" s="55"/>
      <c r="N17" s="55"/>
      <c r="O17" s="55"/>
      <c r="P17" s="55"/>
      <c r="Q17" s="55"/>
      <c r="R17" s="55"/>
      <c r="T17" s="71">
        <f>(SUM(I17,-H17))/H17</f>
        <v>0.17224880382775121</v>
      </c>
    </row>
    <row r="18" spans="2:20" ht="16.8" x14ac:dyDescent="0.4">
      <c r="B18" s="8"/>
      <c r="C18" s="5"/>
      <c r="D18" s="5"/>
      <c r="E18" s="260"/>
      <c r="F18" s="261"/>
      <c r="G18" s="261"/>
      <c r="H18" s="261"/>
      <c r="I18" s="261"/>
      <c r="J18" s="55"/>
      <c r="K18" s="55"/>
      <c r="L18" s="55"/>
      <c r="M18" s="55"/>
      <c r="N18" s="55"/>
      <c r="O18" s="55"/>
      <c r="P18" s="55"/>
      <c r="Q18" s="55"/>
      <c r="R18" s="55"/>
      <c r="T18" s="71"/>
    </row>
    <row r="19" spans="2:20" ht="16.8" x14ac:dyDescent="0.4">
      <c r="B19" s="8" t="s">
        <v>363</v>
      </c>
      <c r="C19" s="5" t="s">
        <v>186</v>
      </c>
      <c r="D19" s="5"/>
      <c r="E19" s="254"/>
      <c r="F19" s="219"/>
      <c r="G19" s="219"/>
      <c r="H19" s="219"/>
      <c r="I19" s="219"/>
      <c r="J19" s="55"/>
      <c r="K19" s="55"/>
      <c r="L19" s="55"/>
      <c r="M19" s="55"/>
      <c r="N19" s="55"/>
      <c r="O19" s="55"/>
      <c r="P19" s="55"/>
      <c r="Q19" s="55"/>
      <c r="R19" s="55"/>
      <c r="T19" s="71">
        <f t="shared" ref="T19:T25" si="0">(SUM(I20,-H20))/H20</f>
        <v>6.6801619433198386E-2</v>
      </c>
    </row>
    <row r="20" spans="2:20" ht="16.8" x14ac:dyDescent="0.4">
      <c r="B20" s="5" t="s">
        <v>187</v>
      </c>
      <c r="C20" s="5" t="s">
        <v>188</v>
      </c>
      <c r="D20" s="5"/>
      <c r="E20" s="254">
        <v>441</v>
      </c>
      <c r="F20" s="219">
        <v>433</v>
      </c>
      <c r="G20" s="219">
        <v>471</v>
      </c>
      <c r="H20" s="219">
        <v>494</v>
      </c>
      <c r="I20" s="219">
        <v>527</v>
      </c>
      <c r="J20" s="55"/>
      <c r="K20" s="55"/>
      <c r="L20" s="55"/>
      <c r="M20" s="55"/>
      <c r="N20" s="55"/>
      <c r="O20" s="55"/>
      <c r="P20" s="55"/>
      <c r="Q20" s="55"/>
      <c r="R20" s="55"/>
      <c r="T20" s="71">
        <f t="shared" si="0"/>
        <v>3.4682080924855488E-2</v>
      </c>
    </row>
    <row r="21" spans="2:20" ht="16.8" x14ac:dyDescent="0.4">
      <c r="B21" s="5" t="s">
        <v>189</v>
      </c>
      <c r="C21" s="5" t="s">
        <v>190</v>
      </c>
      <c r="D21" s="5"/>
      <c r="E21" s="254">
        <v>163</v>
      </c>
      <c r="F21" s="219">
        <v>146</v>
      </c>
      <c r="G21" s="219">
        <v>160</v>
      </c>
      <c r="H21" s="219">
        <v>173</v>
      </c>
      <c r="I21" s="219">
        <v>179</v>
      </c>
      <c r="J21" s="55"/>
      <c r="K21" s="55"/>
      <c r="L21" s="55"/>
      <c r="M21" s="55"/>
      <c r="N21" s="55"/>
      <c r="O21" s="55"/>
      <c r="P21" s="55"/>
      <c r="Q21" s="55"/>
      <c r="R21" s="55"/>
      <c r="T21" s="71">
        <f t="shared" si="0"/>
        <v>0</v>
      </c>
    </row>
    <row r="22" spans="2:20" ht="16.8" x14ac:dyDescent="0.4">
      <c r="B22" s="5" t="s">
        <v>191</v>
      </c>
      <c r="C22" s="5" t="s">
        <v>191</v>
      </c>
      <c r="D22" s="5"/>
      <c r="E22" s="254">
        <v>25</v>
      </c>
      <c r="F22" s="219">
        <v>26</v>
      </c>
      <c r="G22" s="219">
        <v>29</v>
      </c>
      <c r="H22" s="219">
        <v>31</v>
      </c>
      <c r="I22" s="219">
        <v>31</v>
      </c>
      <c r="J22" s="55"/>
      <c r="K22" s="55"/>
      <c r="L22" s="55"/>
      <c r="M22" s="55"/>
      <c r="N22" s="55"/>
      <c r="O22" s="55"/>
      <c r="P22" s="55"/>
      <c r="Q22" s="55"/>
      <c r="R22" s="55"/>
      <c r="T22" s="71">
        <f t="shared" si="0"/>
        <v>0.27272727272727271</v>
      </c>
    </row>
    <row r="23" spans="2:20" ht="16.8" x14ac:dyDescent="0.4">
      <c r="B23" s="5" t="s">
        <v>192</v>
      </c>
      <c r="C23" s="5" t="s">
        <v>193</v>
      </c>
      <c r="D23" s="5"/>
      <c r="E23" s="254">
        <v>27</v>
      </c>
      <c r="F23" s="219">
        <v>36</v>
      </c>
      <c r="G23" s="219">
        <v>27</v>
      </c>
      <c r="H23" s="219">
        <v>33</v>
      </c>
      <c r="I23" s="219">
        <v>42</v>
      </c>
      <c r="J23" s="55"/>
      <c r="K23" s="55"/>
      <c r="L23" s="55"/>
      <c r="M23" s="55"/>
      <c r="N23" s="55"/>
      <c r="O23" s="55"/>
      <c r="P23" s="55"/>
      <c r="Q23" s="55"/>
      <c r="R23" s="55"/>
      <c r="T23" s="71">
        <f t="shared" si="0"/>
        <v>6.5663474692202461E-2</v>
      </c>
    </row>
    <row r="24" spans="2:20" ht="16.8" x14ac:dyDescent="0.4">
      <c r="B24" s="14" t="s">
        <v>194</v>
      </c>
      <c r="C24" s="5" t="s">
        <v>195</v>
      </c>
      <c r="D24" s="5"/>
      <c r="E24" s="259">
        <f>SUM(E20:E23)</f>
        <v>656</v>
      </c>
      <c r="F24" s="229">
        <f>SUM(F20:F23)</f>
        <v>641</v>
      </c>
      <c r="G24" s="229">
        <f>SUM(G20:G23)</f>
        <v>687</v>
      </c>
      <c r="H24" s="229">
        <f>SUM(H20:H23)</f>
        <v>731</v>
      </c>
      <c r="I24" s="229">
        <f>SUM(I20:I23)</f>
        <v>779</v>
      </c>
      <c r="J24" s="55"/>
      <c r="K24" s="55"/>
      <c r="L24" s="55"/>
      <c r="M24" s="55"/>
      <c r="N24" s="55"/>
      <c r="O24" s="55"/>
      <c r="P24" s="55"/>
      <c r="Q24" s="55"/>
      <c r="R24" s="55"/>
      <c r="T24" s="71">
        <f t="shared" si="0"/>
        <v>0.19696969696969696</v>
      </c>
    </row>
    <row r="25" spans="2:20" ht="16.8" x14ac:dyDescent="0.4">
      <c r="B25" s="5" t="s">
        <v>196</v>
      </c>
      <c r="C25" s="5" t="s">
        <v>197</v>
      </c>
      <c r="D25" s="5"/>
      <c r="E25" s="254">
        <v>-27</v>
      </c>
      <c r="F25" s="219">
        <v>-45</v>
      </c>
      <c r="G25" s="219">
        <v>-52</v>
      </c>
      <c r="H25" s="219">
        <v>-66</v>
      </c>
      <c r="I25" s="219">
        <v>-79</v>
      </c>
      <c r="J25" s="55"/>
      <c r="K25" s="55"/>
      <c r="L25" s="55"/>
      <c r="M25" s="55"/>
      <c r="N25" s="55"/>
      <c r="O25" s="55"/>
      <c r="P25" s="55"/>
      <c r="Q25" s="55"/>
      <c r="R25" s="55"/>
      <c r="T25" s="71">
        <f t="shared" si="0"/>
        <v>5.2631578947368418E-2</v>
      </c>
    </row>
    <row r="26" spans="2:20" ht="18.600000000000001" x14ac:dyDescent="0.55000000000000004">
      <c r="B26" s="134" t="s">
        <v>110</v>
      </c>
      <c r="C26" s="64" t="s">
        <v>195</v>
      </c>
      <c r="D26" s="64"/>
      <c r="E26" s="274">
        <f>SUM(E24:E25)</f>
        <v>629</v>
      </c>
      <c r="F26" s="275">
        <f>SUM(F24:F25)</f>
        <v>596</v>
      </c>
      <c r="G26" s="275">
        <f>SUM(G24:G25)</f>
        <v>635</v>
      </c>
      <c r="H26" s="275">
        <f>SUM(H24:H25)</f>
        <v>665</v>
      </c>
      <c r="I26" s="275">
        <f>SUM(I24:I25)</f>
        <v>700</v>
      </c>
      <c r="J26" s="55"/>
      <c r="K26" s="55"/>
      <c r="L26" s="55"/>
      <c r="M26" s="55"/>
      <c r="N26" s="55"/>
      <c r="O26" s="55"/>
      <c r="P26" s="55"/>
      <c r="Q26" s="55"/>
      <c r="R26" s="55"/>
      <c r="T26" s="71"/>
    </row>
    <row r="27" spans="2:20" ht="16.8" x14ac:dyDescent="0.4">
      <c r="B27" s="8"/>
      <c r="C27" s="5"/>
      <c r="D27" s="5"/>
      <c r="E27" s="254"/>
      <c r="F27" s="219"/>
      <c r="G27" s="219"/>
      <c r="H27" s="219"/>
      <c r="I27" s="219"/>
      <c r="J27" s="55"/>
      <c r="K27" s="55"/>
      <c r="L27" s="55"/>
      <c r="M27" s="55"/>
      <c r="N27" s="55"/>
      <c r="O27" s="55"/>
      <c r="P27" s="55"/>
      <c r="Q27" s="55"/>
      <c r="R27" s="55"/>
      <c r="T27" s="71">
        <f>(SUM(I28,-H28))/H28</f>
        <v>2.437043054427295E-3</v>
      </c>
    </row>
    <row r="28" spans="2:20" ht="16.8" x14ac:dyDescent="0.4">
      <c r="B28" s="15" t="s">
        <v>198</v>
      </c>
      <c r="C28" s="16" t="s">
        <v>199</v>
      </c>
      <c r="D28" s="16"/>
      <c r="E28" s="262">
        <f>SUM(E10,-E17,-E26)</f>
        <v>1048</v>
      </c>
      <c r="F28" s="230">
        <f>SUM(F10,-F17,-F26)</f>
        <v>1162</v>
      </c>
      <c r="G28" s="230">
        <f>SUM(G10,-G17,-G26)</f>
        <v>1199</v>
      </c>
      <c r="H28" s="230">
        <f>SUM(H10,-H17,-H26)</f>
        <v>1231</v>
      </c>
      <c r="I28" s="230">
        <f>SUM(I10,-I17,-I26)</f>
        <v>1234</v>
      </c>
      <c r="J28" s="55"/>
      <c r="K28" s="55"/>
      <c r="L28" s="55"/>
      <c r="M28" s="55"/>
      <c r="N28" s="55"/>
      <c r="O28" s="55"/>
      <c r="P28" s="55"/>
      <c r="Q28" s="55"/>
      <c r="R28" s="55"/>
      <c r="T28" s="71"/>
    </row>
    <row r="29" spans="2:20" ht="16.8" x14ac:dyDescent="0.4">
      <c r="B29" s="8"/>
      <c r="C29" s="5"/>
      <c r="D29" s="5"/>
      <c r="E29" s="254"/>
      <c r="F29" s="219"/>
      <c r="G29" s="219"/>
      <c r="H29" s="217"/>
      <c r="I29" s="217"/>
      <c r="J29" s="55"/>
      <c r="K29" s="55"/>
      <c r="L29" s="55"/>
      <c r="M29" s="55"/>
      <c r="N29" s="55"/>
      <c r="O29" s="55"/>
      <c r="P29" s="55"/>
      <c r="Q29" s="55"/>
      <c r="R29" s="55"/>
      <c r="T29" s="71"/>
    </row>
    <row r="30" spans="2:20" ht="16.8" x14ac:dyDescent="0.4">
      <c r="B30" s="26" t="s">
        <v>200</v>
      </c>
      <c r="C30" s="5" t="s">
        <v>201</v>
      </c>
      <c r="D30" s="5"/>
      <c r="E30" s="254"/>
      <c r="F30" s="219"/>
      <c r="G30" s="219"/>
      <c r="H30" s="217"/>
      <c r="I30" s="217"/>
      <c r="J30" s="55"/>
      <c r="K30" s="55"/>
      <c r="L30" s="55"/>
      <c r="M30" s="55"/>
      <c r="N30" s="55"/>
      <c r="O30" s="55"/>
      <c r="P30" s="55"/>
      <c r="Q30" s="55"/>
      <c r="R30" s="55"/>
      <c r="T30" s="71">
        <f t="shared" ref="T30:T36" si="1">(SUM(I31,-H31))/H31</f>
        <v>0.35164835164835168</v>
      </c>
    </row>
    <row r="31" spans="2:20" ht="16.8" x14ac:dyDescent="0.4">
      <c r="B31" s="5" t="s">
        <v>202</v>
      </c>
      <c r="C31" s="5" t="s">
        <v>203</v>
      </c>
      <c r="D31" s="5"/>
      <c r="E31" s="254">
        <v>54</v>
      </c>
      <c r="F31" s="219">
        <v>55</v>
      </c>
      <c r="G31" s="219">
        <v>72</v>
      </c>
      <c r="H31" s="219">
        <v>91</v>
      </c>
      <c r="I31" s="219">
        <v>123</v>
      </c>
      <c r="J31" s="55"/>
      <c r="K31" s="55"/>
      <c r="L31" s="55"/>
      <c r="M31" s="55"/>
      <c r="N31" s="55"/>
      <c r="O31" s="55"/>
      <c r="P31" s="55"/>
      <c r="Q31" s="55"/>
      <c r="R31" s="55"/>
      <c r="T31" s="71">
        <f t="shared" si="1"/>
        <v>1.8817204301075269E-2</v>
      </c>
    </row>
    <row r="32" spans="2:20" ht="16.8" x14ac:dyDescent="0.4">
      <c r="B32" s="5" t="s">
        <v>204</v>
      </c>
      <c r="C32" s="5" t="s">
        <v>205</v>
      </c>
      <c r="D32" s="5"/>
      <c r="E32" s="254">
        <v>341</v>
      </c>
      <c r="F32" s="219">
        <v>348</v>
      </c>
      <c r="G32" s="219">
        <v>338</v>
      </c>
      <c r="H32" s="219">
        <v>372</v>
      </c>
      <c r="I32" s="219">
        <v>379</v>
      </c>
      <c r="J32" s="55"/>
      <c r="K32" s="55"/>
      <c r="L32" s="55"/>
      <c r="M32" s="55"/>
      <c r="N32" s="55"/>
      <c r="O32" s="55"/>
      <c r="P32" s="55"/>
      <c r="Q32" s="55"/>
      <c r="R32" s="55"/>
      <c r="T32" s="71">
        <f t="shared" si="1"/>
        <v>-0.94374999999999998</v>
      </c>
    </row>
    <row r="33" spans="2:20" ht="16.8" x14ac:dyDescent="0.4">
      <c r="B33" s="5" t="s">
        <v>206</v>
      </c>
      <c r="C33" s="5" t="s">
        <v>207</v>
      </c>
      <c r="D33" s="5"/>
      <c r="E33" s="254">
        <v>359</v>
      </c>
      <c r="F33" s="219">
        <v>245</v>
      </c>
      <c r="G33" s="219">
        <v>34</v>
      </c>
      <c r="H33" s="219">
        <v>160</v>
      </c>
      <c r="I33" s="219">
        <v>9</v>
      </c>
      <c r="J33" s="55"/>
      <c r="K33" s="55"/>
      <c r="L33" s="55"/>
      <c r="M33" s="55"/>
      <c r="N33" s="55"/>
      <c r="O33" s="55"/>
      <c r="P33" s="55"/>
      <c r="Q33" s="55"/>
      <c r="R33" s="55"/>
      <c r="T33" s="71">
        <f t="shared" si="1"/>
        <v>-0.1797752808988764</v>
      </c>
    </row>
    <row r="34" spans="2:20" ht="16.8" x14ac:dyDescent="0.4">
      <c r="B34" s="135" t="s">
        <v>208</v>
      </c>
      <c r="C34" s="136" t="s">
        <v>209</v>
      </c>
      <c r="D34" s="136"/>
      <c r="E34" s="263">
        <f>SUM(E31:E33)</f>
        <v>754</v>
      </c>
      <c r="F34" s="264">
        <f>SUM(F31:F33)</f>
        <v>648</v>
      </c>
      <c r="G34" s="264">
        <f>SUM(G31:G33)</f>
        <v>444</v>
      </c>
      <c r="H34" s="264">
        <f>SUM(H31:H33)</f>
        <v>623</v>
      </c>
      <c r="I34" s="264">
        <f>SUM(I31:I33)</f>
        <v>511</v>
      </c>
      <c r="J34" s="55"/>
      <c r="K34" s="55"/>
      <c r="L34" s="55"/>
      <c r="M34" s="55"/>
      <c r="N34" s="55"/>
      <c r="O34" s="55"/>
      <c r="P34" s="55"/>
      <c r="Q34" s="55"/>
      <c r="R34" s="55"/>
      <c r="T34" s="71">
        <f t="shared" si="1"/>
        <v>-5.2</v>
      </c>
    </row>
    <row r="35" spans="2:20" ht="16.8" x14ac:dyDescent="0.4">
      <c r="B35" s="5" t="s">
        <v>210</v>
      </c>
      <c r="C35" s="5" t="s">
        <v>211</v>
      </c>
      <c r="D35" s="5"/>
      <c r="E35" s="254">
        <v>57</v>
      </c>
      <c r="F35" s="219">
        <v>50</v>
      </c>
      <c r="G35" s="219">
        <v>10</v>
      </c>
      <c r="H35" s="219">
        <v>-5</v>
      </c>
      <c r="I35" s="219">
        <v>21</v>
      </c>
      <c r="J35" s="55"/>
      <c r="K35" s="55"/>
      <c r="L35" s="55"/>
      <c r="M35" s="55"/>
      <c r="N35" s="55"/>
      <c r="O35" s="55"/>
      <c r="P35" s="55"/>
      <c r="Q35" s="55"/>
      <c r="R35" s="55"/>
      <c r="T35" s="71">
        <f t="shared" si="1"/>
        <v>-0.4</v>
      </c>
    </row>
    <row r="36" spans="2:20" ht="16.8" x14ac:dyDescent="0.4">
      <c r="B36" s="5" t="s">
        <v>212</v>
      </c>
      <c r="C36" s="5" t="s">
        <v>213</v>
      </c>
      <c r="D36" s="5"/>
      <c r="E36" s="254">
        <v>22</v>
      </c>
      <c r="F36" s="219">
        <v>21</v>
      </c>
      <c r="G36" s="219">
        <v>35</v>
      </c>
      <c r="H36" s="219">
        <v>25</v>
      </c>
      <c r="I36" s="219">
        <v>15</v>
      </c>
      <c r="J36" s="55"/>
      <c r="K36" s="55"/>
      <c r="L36" s="55"/>
      <c r="M36" s="55"/>
      <c r="N36" s="55"/>
      <c r="O36" s="55"/>
      <c r="P36" s="55"/>
      <c r="Q36" s="55"/>
      <c r="R36" s="55"/>
      <c r="T36" s="71">
        <f t="shared" si="1"/>
        <v>-0.14930015552099535</v>
      </c>
    </row>
    <row r="37" spans="2:20" ht="16.8" x14ac:dyDescent="0.4">
      <c r="B37" s="134" t="s">
        <v>110</v>
      </c>
      <c r="C37" s="64" t="s">
        <v>214</v>
      </c>
      <c r="D37" s="64"/>
      <c r="E37" s="257">
        <f>SUM(E34:E36)</f>
        <v>833</v>
      </c>
      <c r="F37" s="258">
        <f>SUM(F34:F36)</f>
        <v>719</v>
      </c>
      <c r="G37" s="258">
        <f>SUM(G34:G36)</f>
        <v>489</v>
      </c>
      <c r="H37" s="258">
        <f>SUM(H34:H36)</f>
        <v>643</v>
      </c>
      <c r="I37" s="258">
        <f>SUM(I34:I36)</f>
        <v>547</v>
      </c>
      <c r="J37" s="55"/>
      <c r="K37" s="55"/>
      <c r="L37" s="55"/>
      <c r="M37" s="55"/>
      <c r="N37" s="55"/>
      <c r="O37" s="55"/>
      <c r="P37" s="55"/>
      <c r="Q37" s="55"/>
      <c r="R37" s="55"/>
      <c r="T37" s="71"/>
    </row>
    <row r="38" spans="2:20" ht="16.8" x14ac:dyDescent="0.4">
      <c r="B38" s="8"/>
      <c r="C38" s="5"/>
      <c r="D38" s="5"/>
      <c r="E38" s="254"/>
      <c r="F38" s="219"/>
      <c r="G38" s="219"/>
      <c r="H38" s="217"/>
      <c r="I38" s="217"/>
      <c r="J38" s="55"/>
      <c r="K38" s="55"/>
      <c r="L38" s="55"/>
      <c r="M38" s="55"/>
      <c r="N38" s="55"/>
      <c r="O38" s="55"/>
      <c r="P38" s="55"/>
      <c r="Q38" s="55"/>
      <c r="R38" s="55"/>
      <c r="T38" s="71">
        <f>(SUM(I39,-H39))/H39</f>
        <v>0.1683673469387755</v>
      </c>
    </row>
    <row r="39" spans="2:20" ht="16.8" x14ac:dyDescent="0.4">
      <c r="B39" s="24" t="s">
        <v>215</v>
      </c>
      <c r="C39" s="25" t="s">
        <v>216</v>
      </c>
      <c r="D39" s="25"/>
      <c r="E39" s="265">
        <f>SUM(E28,-E37)</f>
        <v>215</v>
      </c>
      <c r="F39" s="231">
        <f>SUM(F28,-F37)</f>
        <v>443</v>
      </c>
      <c r="G39" s="231">
        <f>SUM(G28,-G37)</f>
        <v>710</v>
      </c>
      <c r="H39" s="231">
        <f>SUM(H28,-H37)</f>
        <v>588</v>
      </c>
      <c r="I39" s="231">
        <f>SUM(I28,-I37)</f>
        <v>687</v>
      </c>
      <c r="J39" s="55"/>
      <c r="K39" s="55"/>
      <c r="L39" s="55"/>
      <c r="M39" s="55"/>
      <c r="N39" s="55"/>
      <c r="O39" s="55"/>
      <c r="P39" s="55"/>
      <c r="Q39" s="55"/>
      <c r="R39" s="55"/>
      <c r="T39" s="71"/>
    </row>
    <row r="40" spans="2:20" ht="16.8" x14ac:dyDescent="0.4">
      <c r="B40" s="8"/>
      <c r="C40" s="5"/>
      <c r="D40" s="5"/>
      <c r="E40" s="254"/>
      <c r="F40" s="219"/>
      <c r="G40" s="219"/>
      <c r="H40" s="217"/>
      <c r="I40" s="217"/>
      <c r="J40" s="55"/>
      <c r="K40" s="55"/>
      <c r="L40" s="55"/>
      <c r="M40" s="55"/>
      <c r="N40" s="55"/>
      <c r="O40" s="55"/>
      <c r="P40" s="55"/>
      <c r="Q40" s="55"/>
      <c r="R40" s="55"/>
      <c r="T40" s="71">
        <f>(SUM(I41,-H41))/H41</f>
        <v>-0.7142857142857143</v>
      </c>
    </row>
    <row r="41" spans="2:20" ht="16.8" x14ac:dyDescent="0.4">
      <c r="B41" s="8" t="s">
        <v>217</v>
      </c>
      <c r="C41" s="5" t="s">
        <v>218</v>
      </c>
      <c r="D41" s="5"/>
      <c r="E41" s="254">
        <v>1</v>
      </c>
      <c r="F41" s="219">
        <v>52</v>
      </c>
      <c r="G41" s="219">
        <v>0</v>
      </c>
      <c r="H41" s="217">
        <v>14</v>
      </c>
      <c r="I41" s="217">
        <v>4</v>
      </c>
      <c r="J41" s="55"/>
      <c r="K41" s="55"/>
      <c r="L41" s="55"/>
      <c r="M41" s="55"/>
      <c r="N41" s="55"/>
      <c r="O41" s="55"/>
      <c r="P41" s="55"/>
      <c r="Q41" s="55"/>
      <c r="R41" s="55"/>
      <c r="T41" s="71"/>
    </row>
    <row r="42" spans="2:20" ht="16.8" x14ac:dyDescent="0.4">
      <c r="B42" s="8"/>
      <c r="C42" s="5"/>
      <c r="D42" s="5"/>
      <c r="E42" s="254"/>
      <c r="F42" s="219"/>
      <c r="G42" s="219"/>
      <c r="H42" s="217"/>
      <c r="I42" s="217"/>
      <c r="J42" s="55"/>
      <c r="K42" s="55"/>
      <c r="L42" s="55"/>
      <c r="M42" s="55"/>
      <c r="N42" s="55"/>
      <c r="O42" s="55"/>
      <c r="P42" s="55"/>
      <c r="Q42" s="55"/>
      <c r="R42" s="55"/>
      <c r="T42" s="71"/>
    </row>
    <row r="43" spans="2:20" ht="16.8" x14ac:dyDescent="0.4">
      <c r="B43" s="8" t="s">
        <v>219</v>
      </c>
      <c r="C43" s="5" t="s">
        <v>220</v>
      </c>
      <c r="D43" s="5"/>
      <c r="E43" s="254"/>
      <c r="F43" s="219"/>
      <c r="G43" s="219"/>
      <c r="H43" s="219"/>
      <c r="I43" s="219"/>
      <c r="J43" s="55"/>
      <c r="K43" s="55"/>
      <c r="L43" s="55"/>
      <c r="M43" s="55"/>
      <c r="N43" s="55"/>
      <c r="O43" s="55"/>
      <c r="P43" s="55"/>
      <c r="Q43" s="55"/>
      <c r="R43" s="55"/>
      <c r="T43" s="71"/>
    </row>
    <row r="44" spans="2:20" ht="16.8" x14ac:dyDescent="0.4">
      <c r="B44" s="212" t="s">
        <v>221</v>
      </c>
      <c r="C44" s="5" t="s">
        <v>222</v>
      </c>
      <c r="D44" s="5"/>
      <c r="E44" s="254"/>
      <c r="F44" s="219"/>
      <c r="G44" s="219"/>
      <c r="H44" s="219"/>
      <c r="I44" s="219"/>
      <c r="J44" s="55"/>
      <c r="K44" s="55"/>
      <c r="L44" s="55"/>
      <c r="M44" s="55"/>
      <c r="N44" s="55"/>
      <c r="O44" s="55"/>
      <c r="P44" s="55"/>
      <c r="Q44" s="55"/>
      <c r="R44" s="55"/>
      <c r="T44" s="71"/>
    </row>
    <row r="45" spans="2:20" ht="16.8" x14ac:dyDescent="0.4">
      <c r="B45" s="5" t="s">
        <v>223</v>
      </c>
      <c r="C45" s="5"/>
      <c r="D45" s="5"/>
      <c r="E45" s="254"/>
      <c r="F45" s="219"/>
      <c r="G45" s="219"/>
      <c r="H45" s="219">
        <v>0</v>
      </c>
      <c r="I45" s="219">
        <v>4</v>
      </c>
      <c r="J45" s="55"/>
      <c r="K45" s="55"/>
      <c r="L45" s="55"/>
      <c r="M45" s="55"/>
      <c r="N45" s="55"/>
      <c r="O45" s="55"/>
      <c r="P45" s="55"/>
      <c r="Q45" s="55"/>
      <c r="R45" s="55"/>
      <c r="T45" s="71">
        <f>(SUM(I46,-H46))/H46</f>
        <v>-0.25</v>
      </c>
    </row>
    <row r="46" spans="2:20" ht="16.8" x14ac:dyDescent="0.4">
      <c r="B46" s="5" t="s">
        <v>224</v>
      </c>
      <c r="C46" s="5"/>
      <c r="D46" s="5"/>
      <c r="E46" s="254"/>
      <c r="F46" s="219"/>
      <c r="G46" s="219"/>
      <c r="H46" s="219">
        <v>16</v>
      </c>
      <c r="I46" s="219">
        <v>12</v>
      </c>
      <c r="J46" s="55"/>
      <c r="K46" s="55"/>
      <c r="L46" s="55"/>
      <c r="M46" s="55"/>
      <c r="N46" s="55"/>
      <c r="O46" s="55"/>
      <c r="P46" s="55"/>
      <c r="Q46" s="55"/>
      <c r="R46" s="55"/>
      <c r="T46" s="71">
        <f>(SUM(I47,-H47))/H47</f>
        <v>0</v>
      </c>
    </row>
    <row r="47" spans="2:20" x14ac:dyDescent="0.3">
      <c r="B47" s="134" t="s">
        <v>110</v>
      </c>
      <c r="C47" s="132"/>
      <c r="D47" s="132"/>
      <c r="E47" s="257">
        <v>28</v>
      </c>
      <c r="F47" s="258">
        <v>34</v>
      </c>
      <c r="G47" s="258">
        <v>19</v>
      </c>
      <c r="H47" s="258">
        <f t="shared" ref="H47" si="2">SUM(H45:H46)</f>
        <v>16</v>
      </c>
      <c r="I47" s="258">
        <f>SUM(I45:I46)</f>
        <v>16</v>
      </c>
      <c r="J47" s="55"/>
      <c r="K47" s="55"/>
      <c r="L47" s="55"/>
      <c r="M47" s="55"/>
      <c r="N47" s="55"/>
      <c r="O47" s="55"/>
      <c r="P47" s="55"/>
      <c r="Q47" s="55"/>
      <c r="R47" s="55"/>
      <c r="T47" s="71"/>
    </row>
    <row r="48" spans="2:20" x14ac:dyDescent="0.3">
      <c r="B48" s="212" t="s">
        <v>226</v>
      </c>
      <c r="C48" s="5" t="s">
        <v>227</v>
      </c>
      <c r="D48" s="5"/>
      <c r="E48" s="254"/>
      <c r="F48" s="219"/>
      <c r="G48" s="219"/>
      <c r="H48" s="219"/>
      <c r="I48" s="219"/>
      <c r="J48" s="55">
        <f>SUM(E49:E50)</f>
        <v>140</v>
      </c>
      <c r="K48" s="55">
        <f>SUM(F49:F50)</f>
        <v>134</v>
      </c>
      <c r="L48" s="55">
        <f>SUM(G49:G50)</f>
        <v>113</v>
      </c>
      <c r="M48" s="55">
        <f>SUM(H49:H50)</f>
        <v>108</v>
      </c>
      <c r="N48" s="55">
        <f>SUM(I49:I50)</f>
        <v>98</v>
      </c>
      <c r="O48" s="55"/>
      <c r="P48" s="55"/>
      <c r="Q48" s="55"/>
      <c r="R48" s="55"/>
      <c r="T48" s="71">
        <f t="shared" ref="T48:T53" si="3">(SUM(I49,-H49))/H49</f>
        <v>-7.8431372549019607E-2</v>
      </c>
    </row>
    <row r="49" spans="2:20" x14ac:dyDescent="0.3">
      <c r="B49" s="5" t="s">
        <v>228</v>
      </c>
      <c r="C49" s="5" t="s">
        <v>229</v>
      </c>
      <c r="D49" s="5"/>
      <c r="E49" s="254">
        <v>125</v>
      </c>
      <c r="F49" s="219">
        <v>125</v>
      </c>
      <c r="G49" s="219">
        <v>104</v>
      </c>
      <c r="H49" s="219">
        <v>102</v>
      </c>
      <c r="I49" s="219">
        <v>94</v>
      </c>
      <c r="J49" s="55">
        <f>J48/'Balance sheet'!F119</f>
        <v>4.5322110715441892E-2</v>
      </c>
      <c r="K49" s="55">
        <f>K48/'Balance sheet'!G119</f>
        <v>3.8998835855646098E-2</v>
      </c>
      <c r="L49" s="55">
        <f>L48/'Balance sheet'!P109</f>
        <v>5973.3538461538456</v>
      </c>
      <c r="M49" s="55">
        <f>M48/'Balance sheet'!H119</f>
        <v>3.0848329048843187E-2</v>
      </c>
      <c r="N49" s="55">
        <f>N48/'Balance sheet'!Q109</f>
        <v>-663.6324951644101</v>
      </c>
      <c r="O49" s="55"/>
      <c r="P49" s="55"/>
      <c r="Q49" s="55"/>
      <c r="R49" s="55"/>
      <c r="T49" s="71">
        <f t="shared" si="3"/>
        <v>-0.33333333333333331</v>
      </c>
    </row>
    <row r="50" spans="2:20" x14ac:dyDescent="0.3">
      <c r="B50" s="5" t="s">
        <v>230</v>
      </c>
      <c r="C50" s="5" t="s">
        <v>231</v>
      </c>
      <c r="D50" s="5"/>
      <c r="E50" s="254">
        <v>15</v>
      </c>
      <c r="F50" s="219">
        <v>9</v>
      </c>
      <c r="G50" s="219">
        <v>9</v>
      </c>
      <c r="H50" s="219">
        <v>6</v>
      </c>
      <c r="I50" s="219">
        <v>4</v>
      </c>
      <c r="J50" s="55">
        <f>J49*(1-0.279)</f>
        <v>3.2677241825833606E-2</v>
      </c>
      <c r="K50" s="55"/>
      <c r="L50" s="55"/>
      <c r="M50" s="55"/>
      <c r="N50" s="55"/>
      <c r="O50" s="55"/>
      <c r="P50" s="55"/>
      <c r="Q50" s="55"/>
      <c r="R50" s="55"/>
      <c r="T50" s="71">
        <f t="shared" si="3"/>
        <v>-0.125</v>
      </c>
    </row>
    <row r="51" spans="2:20" x14ac:dyDescent="0.3">
      <c r="B51" s="5" t="s">
        <v>232</v>
      </c>
      <c r="C51" s="5" t="s">
        <v>233</v>
      </c>
      <c r="D51" s="5"/>
      <c r="E51" s="254">
        <v>5</v>
      </c>
      <c r="F51" s="219">
        <v>6</v>
      </c>
      <c r="G51" s="219">
        <v>8</v>
      </c>
      <c r="H51" s="219">
        <v>8</v>
      </c>
      <c r="I51" s="219">
        <v>7</v>
      </c>
      <c r="J51" s="55"/>
      <c r="K51" s="55"/>
      <c r="L51" s="55"/>
      <c r="M51" s="55"/>
      <c r="N51" s="55"/>
      <c r="O51" s="55"/>
      <c r="P51" s="55"/>
      <c r="Q51" s="55"/>
      <c r="R51" s="55"/>
      <c r="T51" s="71">
        <f t="shared" si="3"/>
        <v>-0.5</v>
      </c>
    </row>
    <row r="52" spans="2:20" x14ac:dyDescent="0.3">
      <c r="B52" s="5" t="s">
        <v>234</v>
      </c>
      <c r="C52" s="5" t="s">
        <v>235</v>
      </c>
      <c r="D52" s="5"/>
      <c r="E52" s="254">
        <v>0</v>
      </c>
      <c r="F52" s="219">
        <v>1</v>
      </c>
      <c r="G52" s="219">
        <v>2</v>
      </c>
      <c r="H52" s="219">
        <v>2</v>
      </c>
      <c r="I52" s="219">
        <v>1</v>
      </c>
      <c r="J52" s="55"/>
      <c r="K52" s="55"/>
      <c r="L52" s="55"/>
      <c r="M52" s="55"/>
      <c r="N52" s="55"/>
      <c r="O52" s="55"/>
      <c r="P52" s="55"/>
      <c r="Q52" s="55"/>
      <c r="R52" s="55"/>
      <c r="T52" s="71">
        <f t="shared" si="3"/>
        <v>0.7142857142857143</v>
      </c>
    </row>
    <row r="53" spans="2:20" x14ac:dyDescent="0.3">
      <c r="B53" s="5" t="s">
        <v>236</v>
      </c>
      <c r="C53" s="5" t="s">
        <v>237</v>
      </c>
      <c r="D53" s="5"/>
      <c r="E53" s="254">
        <v>17</v>
      </c>
      <c r="F53" s="219">
        <v>51</v>
      </c>
      <c r="G53" s="219">
        <v>35</v>
      </c>
      <c r="H53" s="219">
        <v>14</v>
      </c>
      <c r="I53" s="219">
        <v>24</v>
      </c>
      <c r="J53" s="55"/>
      <c r="K53" s="55"/>
      <c r="L53" s="55"/>
      <c r="M53" s="55"/>
      <c r="N53" s="55"/>
      <c r="O53" s="55"/>
      <c r="P53" s="55"/>
      <c r="Q53" s="55"/>
      <c r="R53" s="55"/>
      <c r="T53" s="71">
        <f t="shared" si="3"/>
        <v>-1.5151515151515152E-2</v>
      </c>
    </row>
    <row r="54" spans="2:20" x14ac:dyDescent="0.3">
      <c r="B54" s="137" t="s">
        <v>110</v>
      </c>
      <c r="C54" s="136" t="s">
        <v>239</v>
      </c>
      <c r="D54" s="136"/>
      <c r="E54" s="266">
        <v>162</v>
      </c>
      <c r="F54" s="267">
        <f>SUM(F49:F53)</f>
        <v>192</v>
      </c>
      <c r="G54" s="267">
        <f>SUM(G49:G53)</f>
        <v>158</v>
      </c>
      <c r="H54" s="267">
        <f>SUM(H49:H53)</f>
        <v>132</v>
      </c>
      <c r="I54" s="267">
        <f>SUM(I49:I53)</f>
        <v>130</v>
      </c>
      <c r="J54" s="55"/>
      <c r="K54" s="55"/>
      <c r="L54" s="55"/>
      <c r="M54" s="55"/>
      <c r="N54" s="55"/>
      <c r="O54" s="55"/>
      <c r="P54" s="55"/>
      <c r="Q54" s="55"/>
      <c r="R54" s="55"/>
      <c r="T54" s="71"/>
    </row>
    <row r="55" spans="2:20" x14ac:dyDescent="0.3">
      <c r="B55" s="5" t="s">
        <v>240</v>
      </c>
      <c r="C55" s="5" t="s">
        <v>241</v>
      </c>
      <c r="D55" s="5"/>
      <c r="E55" s="254">
        <v>0</v>
      </c>
      <c r="F55" s="219">
        <v>0</v>
      </c>
      <c r="G55" s="219">
        <v>0</v>
      </c>
      <c r="H55" s="219">
        <v>0</v>
      </c>
      <c r="I55" s="219">
        <v>0</v>
      </c>
      <c r="J55" s="55"/>
      <c r="K55" s="55"/>
      <c r="L55" s="55"/>
      <c r="M55" s="55"/>
      <c r="N55" s="55"/>
      <c r="O55" s="55"/>
      <c r="P55" s="55"/>
      <c r="Q55" s="55"/>
      <c r="R55" s="55"/>
      <c r="T55" s="71">
        <f>(SUM(I56,-H56))/H56</f>
        <v>-1.5151515151515152E-2</v>
      </c>
    </row>
    <row r="56" spans="2:20" x14ac:dyDescent="0.3">
      <c r="B56" s="134" t="s">
        <v>110</v>
      </c>
      <c r="C56" s="132" t="s">
        <v>243</v>
      </c>
      <c r="D56" s="132"/>
      <c r="E56" s="257">
        <f>SUM(E54:E55)</f>
        <v>162</v>
      </c>
      <c r="F56" s="258">
        <f>SUM(F54:F55)</f>
        <v>192</v>
      </c>
      <c r="G56" s="258">
        <f>SUM(G54:G55)</f>
        <v>158</v>
      </c>
      <c r="H56" s="258">
        <f>SUM(H54:H55)</f>
        <v>132</v>
      </c>
      <c r="I56" s="258">
        <f>SUM(I54:I55)</f>
        <v>130</v>
      </c>
      <c r="J56" s="55"/>
      <c r="K56" s="55"/>
      <c r="L56" s="55"/>
      <c r="M56" s="55"/>
      <c r="N56" s="55"/>
      <c r="O56" s="55"/>
      <c r="P56" s="55"/>
      <c r="Q56" s="55"/>
      <c r="R56" s="55"/>
      <c r="T56" s="71">
        <f>(SUM(I57,-H57))/H57</f>
        <v>0</v>
      </c>
    </row>
    <row r="57" spans="2:20" ht="24" customHeight="1" x14ac:dyDescent="0.3">
      <c r="B57" s="5" t="s">
        <v>244</v>
      </c>
      <c r="C57" s="128" t="s">
        <v>245</v>
      </c>
      <c r="D57" s="128"/>
      <c r="E57" s="254">
        <v>-4</v>
      </c>
      <c r="F57" s="219">
        <v>-3</v>
      </c>
      <c r="G57" s="219">
        <v>5</v>
      </c>
      <c r="H57" s="219">
        <v>4</v>
      </c>
      <c r="I57" s="219">
        <v>4</v>
      </c>
      <c r="J57" s="55"/>
      <c r="K57" s="55"/>
      <c r="L57" s="55"/>
      <c r="M57" s="55"/>
      <c r="N57" s="55"/>
      <c r="O57" s="55"/>
      <c r="P57" s="55"/>
      <c r="Q57" s="55"/>
      <c r="R57" s="55"/>
      <c r="T57" s="71"/>
    </row>
    <row r="58" spans="2:20" x14ac:dyDescent="0.3">
      <c r="B58" s="5" t="s">
        <v>246</v>
      </c>
      <c r="C58" s="5" t="s">
        <v>247</v>
      </c>
      <c r="D58" s="5"/>
      <c r="E58" s="254">
        <v>0</v>
      </c>
      <c r="F58" s="219">
        <v>0</v>
      </c>
      <c r="G58" s="219">
        <v>0</v>
      </c>
      <c r="H58" s="219">
        <v>0</v>
      </c>
      <c r="I58" s="219">
        <v>0</v>
      </c>
      <c r="J58" s="55"/>
      <c r="K58" s="55"/>
      <c r="L58" s="55"/>
      <c r="M58" s="55"/>
      <c r="N58" s="55"/>
      <c r="O58" s="55"/>
      <c r="P58" s="55"/>
      <c r="Q58" s="55"/>
      <c r="R58" s="55"/>
      <c r="T58" s="71">
        <f>(SUM(I59,-H59))/H59</f>
        <v>-1.7857142857142856E-2</v>
      </c>
    </row>
    <row r="59" spans="2:20" x14ac:dyDescent="0.3">
      <c r="B59" s="15" t="s">
        <v>248</v>
      </c>
      <c r="C59" s="16" t="s">
        <v>249</v>
      </c>
      <c r="D59" s="16"/>
      <c r="E59" s="262">
        <f>SUM(E47,-E56,E57)</f>
        <v>-138</v>
      </c>
      <c r="F59" s="230">
        <f>SUM(F47,-F56,F57)</f>
        <v>-161</v>
      </c>
      <c r="G59" s="230">
        <f>SUM(G47,-G56,G57)</f>
        <v>-134</v>
      </c>
      <c r="H59" s="230">
        <f>SUM(H47,-H56,H57)</f>
        <v>-112</v>
      </c>
      <c r="I59" s="230">
        <f>SUM(I47,-I56,I57)</f>
        <v>-110</v>
      </c>
      <c r="J59" s="55"/>
      <c r="K59" s="55"/>
      <c r="L59" s="55"/>
      <c r="M59" s="55"/>
      <c r="N59" s="55"/>
      <c r="O59" s="55"/>
      <c r="P59" s="55"/>
      <c r="Q59" s="55"/>
      <c r="R59" s="55"/>
      <c r="T59" s="71"/>
    </row>
    <row r="60" spans="2:20" x14ac:dyDescent="0.3">
      <c r="B60" s="8"/>
      <c r="C60" s="5"/>
      <c r="D60" s="5"/>
      <c r="E60" s="254"/>
      <c r="F60" s="219"/>
      <c r="G60" s="219"/>
      <c r="H60" s="217"/>
      <c r="I60" s="217"/>
      <c r="J60" s="55"/>
      <c r="K60" s="55"/>
      <c r="L60" s="55"/>
      <c r="M60" s="55"/>
      <c r="N60" s="55"/>
      <c r="O60" s="55"/>
      <c r="P60" s="55"/>
      <c r="Q60" s="55"/>
      <c r="R60" s="55"/>
      <c r="T60" s="71">
        <f>(SUM(I61,-H61))/H61</f>
        <v>0.18571428571428572</v>
      </c>
    </row>
    <row r="61" spans="2:20" x14ac:dyDescent="0.3">
      <c r="B61" s="24" t="s">
        <v>250</v>
      </c>
      <c r="C61" s="25" t="s">
        <v>251</v>
      </c>
      <c r="D61" s="25"/>
      <c r="E61" s="265">
        <f>SUM(E39,E41,E59)</f>
        <v>78</v>
      </c>
      <c r="F61" s="231">
        <f>SUM(F39,F41,F59)</f>
        <v>334</v>
      </c>
      <c r="G61" s="231">
        <f>SUM(G39,G41,G59)</f>
        <v>576</v>
      </c>
      <c r="H61" s="231">
        <f>SUM(H39,H41,H59)</f>
        <v>490</v>
      </c>
      <c r="I61" s="231">
        <f>SUM(I39,I41,I59)</f>
        <v>581</v>
      </c>
      <c r="J61" s="55"/>
      <c r="K61" s="55"/>
      <c r="L61" s="55"/>
      <c r="M61" s="55"/>
      <c r="N61" s="55"/>
      <c r="O61" s="55"/>
      <c r="P61" s="55"/>
      <c r="Q61" s="55"/>
      <c r="R61" s="55"/>
      <c r="T61" s="71"/>
    </row>
    <row r="62" spans="2:20" x14ac:dyDescent="0.3">
      <c r="B62" s="8"/>
      <c r="C62" s="5"/>
      <c r="D62" s="5"/>
      <c r="E62" s="254"/>
      <c r="F62" s="219"/>
      <c r="G62" s="219"/>
      <c r="H62" s="217"/>
      <c r="I62" s="217"/>
      <c r="J62" s="55"/>
      <c r="K62" s="55"/>
      <c r="L62" s="55"/>
      <c r="M62" s="55"/>
      <c r="N62" s="55"/>
      <c r="O62" s="55"/>
      <c r="P62" s="55"/>
      <c r="Q62" s="55"/>
      <c r="R62" s="55"/>
      <c r="T62" s="71"/>
    </row>
    <row r="63" spans="2:20" x14ac:dyDescent="0.3">
      <c r="B63" s="8" t="s">
        <v>252</v>
      </c>
      <c r="C63" s="5" t="s">
        <v>253</v>
      </c>
      <c r="D63" s="5"/>
      <c r="E63" s="254"/>
      <c r="F63" s="219"/>
      <c r="G63" s="219"/>
      <c r="H63" s="217"/>
      <c r="I63" s="217"/>
      <c r="J63" s="55"/>
      <c r="K63" s="55"/>
      <c r="L63" s="55"/>
      <c r="M63" s="55"/>
      <c r="N63" s="55"/>
      <c r="O63" s="55"/>
      <c r="P63" s="55"/>
      <c r="Q63" s="55"/>
      <c r="R63" s="55"/>
      <c r="T63" s="71">
        <f t="shared" ref="T63:T71" si="4">(SUM(I64,-H64))/H64</f>
        <v>6.8493150684931503E-3</v>
      </c>
    </row>
    <row r="64" spans="2:20" x14ac:dyDescent="0.3">
      <c r="B64" s="5" t="s">
        <v>254</v>
      </c>
      <c r="C64" s="5" t="s">
        <v>255</v>
      </c>
      <c r="D64" s="5"/>
      <c r="E64" s="254">
        <v>105</v>
      </c>
      <c r="F64" s="219">
        <v>138</v>
      </c>
      <c r="G64" s="219">
        <v>107</v>
      </c>
      <c r="H64" s="219">
        <v>146</v>
      </c>
      <c r="I64" s="219">
        <v>147</v>
      </c>
      <c r="J64" s="55"/>
      <c r="K64" s="55"/>
      <c r="L64" s="55"/>
      <c r="M64" s="55"/>
      <c r="N64" s="55"/>
      <c r="O64" s="55"/>
      <c r="P64" s="55"/>
      <c r="Q64" s="55"/>
      <c r="R64" s="55"/>
      <c r="T64" s="71">
        <f t="shared" si="4"/>
        <v>0</v>
      </c>
    </row>
    <row r="65" spans="2:20" x14ac:dyDescent="0.3">
      <c r="B65" s="5" t="s">
        <v>256</v>
      </c>
      <c r="C65" s="5" t="s">
        <v>257</v>
      </c>
      <c r="D65" s="5"/>
      <c r="E65" s="254">
        <v>23</v>
      </c>
      <c r="F65" s="219">
        <v>25</v>
      </c>
      <c r="G65" s="219">
        <v>26</v>
      </c>
      <c r="H65" s="219">
        <v>30</v>
      </c>
      <c r="I65" s="219">
        <v>30</v>
      </c>
      <c r="J65" s="55"/>
      <c r="K65" s="55"/>
      <c r="L65" s="55"/>
      <c r="M65" s="55"/>
      <c r="N65" s="55"/>
      <c r="O65" s="55"/>
      <c r="P65" s="55"/>
      <c r="Q65" s="55"/>
      <c r="R65" s="55"/>
      <c r="T65" s="71">
        <f t="shared" si="4"/>
        <v>1.5</v>
      </c>
    </row>
    <row r="66" spans="2:20" x14ac:dyDescent="0.3">
      <c r="B66" s="5" t="s">
        <v>258</v>
      </c>
      <c r="C66" s="5" t="s">
        <v>259</v>
      </c>
      <c r="D66" s="5"/>
      <c r="E66" s="254">
        <v>-17</v>
      </c>
      <c r="F66" s="219">
        <v>4</v>
      </c>
      <c r="G66" s="219">
        <v>-1</v>
      </c>
      <c r="H66" s="219">
        <v>2</v>
      </c>
      <c r="I66" s="219">
        <v>5</v>
      </c>
      <c r="J66" s="55"/>
      <c r="K66" s="55"/>
      <c r="L66" s="55"/>
      <c r="M66" s="55"/>
      <c r="N66" s="55"/>
      <c r="O66" s="55"/>
      <c r="P66" s="55"/>
      <c r="Q66" s="55"/>
      <c r="R66" s="55"/>
      <c r="T66" s="71">
        <f t="shared" si="4"/>
        <v>2.247191011235955E-2</v>
      </c>
    </row>
    <row r="67" spans="2:20" x14ac:dyDescent="0.3">
      <c r="B67" s="133" t="s">
        <v>260</v>
      </c>
      <c r="C67" s="64" t="s">
        <v>261</v>
      </c>
      <c r="D67" s="64"/>
      <c r="E67" s="268">
        <f>SUM(E64:E66)</f>
        <v>111</v>
      </c>
      <c r="F67" s="269">
        <f>SUM(F64:F66)</f>
        <v>167</v>
      </c>
      <c r="G67" s="269">
        <f>SUM(G64:G66)</f>
        <v>132</v>
      </c>
      <c r="H67" s="269">
        <f>SUM(H64:H66)</f>
        <v>178</v>
      </c>
      <c r="I67" s="269">
        <f>SUM(I64:I66)</f>
        <v>182</v>
      </c>
      <c r="J67" s="55"/>
      <c r="K67" s="55"/>
      <c r="L67" s="55"/>
      <c r="M67" s="55"/>
      <c r="N67" s="55"/>
      <c r="O67" s="55"/>
      <c r="P67" s="55"/>
      <c r="Q67" s="55"/>
      <c r="R67" s="55"/>
      <c r="T67" s="71">
        <f t="shared" si="4"/>
        <v>1.1515151515151516</v>
      </c>
    </row>
    <row r="68" spans="2:20" x14ac:dyDescent="0.3">
      <c r="B68" s="5" t="s">
        <v>33</v>
      </c>
      <c r="C68" s="5" t="s">
        <v>262</v>
      </c>
      <c r="D68" s="5"/>
      <c r="E68" s="254">
        <v>142</v>
      </c>
      <c r="F68" s="219">
        <v>44</v>
      </c>
      <c r="G68" s="219">
        <v>88</v>
      </c>
      <c r="H68" s="219">
        <v>33</v>
      </c>
      <c r="I68" s="219">
        <v>71</v>
      </c>
      <c r="J68" s="55"/>
      <c r="K68" s="55"/>
      <c r="L68" s="55"/>
      <c r="M68" s="55"/>
      <c r="N68" s="55"/>
      <c r="O68" s="55"/>
      <c r="P68" s="55"/>
      <c r="Q68" s="55"/>
      <c r="R68" s="55"/>
      <c r="T68" s="71">
        <f t="shared" si="4"/>
        <v>0.18518518518518517</v>
      </c>
    </row>
    <row r="69" spans="2:20" x14ac:dyDescent="0.3">
      <c r="B69" s="5" t="s">
        <v>263</v>
      </c>
      <c r="C69" s="5" t="s">
        <v>264</v>
      </c>
      <c r="D69" s="5"/>
      <c r="E69" s="254">
        <v>-120</v>
      </c>
      <c r="F69" s="219">
        <v>-89</v>
      </c>
      <c r="G69" s="219">
        <v>-28</v>
      </c>
      <c r="H69" s="219">
        <v>-54</v>
      </c>
      <c r="I69" s="219">
        <v>-64</v>
      </c>
      <c r="J69" s="55"/>
      <c r="K69" s="55"/>
      <c r="L69" s="55"/>
      <c r="M69" s="55"/>
      <c r="N69" s="55"/>
      <c r="O69" s="55"/>
      <c r="P69" s="55"/>
      <c r="Q69" s="55"/>
      <c r="R69" s="55"/>
      <c r="T69" s="71">
        <f t="shared" si="4"/>
        <v>0.20382165605095542</v>
      </c>
    </row>
    <row r="70" spans="2:20" x14ac:dyDescent="0.3">
      <c r="B70" s="138" t="s">
        <v>265</v>
      </c>
      <c r="C70" s="139" t="s">
        <v>266</v>
      </c>
      <c r="D70" s="139"/>
      <c r="E70" s="270">
        <f>SUM(E67:E69)</f>
        <v>133</v>
      </c>
      <c r="F70" s="271">
        <f>SUM(F67:F69)</f>
        <v>122</v>
      </c>
      <c r="G70" s="271">
        <f>SUM(G67:G69)</f>
        <v>192</v>
      </c>
      <c r="H70" s="271">
        <f>SUM(H67:H69)</f>
        <v>157</v>
      </c>
      <c r="I70" s="271">
        <f>SUM(I67:I69)</f>
        <v>189</v>
      </c>
      <c r="J70" s="55"/>
      <c r="K70" s="55"/>
      <c r="L70" s="55"/>
      <c r="M70" s="55"/>
      <c r="N70" s="55"/>
      <c r="O70" s="55"/>
      <c r="P70" s="55"/>
      <c r="Q70" s="55"/>
      <c r="R70" s="55"/>
      <c r="T70" s="71">
        <f t="shared" si="4"/>
        <v>0.17717717717717718</v>
      </c>
    </row>
    <row r="71" spans="2:20" x14ac:dyDescent="0.3">
      <c r="B71" s="8" t="s">
        <v>267</v>
      </c>
      <c r="C71" s="5" t="s">
        <v>268</v>
      </c>
      <c r="D71" s="5"/>
      <c r="E71" s="272">
        <f>SUM(E61,-E70)</f>
        <v>-55</v>
      </c>
      <c r="F71" s="217">
        <f>SUM(F61,-F70)</f>
        <v>212</v>
      </c>
      <c r="G71" s="217">
        <f>SUM(G61,-G70)</f>
        <v>384</v>
      </c>
      <c r="H71" s="217">
        <f>SUM(H61,-H70)</f>
        <v>333</v>
      </c>
      <c r="I71" s="217">
        <f>SUM(I61,-I70)</f>
        <v>392</v>
      </c>
      <c r="J71" s="55"/>
      <c r="K71" s="55"/>
      <c r="L71" s="55"/>
      <c r="M71" s="55"/>
      <c r="N71" s="55"/>
      <c r="O71" s="55"/>
      <c r="P71" s="55"/>
      <c r="Q71" s="55"/>
      <c r="R71" s="55"/>
      <c r="T71" s="71">
        <f t="shared" si="4"/>
        <v>-0.95238095238095233</v>
      </c>
    </row>
    <row r="72" spans="2:20" x14ac:dyDescent="0.3">
      <c r="B72" s="8" t="s">
        <v>269</v>
      </c>
      <c r="C72" s="5" t="s">
        <v>270</v>
      </c>
      <c r="D72" s="5"/>
      <c r="E72" s="254">
        <v>0</v>
      </c>
      <c r="F72" s="219">
        <v>19</v>
      </c>
      <c r="G72" s="219">
        <v>-85</v>
      </c>
      <c r="H72" s="217">
        <v>21</v>
      </c>
      <c r="I72" s="217">
        <v>1</v>
      </c>
      <c r="J72" s="55"/>
      <c r="K72" s="55"/>
      <c r="L72" s="55"/>
      <c r="M72" s="55"/>
      <c r="N72" s="55"/>
      <c r="O72" s="55"/>
      <c r="P72" s="55"/>
      <c r="Q72" s="55"/>
      <c r="R72" s="55"/>
      <c r="T72" s="71"/>
    </row>
    <row r="73" spans="2:20" x14ac:dyDescent="0.3">
      <c r="B73" s="8"/>
      <c r="C73" s="5"/>
      <c r="D73" s="5"/>
      <c r="E73" s="254"/>
      <c r="F73" s="219"/>
      <c r="G73" s="219"/>
      <c r="H73" s="217"/>
      <c r="I73" s="217"/>
      <c r="J73" s="55"/>
      <c r="K73" s="55"/>
      <c r="L73" s="55"/>
      <c r="M73" s="55"/>
      <c r="N73" s="55"/>
      <c r="O73" s="55"/>
      <c r="P73" s="55"/>
      <c r="Q73" s="55"/>
      <c r="R73" s="55"/>
      <c r="T73" s="71">
        <f>(SUM(I74,-H74))/H74</f>
        <v>0.11016949152542373</v>
      </c>
    </row>
    <row r="74" spans="2:20" x14ac:dyDescent="0.3">
      <c r="B74" s="15" t="s">
        <v>271</v>
      </c>
      <c r="C74" s="16" t="s">
        <v>272</v>
      </c>
      <c r="D74" s="16"/>
      <c r="E74" s="262">
        <f>SUM(E71:E72)</f>
        <v>-55</v>
      </c>
      <c r="F74" s="230">
        <f>SUM(F71:F72)</f>
        <v>231</v>
      </c>
      <c r="G74" s="230">
        <f>SUM(G71:G72)</f>
        <v>299</v>
      </c>
      <c r="H74" s="230">
        <f>SUM(H71:H72)</f>
        <v>354</v>
      </c>
      <c r="I74" s="230">
        <f>SUM(I71:I72)</f>
        <v>393</v>
      </c>
      <c r="J74" s="55"/>
      <c r="K74" s="55"/>
      <c r="L74" s="55"/>
      <c r="M74" s="55"/>
      <c r="N74" s="55"/>
      <c r="O74" s="55"/>
      <c r="P74" s="55"/>
      <c r="Q74" s="55"/>
      <c r="R74" s="55"/>
      <c r="T74" s="71"/>
    </row>
    <row r="75" spans="2:20" x14ac:dyDescent="0.3">
      <c r="B75" s="5" t="s">
        <v>273</v>
      </c>
      <c r="C75" s="5" t="s">
        <v>274</v>
      </c>
      <c r="D75" s="5"/>
      <c r="E75" s="254">
        <v>130</v>
      </c>
      <c r="F75" s="219">
        <v>1</v>
      </c>
      <c r="G75" s="219">
        <v>-6</v>
      </c>
      <c r="H75" s="219">
        <v>-10</v>
      </c>
      <c r="I75" s="219">
        <v>-4</v>
      </c>
      <c r="J75" s="55"/>
      <c r="K75" s="55"/>
      <c r="L75" s="55"/>
      <c r="M75" s="55"/>
      <c r="N75" s="55"/>
      <c r="O75" s="55"/>
      <c r="P75" s="55"/>
      <c r="Q75" s="55"/>
      <c r="R75" s="55"/>
      <c r="T75" s="71"/>
    </row>
    <row r="76" spans="2:20" ht="15" thickBot="1" x14ac:dyDescent="0.35">
      <c r="B76" s="5"/>
      <c r="C76" s="5"/>
      <c r="D76" s="5"/>
      <c r="E76" s="254"/>
      <c r="F76" s="219"/>
      <c r="G76" s="219"/>
      <c r="H76" s="219"/>
      <c r="I76" s="219"/>
      <c r="J76" s="55"/>
      <c r="K76" s="55"/>
      <c r="L76" s="55"/>
      <c r="M76" s="55"/>
      <c r="N76" s="55"/>
      <c r="O76" s="55"/>
      <c r="P76" s="55"/>
      <c r="Q76" s="55"/>
      <c r="R76" s="55"/>
      <c r="T76" s="74">
        <f>(SUM(I77,-H77))/H77</f>
        <v>0.1308139534883721</v>
      </c>
    </row>
    <row r="77" spans="2:20" x14ac:dyDescent="0.3">
      <c r="B77" s="24" t="s">
        <v>275</v>
      </c>
      <c r="C77" s="25" t="s">
        <v>276</v>
      </c>
      <c r="D77" s="25"/>
      <c r="E77" s="273">
        <v>73</v>
      </c>
      <c r="F77" s="221">
        <v>232</v>
      </c>
      <c r="G77" s="221">
        <v>293</v>
      </c>
      <c r="H77" s="231">
        <f t="shared" ref="H77" si="5">SUM(H74:H75)</f>
        <v>344</v>
      </c>
      <c r="I77" s="231">
        <f>SUM(I74:I75)</f>
        <v>389</v>
      </c>
      <c r="J77" s="55"/>
      <c r="K77" s="55"/>
      <c r="L77" s="55"/>
      <c r="M77" s="122"/>
      <c r="N77" s="55"/>
      <c r="O77" s="55"/>
      <c r="P77" s="55"/>
      <c r="Q77" s="55"/>
      <c r="R77" s="55"/>
    </row>
    <row r="78" spans="2:20" x14ac:dyDescent="0.3">
      <c r="B78" s="122"/>
      <c r="C78" s="55"/>
      <c r="D78" s="55"/>
      <c r="E78" s="55"/>
      <c r="F78" s="55"/>
      <c r="G78" s="55"/>
      <c r="H78" s="55"/>
      <c r="I78" s="55"/>
      <c r="M78" s="100"/>
    </row>
    <row r="79" spans="2:20" ht="15" thickBot="1" x14ac:dyDescent="0.35">
      <c r="B79" s="120" t="s">
        <v>277</v>
      </c>
      <c r="C79" s="121" t="s">
        <v>278</v>
      </c>
      <c r="D79" s="55"/>
      <c r="H79" s="75"/>
      <c r="I79" s="75"/>
      <c r="M79" s="70"/>
    </row>
    <row r="80" spans="2:20" x14ac:dyDescent="0.3">
      <c r="B80" s="77" t="s">
        <v>279</v>
      </c>
      <c r="C80" s="78" t="s">
        <v>280</v>
      </c>
      <c r="D80" s="123"/>
      <c r="E80" s="76"/>
      <c r="F80" s="69"/>
      <c r="G80" s="69"/>
      <c r="H80" s="69"/>
      <c r="I80" s="69"/>
      <c r="M80" s="70"/>
    </row>
    <row r="81" spans="2:13" x14ac:dyDescent="0.3">
      <c r="B81" s="77" t="s">
        <v>281</v>
      </c>
      <c r="C81" s="78" t="s">
        <v>282</v>
      </c>
      <c r="D81" s="124"/>
      <c r="E81" s="73"/>
      <c r="F81" s="70">
        <v>7.4499999999999997E-2</v>
      </c>
      <c r="G81" s="70">
        <v>9.4399999999999998E-2</v>
      </c>
      <c r="H81" s="70">
        <v>0.1106</v>
      </c>
      <c r="I81" s="70">
        <v>0.1249</v>
      </c>
      <c r="M81" s="70"/>
    </row>
    <row r="82" spans="2:13" x14ac:dyDescent="0.3">
      <c r="B82" s="77" t="s">
        <v>283</v>
      </c>
      <c r="C82" s="78" t="s">
        <v>284</v>
      </c>
      <c r="D82" s="124"/>
      <c r="E82" s="73"/>
      <c r="F82" s="70">
        <v>6.8400000000000002E-2</v>
      </c>
      <c r="G82" s="70">
        <v>0.1215</v>
      </c>
      <c r="H82" s="70">
        <v>0.104</v>
      </c>
      <c r="I82" s="70">
        <v>0.12470000000000001</v>
      </c>
      <c r="M82" s="70"/>
    </row>
    <row r="83" spans="2:13" x14ac:dyDescent="0.3">
      <c r="B83" s="77" t="s">
        <v>285</v>
      </c>
      <c r="C83" s="78" t="s">
        <v>286</v>
      </c>
      <c r="D83" s="124"/>
      <c r="E83" s="73"/>
      <c r="F83" s="70">
        <v>6.1999999999999998E-3</v>
      </c>
      <c r="G83" s="70">
        <v>-2.7099999999999999E-2</v>
      </c>
      <c r="H83" s="70">
        <v>6.6E-3</v>
      </c>
      <c r="I83" s="70">
        <v>2.0000000000000001E-4</v>
      </c>
      <c r="M83" s="70"/>
    </row>
    <row r="84" spans="2:13" ht="15" thickBot="1" x14ac:dyDescent="0.35">
      <c r="B84" s="77" t="s">
        <v>287</v>
      </c>
      <c r="C84" s="78" t="s">
        <v>288</v>
      </c>
      <c r="D84" s="124"/>
      <c r="E84" s="73"/>
      <c r="F84" s="70">
        <v>7.4499999999999997E-2</v>
      </c>
      <c r="G84" s="70">
        <v>9.4399999999999998E-2</v>
      </c>
      <c r="H84" s="70">
        <v>0.1106</v>
      </c>
      <c r="I84" s="70">
        <v>0.1249</v>
      </c>
      <c r="M84" s="81"/>
    </row>
    <row r="85" spans="2:13" ht="15" thickBot="1" x14ac:dyDescent="0.35">
      <c r="B85" s="79" t="s">
        <v>289</v>
      </c>
      <c r="C85" s="80" t="s">
        <v>290</v>
      </c>
      <c r="D85" s="125"/>
      <c r="E85" s="73"/>
      <c r="F85" s="70">
        <v>6.8400000000000002E-2</v>
      </c>
      <c r="G85" s="70">
        <v>0.1215</v>
      </c>
      <c r="H85" s="70">
        <v>0.104</v>
      </c>
      <c r="I85" s="70">
        <v>0.12470000000000001</v>
      </c>
    </row>
    <row r="86" spans="2:13" ht="15" thickBot="1" x14ac:dyDescent="0.35">
      <c r="E86" s="82"/>
      <c r="F86" s="81">
        <v>6.1999999999999998E-3</v>
      </c>
      <c r="G86" s="81">
        <v>-2.7099999999999999E-2</v>
      </c>
      <c r="H86" s="81">
        <v>6.6E-3</v>
      </c>
      <c r="I86" s="81">
        <v>2E-3</v>
      </c>
    </row>
    <row r="87" spans="2:13" ht="15" thickBot="1" x14ac:dyDescent="0.35">
      <c r="M87" s="84"/>
    </row>
    <row r="88" spans="2:13" ht="15" thickBot="1" x14ac:dyDescent="0.35">
      <c r="B88" s="83" t="s">
        <v>291</v>
      </c>
      <c r="C88" s="84"/>
      <c r="D88" s="126"/>
      <c r="M88" s="88"/>
    </row>
    <row r="89" spans="2:13" x14ac:dyDescent="0.3">
      <c r="B89" s="87" t="s">
        <v>297</v>
      </c>
      <c r="E89" s="76" t="s">
        <v>296</v>
      </c>
      <c r="F89" s="86" t="s">
        <v>295</v>
      </c>
      <c r="G89" s="86" t="s">
        <v>294</v>
      </c>
      <c r="H89" s="86" t="s">
        <v>293</v>
      </c>
      <c r="I89" s="85" t="s">
        <v>292</v>
      </c>
      <c r="M89" s="89"/>
    </row>
    <row r="90" spans="2:13" x14ac:dyDescent="0.3">
      <c r="B90" s="87" t="s">
        <v>298</v>
      </c>
      <c r="E90" s="73">
        <v>4.1000000000000002E-2</v>
      </c>
      <c r="F90" s="72">
        <v>4.9200000000000001E-2</v>
      </c>
      <c r="G90" s="72">
        <v>5.7799999999999997E-2</v>
      </c>
      <c r="H90" s="72">
        <v>7.0000000000000007E-2</v>
      </c>
      <c r="I90" s="72">
        <v>7.7499999999999999E-2</v>
      </c>
      <c r="M90" s="90"/>
    </row>
    <row r="91" spans="2:13" ht="15" thickBot="1" x14ac:dyDescent="0.35">
      <c r="B91" s="87" t="s">
        <v>299</v>
      </c>
      <c r="E91" s="89">
        <f>PRODUCT(E90,E97)</f>
        <v>127.346</v>
      </c>
      <c r="F91" s="89">
        <f>PRODUCT(F90,F97)</f>
        <v>152.9718457152</v>
      </c>
      <c r="G91" s="89">
        <f>PRODUCT(G90,G97)</f>
        <v>179.71082687679998</v>
      </c>
      <c r="H91" s="89">
        <f>PRODUCT(H90,H97)</f>
        <v>217.64286992000004</v>
      </c>
      <c r="I91" s="89">
        <f>PRODUCT(I90,I97)</f>
        <v>240.96174884000001</v>
      </c>
      <c r="M91" s="93"/>
    </row>
    <row r="92" spans="2:13" ht="15" thickBot="1" x14ac:dyDescent="0.35">
      <c r="B92" s="91" t="s">
        <v>300</v>
      </c>
      <c r="C92" s="92"/>
      <c r="D92" s="126"/>
      <c r="E92" s="90">
        <f>(E91/E77)</f>
        <v>1.7444657534246575</v>
      </c>
      <c r="F92" s="90">
        <f>(F91/F77)</f>
        <v>0.65936140394482756</v>
      </c>
      <c r="G92" s="90">
        <f>(G91/G77)</f>
        <v>0.61334753200273029</v>
      </c>
      <c r="H92" s="90">
        <f>(H91/H77)</f>
        <v>0.63268276139534896</v>
      </c>
      <c r="I92" s="90">
        <f>(I91/I77)</f>
        <v>0.61943894303341906</v>
      </c>
    </row>
    <row r="93" spans="2:13" ht="15" thickBot="1" x14ac:dyDescent="0.35">
      <c r="E93" s="93">
        <f>SUM(1,-E92)</f>
        <v>-0.74446575342465748</v>
      </c>
      <c r="F93" s="93">
        <f>SUM(1,-F92)</f>
        <v>0.34063859605517244</v>
      </c>
      <c r="G93" s="93">
        <f>SUM(1,-G92)</f>
        <v>0.38665246799726971</v>
      </c>
      <c r="H93" s="93">
        <f>SUM(1,-H92)</f>
        <v>0.36731723860465104</v>
      </c>
      <c r="I93" s="93">
        <f>SUM(1,-I92)</f>
        <v>0.38056105696658094</v>
      </c>
    </row>
    <row r="94" spans="2:13" ht="15" thickBot="1" x14ac:dyDescent="0.35">
      <c r="M94" s="67"/>
    </row>
    <row r="95" spans="2:13" ht="15" thickBot="1" x14ac:dyDescent="0.35">
      <c r="B95" s="94" t="s">
        <v>301</v>
      </c>
      <c r="C95" s="67"/>
      <c r="D95" s="127"/>
    </row>
    <row r="96" spans="2:13" ht="15" thickBot="1" x14ac:dyDescent="0.35">
      <c r="B96" s="97" t="s">
        <v>279</v>
      </c>
      <c r="E96" s="76"/>
      <c r="F96" s="86"/>
      <c r="G96" s="86"/>
      <c r="H96" s="96"/>
      <c r="I96" s="95"/>
    </row>
    <row r="97" spans="5:9" ht="15" thickBot="1" x14ac:dyDescent="0.35">
      <c r="E97" s="73">
        <v>3106</v>
      </c>
      <c r="F97" s="99">
        <v>3109.1838560000001</v>
      </c>
      <c r="G97" s="99">
        <v>3109.1838560000001</v>
      </c>
      <c r="H97" s="99">
        <v>3109.1838560000001</v>
      </c>
      <c r="I97" s="98">
        <v>3109.1838560000001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6A2F6-3F0D-4770-954F-DCD44B8A0D2B}">
  <dimension ref="A1:T434"/>
  <sheetViews>
    <sheetView topLeftCell="A61" zoomScaleNormal="100" workbookViewId="0">
      <selection activeCell="H110" sqref="H110"/>
    </sheetView>
  </sheetViews>
  <sheetFormatPr defaultRowHeight="14.4" outlineLevelRow="1" x14ac:dyDescent="0.3"/>
  <cols>
    <col min="1" max="1" width="2.88671875" customWidth="1"/>
    <col min="2" max="2" width="53.44140625" customWidth="1"/>
    <col min="3" max="3" width="8.109375" customWidth="1"/>
    <col min="4" max="8" width="14.33203125" bestFit="1" customWidth="1"/>
    <col min="9" max="9" width="28.6640625" customWidth="1"/>
  </cols>
  <sheetData>
    <row r="1" spans="1:18" ht="27" customHeight="1" x14ac:dyDescent="0.65">
      <c r="A1" s="146"/>
      <c r="B1" s="445" t="s">
        <v>368</v>
      </c>
      <c r="C1" s="445"/>
      <c r="D1" s="148"/>
      <c r="E1" s="148"/>
      <c r="F1" s="148"/>
      <c r="G1" s="148"/>
      <c r="H1" s="148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6.8" x14ac:dyDescent="0.4">
      <c r="A2" s="146"/>
      <c r="B2" s="146"/>
      <c r="C2" s="444" t="s">
        <v>158</v>
      </c>
      <c r="D2" s="444"/>
      <c r="E2" s="444"/>
      <c r="F2" s="444"/>
      <c r="G2" s="444"/>
      <c r="H2" s="444"/>
      <c r="I2" s="1"/>
      <c r="J2" s="1"/>
      <c r="K2" s="1"/>
      <c r="L2" s="1"/>
      <c r="M2" s="1"/>
      <c r="N2" s="1"/>
      <c r="O2" s="1"/>
      <c r="P2" s="1"/>
      <c r="Q2" s="1"/>
      <c r="R2" s="1"/>
    </row>
    <row r="3" spans="1:18" ht="18" customHeight="1" x14ac:dyDescent="0.3">
      <c r="A3" s="66"/>
      <c r="B3" s="66"/>
      <c r="C3" s="144" t="s">
        <v>1</v>
      </c>
      <c r="D3" s="147">
        <v>42369</v>
      </c>
      <c r="E3" s="147">
        <v>42735</v>
      </c>
      <c r="F3" s="147">
        <v>43100</v>
      </c>
      <c r="G3" s="147">
        <v>43465</v>
      </c>
      <c r="H3" s="147">
        <v>43830</v>
      </c>
      <c r="I3" s="1"/>
      <c r="J3" s="1"/>
      <c r="K3" s="1"/>
      <c r="L3" s="1"/>
      <c r="M3" s="1"/>
      <c r="N3" s="1"/>
      <c r="O3" s="1"/>
      <c r="P3" s="1"/>
      <c r="Q3" s="1"/>
      <c r="R3" s="1"/>
    </row>
    <row r="4" spans="1:18" ht="16.8" x14ac:dyDescent="0.4">
      <c r="A4" s="1"/>
      <c r="B4" s="200"/>
      <c r="C4" s="149"/>
      <c r="D4" s="31"/>
      <c r="E4" s="29"/>
      <c r="F4" s="29"/>
      <c r="G4" s="29"/>
      <c r="H4" s="29"/>
      <c r="I4" s="1"/>
      <c r="J4" s="1"/>
      <c r="K4" s="1"/>
      <c r="L4" s="1"/>
      <c r="M4" s="1"/>
      <c r="N4" s="1"/>
      <c r="O4" s="1"/>
      <c r="P4" s="1"/>
      <c r="Q4" s="1"/>
      <c r="R4" s="1"/>
    </row>
    <row r="5" spans="1:18" ht="16.8" x14ac:dyDescent="0.4">
      <c r="A5" s="1"/>
      <c r="B5" s="162" t="s">
        <v>381</v>
      </c>
      <c r="C5" s="174"/>
      <c r="D5" s="172">
        <f>'Balance sheet'!F16</f>
        <v>5067</v>
      </c>
      <c r="E5" s="164">
        <f>'Balance sheet'!G16</f>
        <v>5129</v>
      </c>
      <c r="F5" s="164">
        <f>'Balance sheet'!H16</f>
        <v>4606</v>
      </c>
      <c r="G5" s="164">
        <f>'Balance sheet'!I16</f>
        <v>4620</v>
      </c>
      <c r="H5" s="164">
        <f>'Balance sheet'!J16</f>
        <v>4869</v>
      </c>
      <c r="I5" s="1"/>
      <c r="J5" s="1"/>
      <c r="K5" s="1"/>
      <c r="L5" s="1"/>
      <c r="M5" s="1"/>
      <c r="N5" s="1"/>
      <c r="O5" s="1"/>
      <c r="P5" s="1"/>
      <c r="Q5" s="1"/>
      <c r="R5" s="1"/>
    </row>
    <row r="6" spans="1:18" ht="16.8" x14ac:dyDescent="0.4">
      <c r="A6" s="1"/>
      <c r="B6" s="162" t="s">
        <v>382</v>
      </c>
      <c r="C6" s="174"/>
      <c r="D6" s="172">
        <f>'Balance sheet'!F27</f>
        <v>1348</v>
      </c>
      <c r="E6" s="164">
        <f>'Balance sheet'!G27</f>
        <v>1704</v>
      </c>
      <c r="F6" s="164">
        <f>'Balance sheet'!H27</f>
        <v>1863</v>
      </c>
      <c r="G6" s="164">
        <f>'Balance sheet'!I27</f>
        <v>2302</v>
      </c>
      <c r="H6" s="164">
        <f>'Balance sheet'!J27</f>
        <v>2379</v>
      </c>
      <c r="I6" s="1"/>
      <c r="J6" s="1"/>
      <c r="K6" s="1"/>
      <c r="L6" s="1"/>
      <c r="M6" s="1"/>
      <c r="N6" s="1"/>
      <c r="O6" s="1"/>
      <c r="P6" s="1"/>
      <c r="Q6" s="1"/>
      <c r="R6" s="1"/>
    </row>
    <row r="7" spans="1:18" ht="16.8" x14ac:dyDescent="0.4">
      <c r="A7" s="1"/>
      <c r="B7" s="162" t="s">
        <v>377</v>
      </c>
      <c r="C7" s="174"/>
      <c r="D7" s="172">
        <v>137</v>
      </c>
      <c r="E7" s="164">
        <v>136</v>
      </c>
      <c r="F7" s="164">
        <v>107</v>
      </c>
      <c r="G7" s="164">
        <v>45</v>
      </c>
      <c r="H7" s="164">
        <v>65</v>
      </c>
      <c r="I7" s="1"/>
      <c r="J7" s="1"/>
      <c r="K7" s="1"/>
      <c r="L7" s="1"/>
      <c r="M7" s="1"/>
      <c r="N7" s="1"/>
      <c r="O7" s="1"/>
      <c r="P7" s="1"/>
      <c r="Q7" s="1"/>
      <c r="R7" s="1"/>
    </row>
    <row r="8" spans="1:18" ht="16.8" x14ac:dyDescent="0.4">
      <c r="A8" s="1"/>
      <c r="B8" s="181" t="s">
        <v>383</v>
      </c>
      <c r="C8" s="181"/>
      <c r="D8" s="182">
        <f>SUM(D5:D7)</f>
        <v>6552</v>
      </c>
      <c r="E8" s="167">
        <f>SUM(E5:E7)</f>
        <v>6969</v>
      </c>
      <c r="F8" s="167">
        <f>SUM(F5:F7)</f>
        <v>6576</v>
      </c>
      <c r="G8" s="167">
        <f>SUM(G5:G7)</f>
        <v>6967</v>
      </c>
      <c r="H8" s="167">
        <f>SUM(H5:H7)</f>
        <v>7313</v>
      </c>
      <c r="I8" s="1"/>
      <c r="J8" s="1"/>
      <c r="K8" s="1"/>
      <c r="L8" s="1"/>
      <c r="M8" s="1"/>
      <c r="N8" s="1"/>
      <c r="O8" s="1"/>
      <c r="P8" s="1"/>
      <c r="Q8" s="1"/>
      <c r="R8" s="1"/>
    </row>
    <row r="9" spans="1:18" ht="16.8" x14ac:dyDescent="0.4">
      <c r="A9" s="1"/>
      <c r="B9" s="174"/>
      <c r="C9" s="174"/>
      <c r="D9" s="172"/>
      <c r="E9" s="164"/>
      <c r="F9" s="164"/>
      <c r="G9" s="164"/>
      <c r="H9" s="164"/>
      <c r="I9" s="1"/>
      <c r="J9" s="1"/>
      <c r="K9" s="1"/>
      <c r="L9" s="1"/>
      <c r="M9" s="1"/>
      <c r="N9" s="1"/>
      <c r="O9" s="1"/>
      <c r="P9" s="1"/>
      <c r="Q9" s="1"/>
      <c r="R9" s="1"/>
    </row>
    <row r="10" spans="1:18" ht="16.8" x14ac:dyDescent="0.4">
      <c r="A10" s="1"/>
      <c r="B10" s="162" t="s">
        <v>372</v>
      </c>
      <c r="C10" s="174"/>
      <c r="D10" s="172">
        <v>184</v>
      </c>
      <c r="E10" s="164">
        <v>159</v>
      </c>
      <c r="F10" s="164">
        <v>147</v>
      </c>
      <c r="G10" s="164">
        <v>187</v>
      </c>
      <c r="H10" s="164">
        <v>184</v>
      </c>
      <c r="I10" s="1"/>
      <c r="J10" s="1"/>
      <c r="K10" s="1"/>
      <c r="L10" s="1"/>
      <c r="M10" s="1"/>
      <c r="N10" s="1"/>
      <c r="O10" s="1"/>
      <c r="P10" s="1"/>
      <c r="Q10" s="1"/>
      <c r="R10" s="1"/>
    </row>
    <row r="11" spans="1:18" ht="16.8" x14ac:dyDescent="0.4">
      <c r="A11" s="1"/>
      <c r="B11" s="162" t="s">
        <v>373</v>
      </c>
      <c r="C11" s="174"/>
      <c r="D11" s="172">
        <v>1485</v>
      </c>
      <c r="E11" s="164">
        <v>1821</v>
      </c>
      <c r="F11" s="164">
        <v>1671</v>
      </c>
      <c r="G11" s="164">
        <v>1781</v>
      </c>
      <c r="H11" s="164">
        <v>1852</v>
      </c>
      <c r="I11" s="1"/>
      <c r="J11" s="1"/>
      <c r="K11" s="1"/>
      <c r="L11" s="1"/>
      <c r="M11" s="1"/>
      <c r="N11" s="1"/>
      <c r="O11" s="1"/>
      <c r="P11" s="1"/>
      <c r="Q11" s="1"/>
      <c r="R11" s="1"/>
    </row>
    <row r="12" spans="1:18" ht="16.8" x14ac:dyDescent="0.4">
      <c r="A12" s="1"/>
      <c r="B12" s="162" t="s">
        <v>378</v>
      </c>
      <c r="C12" s="174"/>
      <c r="D12" s="172">
        <v>-1170</v>
      </c>
      <c r="E12" s="164">
        <v>-1384</v>
      </c>
      <c r="F12" s="164">
        <v>-1381</v>
      </c>
      <c r="G12" s="164">
        <v>-1413</v>
      </c>
      <c r="H12" s="164">
        <v>-1481</v>
      </c>
      <c r="I12" s="1"/>
      <c r="J12" s="1"/>
      <c r="K12" s="1"/>
      <c r="L12" s="1"/>
      <c r="M12" s="1"/>
      <c r="N12" s="1"/>
      <c r="O12" s="1"/>
      <c r="P12" s="1"/>
      <c r="Q12" s="1"/>
      <c r="R12" s="1"/>
    </row>
    <row r="13" spans="1:18" ht="16.8" x14ac:dyDescent="0.4">
      <c r="A13" s="1"/>
      <c r="B13" s="186" t="s">
        <v>384</v>
      </c>
      <c r="C13" s="186"/>
      <c r="D13" s="187">
        <f>SUM(D10:D12)</f>
        <v>499</v>
      </c>
      <c r="E13" s="188">
        <f t="shared" ref="E13:H13" si="0">SUM(E10:E12)</f>
        <v>596</v>
      </c>
      <c r="F13" s="188">
        <f t="shared" si="0"/>
        <v>437</v>
      </c>
      <c r="G13" s="188">
        <f t="shared" si="0"/>
        <v>555</v>
      </c>
      <c r="H13" s="188">
        <f t="shared" si="0"/>
        <v>555</v>
      </c>
      <c r="I13" s="1"/>
      <c r="J13" s="1"/>
      <c r="K13" s="1"/>
      <c r="L13" s="1"/>
      <c r="M13" s="1"/>
      <c r="N13" s="1"/>
      <c r="O13" s="1"/>
      <c r="P13" s="1"/>
      <c r="Q13" s="1"/>
      <c r="R13" s="1"/>
    </row>
    <row r="14" spans="1:18" ht="16.8" x14ac:dyDescent="0.4">
      <c r="A14" s="1"/>
      <c r="B14" s="179"/>
      <c r="C14" s="179"/>
      <c r="D14" s="171"/>
      <c r="E14" s="166"/>
      <c r="F14" s="166"/>
      <c r="G14" s="166"/>
      <c r="H14" s="166"/>
      <c r="I14" s="1"/>
      <c r="J14" s="1"/>
      <c r="K14" s="1"/>
      <c r="L14" s="1"/>
      <c r="M14" s="1"/>
      <c r="N14" s="1"/>
      <c r="O14" s="1"/>
      <c r="P14" s="1"/>
      <c r="Q14" s="1"/>
      <c r="R14" s="1"/>
    </row>
    <row r="15" spans="1:18" ht="17.25" customHeight="1" x14ac:dyDescent="0.4">
      <c r="A15" s="1"/>
      <c r="B15" s="174" t="s">
        <v>11</v>
      </c>
      <c r="C15" s="174"/>
      <c r="D15" s="172">
        <f>SUM(D16:D19)+D20</f>
        <v>636</v>
      </c>
      <c r="E15" s="164">
        <f>SUM(E16:E19)+E20</f>
        <v>695</v>
      </c>
      <c r="F15" s="164">
        <f>SUM(F16:F19)+F20</f>
        <v>563</v>
      </c>
      <c r="G15" s="164">
        <f>SUM(G16:G19)+G20</f>
        <v>510</v>
      </c>
      <c r="H15" s="164">
        <f>SUM(H16:H19)+H20</f>
        <v>665</v>
      </c>
      <c r="I15" s="1"/>
      <c r="J15" s="1"/>
      <c r="K15" s="1"/>
      <c r="L15" s="1"/>
      <c r="M15" s="1"/>
      <c r="N15" s="1"/>
      <c r="O15" s="1" t="s">
        <v>369</v>
      </c>
      <c r="P15" s="1"/>
      <c r="Q15" s="1"/>
      <c r="R15" s="1"/>
    </row>
    <row r="16" spans="1:18" ht="16.8" outlineLevel="1" x14ac:dyDescent="0.4">
      <c r="A16" s="1"/>
      <c r="B16" s="162" t="s">
        <v>374</v>
      </c>
      <c r="C16" s="174"/>
      <c r="D16" s="172">
        <f>'Balance sheet'!F80</f>
        <v>183</v>
      </c>
      <c r="E16" s="164">
        <f>'Balance sheet'!G80</f>
        <v>389</v>
      </c>
      <c r="F16" s="164">
        <f>'Balance sheet'!H80</f>
        <v>216</v>
      </c>
      <c r="G16" s="164">
        <f>'Balance sheet'!I80</f>
        <v>313</v>
      </c>
      <c r="H16" s="164">
        <f>'Balance sheet'!J80</f>
        <v>567</v>
      </c>
      <c r="I16" s="1"/>
      <c r="J16" s="1"/>
      <c r="K16" s="1"/>
      <c r="L16" s="1"/>
      <c r="M16" s="1"/>
      <c r="N16" s="1"/>
      <c r="O16" s="1"/>
      <c r="P16" s="1"/>
      <c r="Q16" s="1"/>
      <c r="R16" s="1"/>
    </row>
    <row r="17" spans="1:18" ht="16.8" outlineLevel="1" x14ac:dyDescent="0.4">
      <c r="A17" s="1"/>
      <c r="B17" s="162" t="s">
        <v>375</v>
      </c>
      <c r="C17" s="174"/>
      <c r="D17" s="172">
        <f>'Balance sheet'!F85</f>
        <v>171</v>
      </c>
      <c r="E17" s="164">
        <f>'Balance sheet'!G85</f>
        <v>218</v>
      </c>
      <c r="F17" s="164">
        <f>'Balance sheet'!H85</f>
        <v>8</v>
      </c>
      <c r="G17" s="164">
        <f>'Balance sheet'!I85</f>
        <v>16</v>
      </c>
      <c r="H17" s="164">
        <f>'Balance sheet'!J85</f>
        <v>10</v>
      </c>
      <c r="I17" s="1"/>
      <c r="J17" s="1"/>
      <c r="K17" s="1"/>
      <c r="L17" s="1"/>
      <c r="M17" s="1"/>
      <c r="N17" s="1"/>
      <c r="O17" s="1"/>
      <c r="P17" s="1"/>
      <c r="Q17" s="1"/>
      <c r="R17" s="1"/>
    </row>
    <row r="18" spans="1:18" ht="16.8" outlineLevel="1" x14ac:dyDescent="0.4">
      <c r="A18" s="1"/>
      <c r="B18" s="175" t="s">
        <v>31</v>
      </c>
      <c r="C18" s="176"/>
      <c r="D18" s="172">
        <f>'Balance sheet'!F40</f>
        <v>6</v>
      </c>
      <c r="E18" s="164">
        <f>'Balance sheet'!G40</f>
        <v>12</v>
      </c>
      <c r="F18" s="164">
        <f>'Balance sheet'!H40</f>
        <v>8</v>
      </c>
      <c r="G18" s="164">
        <f>'Balance sheet'!I40</f>
        <v>20</v>
      </c>
      <c r="H18" s="164">
        <f>'Balance sheet'!J40</f>
        <v>25</v>
      </c>
      <c r="I18" s="1"/>
      <c r="J18" s="1"/>
      <c r="K18" s="1"/>
      <c r="L18" s="1"/>
      <c r="M18" s="1"/>
      <c r="N18" s="1"/>
      <c r="O18" s="1"/>
      <c r="P18" s="1"/>
      <c r="Q18" s="1"/>
      <c r="R18" s="1"/>
    </row>
    <row r="19" spans="1:18" ht="16.8" outlineLevel="1" x14ac:dyDescent="0.4">
      <c r="A19" s="1"/>
      <c r="B19" s="162" t="s">
        <v>75</v>
      </c>
      <c r="C19" s="162"/>
      <c r="D19" s="171">
        <f>71</f>
        <v>71</v>
      </c>
      <c r="E19" s="166">
        <f>70</f>
        <v>70</v>
      </c>
      <c r="F19" s="166">
        <f>107</f>
        <v>107</v>
      </c>
      <c r="G19" s="166">
        <f>49</f>
        <v>49</v>
      </c>
      <c r="H19" s="166">
        <f>63</f>
        <v>63</v>
      </c>
      <c r="I19" s="1"/>
      <c r="J19" s="1"/>
      <c r="K19" s="1"/>
      <c r="L19" s="1"/>
      <c r="M19" s="1"/>
      <c r="N19" s="1"/>
      <c r="O19" s="1"/>
      <c r="P19" s="1"/>
      <c r="Q19" s="1"/>
      <c r="R19" s="1"/>
    </row>
    <row r="20" spans="1:18" ht="15" customHeight="1" outlineLevel="1" x14ac:dyDescent="0.4">
      <c r="A20" s="1"/>
      <c r="B20" s="175" t="s">
        <v>376</v>
      </c>
      <c r="C20" s="174"/>
      <c r="D20" s="172">
        <f>'Balance sheet'!F91</f>
        <v>205</v>
      </c>
      <c r="E20" s="164">
        <f>'Balance sheet'!G91</f>
        <v>6</v>
      </c>
      <c r="F20" s="164">
        <f>'Balance sheet'!H91</f>
        <v>224</v>
      </c>
      <c r="G20" s="164">
        <f>'Balance sheet'!I91</f>
        <v>112</v>
      </c>
      <c r="H20" s="164">
        <f>'Balance sheet'!J91</f>
        <v>0</v>
      </c>
      <c r="I20" s="1"/>
      <c r="J20" s="1"/>
      <c r="K20" s="1"/>
      <c r="L20" s="1"/>
      <c r="M20" s="1"/>
      <c r="N20" s="1"/>
      <c r="O20" s="1"/>
      <c r="P20" s="1"/>
      <c r="Q20" s="1"/>
      <c r="R20" s="1"/>
    </row>
    <row r="21" spans="1:18" ht="16.8" x14ac:dyDescent="0.4">
      <c r="A21" s="1"/>
      <c r="B21" s="174" t="s">
        <v>397</v>
      </c>
      <c r="C21" s="174"/>
      <c r="D21" s="172">
        <f>SUM(D22:D25)</f>
        <v>-683</v>
      </c>
      <c r="E21" s="172">
        <f t="shared" ref="E21:H21" si="1">SUM(E22:E25)</f>
        <v>-893</v>
      </c>
      <c r="F21" s="172">
        <f t="shared" si="1"/>
        <v>-673</v>
      </c>
      <c r="G21" s="172">
        <f t="shared" si="1"/>
        <v>-763</v>
      </c>
      <c r="H21" s="172">
        <f t="shared" si="1"/>
        <v>-999</v>
      </c>
      <c r="I21" s="1"/>
      <c r="J21" s="1"/>
      <c r="K21" s="1"/>
      <c r="L21" s="1"/>
      <c r="M21" s="1"/>
      <c r="N21" s="1"/>
      <c r="O21" s="1"/>
      <c r="P21" s="1"/>
      <c r="Q21" s="1"/>
      <c r="R21" s="1"/>
    </row>
    <row r="22" spans="1:18" ht="16.8" outlineLevel="1" x14ac:dyDescent="0.4">
      <c r="A22" s="1"/>
      <c r="B22" s="162" t="s">
        <v>120</v>
      </c>
      <c r="C22" s="174"/>
      <c r="D22" s="172">
        <v>-99</v>
      </c>
      <c r="E22" s="164">
        <v>-109</v>
      </c>
      <c r="F22" s="164">
        <v>-148</v>
      </c>
      <c r="G22" s="164">
        <v>-148</v>
      </c>
      <c r="H22" s="164">
        <v>-149</v>
      </c>
      <c r="I22" s="1"/>
      <c r="J22" s="1"/>
      <c r="K22" s="1"/>
      <c r="L22" s="1"/>
      <c r="M22" s="1"/>
      <c r="N22" s="1"/>
      <c r="O22" s="1"/>
      <c r="P22" s="1"/>
      <c r="Q22" s="1"/>
      <c r="R22" s="1"/>
    </row>
    <row r="23" spans="1:18" outlineLevel="1" x14ac:dyDescent="0.3">
      <c r="A23" s="1"/>
      <c r="B23" s="162" t="s">
        <v>153</v>
      </c>
      <c r="C23" s="162"/>
      <c r="D23" s="172">
        <v>-43</v>
      </c>
      <c r="E23" s="164">
        <v>-33</v>
      </c>
      <c r="F23" s="164">
        <v>-4</v>
      </c>
      <c r="G23" s="164">
        <v>-34</v>
      </c>
      <c r="H23" s="164">
        <v>-6</v>
      </c>
      <c r="I23" s="1"/>
      <c r="J23" s="1"/>
      <c r="K23" s="1"/>
      <c r="L23" s="1"/>
      <c r="M23" s="1"/>
      <c r="N23" s="1"/>
      <c r="O23" s="1"/>
      <c r="P23" s="1"/>
      <c r="Q23" s="1"/>
      <c r="R23" s="1"/>
    </row>
    <row r="24" spans="1:18" ht="16.8" outlineLevel="1" x14ac:dyDescent="0.4">
      <c r="A24" s="1"/>
      <c r="B24" s="174" t="s">
        <v>379</v>
      </c>
      <c r="C24" s="174"/>
      <c r="D24" s="172">
        <v>-521</v>
      </c>
      <c r="E24" s="164">
        <v>-744</v>
      </c>
      <c r="F24" s="164">
        <v>-521</v>
      </c>
      <c r="G24" s="164">
        <v>-581</v>
      </c>
      <c r="H24" s="164">
        <v>-844</v>
      </c>
      <c r="I24" s="1"/>
      <c r="J24" s="1"/>
      <c r="K24" s="1"/>
      <c r="L24" s="1"/>
      <c r="M24" s="1"/>
      <c r="N24" s="1"/>
      <c r="O24" s="1"/>
      <c r="P24" s="1"/>
      <c r="Q24" s="1"/>
      <c r="R24" s="1"/>
    </row>
    <row r="25" spans="1:18" ht="16.8" outlineLevel="1" x14ac:dyDescent="0.4">
      <c r="A25" s="1"/>
      <c r="B25" s="174" t="s">
        <v>431</v>
      </c>
      <c r="C25" s="174"/>
      <c r="D25" s="172">
        <v>-20</v>
      </c>
      <c r="E25" s="164">
        <v>-7</v>
      </c>
      <c r="F25" s="164">
        <v>0</v>
      </c>
      <c r="G25" s="164">
        <v>0</v>
      </c>
      <c r="H25" s="164">
        <v>0</v>
      </c>
      <c r="I25" s="1"/>
      <c r="J25" s="1"/>
      <c r="K25" s="1"/>
      <c r="L25" s="1"/>
      <c r="M25" s="1"/>
      <c r="N25" s="1"/>
      <c r="O25" s="1"/>
      <c r="P25" s="1"/>
      <c r="Q25" s="1"/>
      <c r="R25" s="1"/>
    </row>
    <row r="26" spans="1:18" ht="16.8" x14ac:dyDescent="0.4">
      <c r="A26" s="1"/>
      <c r="B26" s="181" t="s">
        <v>385</v>
      </c>
      <c r="C26" s="181"/>
      <c r="D26" s="182">
        <f>D13+D15+D21</f>
        <v>452</v>
      </c>
      <c r="E26" s="182">
        <f t="shared" ref="E26:H26" si="2">E13+E15+E21</f>
        <v>398</v>
      </c>
      <c r="F26" s="182">
        <f t="shared" si="2"/>
        <v>327</v>
      </c>
      <c r="G26" s="182">
        <f t="shared" si="2"/>
        <v>302</v>
      </c>
      <c r="H26" s="182">
        <f t="shared" si="2"/>
        <v>221</v>
      </c>
      <c r="I26" s="1"/>
      <c r="J26" s="1"/>
      <c r="K26" s="1"/>
      <c r="L26" s="1"/>
      <c r="M26" s="1"/>
      <c r="N26" s="1"/>
      <c r="O26" s="1"/>
      <c r="P26" s="1"/>
      <c r="Q26" s="1"/>
      <c r="R26" s="1"/>
    </row>
    <row r="27" spans="1:18" ht="16.8" x14ac:dyDescent="0.4">
      <c r="A27" s="1"/>
      <c r="B27" s="174"/>
      <c r="C27" s="174"/>
      <c r="D27" s="172"/>
      <c r="E27" s="164"/>
      <c r="F27" s="164"/>
      <c r="G27" s="164"/>
      <c r="H27" s="164"/>
      <c r="I27" s="1"/>
      <c r="J27" s="1"/>
      <c r="K27" s="1"/>
      <c r="L27" s="1"/>
      <c r="M27" s="1"/>
      <c r="N27" s="1"/>
      <c r="O27" s="1"/>
      <c r="P27" s="1"/>
      <c r="Q27" s="1"/>
      <c r="R27" s="1"/>
    </row>
    <row r="28" spans="1:18" ht="16.8" x14ac:dyDescent="0.4">
      <c r="A28" s="1"/>
      <c r="B28" s="174" t="s">
        <v>430</v>
      </c>
      <c r="C28" s="174"/>
      <c r="D28" s="172">
        <v>308</v>
      </c>
      <c r="E28" s="164">
        <v>341</v>
      </c>
      <c r="F28" s="164">
        <v>301</v>
      </c>
      <c r="G28" s="164">
        <v>264</v>
      </c>
      <c r="H28" s="164">
        <v>277</v>
      </c>
      <c r="I28" s="1"/>
      <c r="J28" s="1"/>
      <c r="K28" s="1"/>
      <c r="L28" s="1"/>
      <c r="M28" s="1"/>
      <c r="N28" s="1"/>
      <c r="O28" s="1"/>
      <c r="P28" s="1"/>
      <c r="Q28" s="1"/>
      <c r="R28" s="1"/>
    </row>
    <row r="29" spans="1:18" ht="16.8" x14ac:dyDescent="0.4">
      <c r="A29" s="149"/>
      <c r="B29" s="162" t="s">
        <v>113</v>
      </c>
      <c r="C29" s="174"/>
      <c r="D29" s="172">
        <v>-332</v>
      </c>
      <c r="E29" s="164">
        <v>-365</v>
      </c>
      <c r="F29" s="164">
        <v>-319</v>
      </c>
      <c r="G29" s="164">
        <v>-314</v>
      </c>
      <c r="H29" s="164">
        <v>-307</v>
      </c>
      <c r="I29" s="1"/>
      <c r="J29" s="1"/>
      <c r="K29" s="1"/>
      <c r="L29" s="1"/>
      <c r="M29" s="1"/>
      <c r="N29" s="1"/>
      <c r="O29" s="1"/>
      <c r="P29" s="1"/>
      <c r="Q29" s="1"/>
      <c r="R29" s="1"/>
    </row>
    <row r="30" spans="1:18" ht="16.8" x14ac:dyDescent="0.4">
      <c r="A30" s="1"/>
      <c r="B30" s="174" t="s">
        <v>380</v>
      </c>
      <c r="C30" s="174"/>
      <c r="D30" s="172">
        <v>-576</v>
      </c>
      <c r="E30" s="164">
        <v>-671</v>
      </c>
      <c r="F30" s="164">
        <v>-625</v>
      </c>
      <c r="G30" s="164">
        <v>-642</v>
      </c>
      <c r="H30" s="164">
        <v>-676</v>
      </c>
      <c r="I30" s="1"/>
      <c r="J30" s="1"/>
      <c r="K30" s="1"/>
      <c r="L30" s="1"/>
      <c r="M30" s="1"/>
      <c r="N30" s="1"/>
      <c r="O30" s="1"/>
      <c r="P30" s="1"/>
      <c r="Q30" s="1"/>
      <c r="R30" s="1"/>
    </row>
    <row r="31" spans="1:18" ht="15" customHeight="1" x14ac:dyDescent="0.4">
      <c r="A31" s="1"/>
      <c r="B31" s="178" t="s">
        <v>386</v>
      </c>
      <c r="C31" s="178"/>
      <c r="D31" s="180">
        <f>D8+D26+D28+D29+D30</f>
        <v>6404</v>
      </c>
      <c r="E31" s="180">
        <f>E8+E26+E28+E29+E30</f>
        <v>6672</v>
      </c>
      <c r="F31" s="180">
        <f>F8+F26+F28+F29+F30</f>
        <v>6260</v>
      </c>
      <c r="G31" s="180">
        <f>G8+G26+G28+G29+G30</f>
        <v>6577</v>
      </c>
      <c r="H31" s="180">
        <f>H8+H26+H28+H29+H30</f>
        <v>6828</v>
      </c>
      <c r="I31" s="1"/>
      <c r="J31" s="1"/>
      <c r="K31" s="1"/>
      <c r="L31" s="1"/>
      <c r="M31" s="1"/>
      <c r="N31" s="1"/>
      <c r="O31" s="1"/>
      <c r="P31" s="1"/>
      <c r="Q31" s="1"/>
      <c r="R31" s="1"/>
    </row>
    <row r="32" spans="1:18" ht="16.8" x14ac:dyDescent="0.4">
      <c r="A32" s="1"/>
      <c r="B32" s="174"/>
      <c r="C32" s="174"/>
      <c r="D32" s="172"/>
      <c r="E32" s="164"/>
      <c r="F32" s="164"/>
      <c r="G32" s="164"/>
      <c r="H32" s="164"/>
      <c r="I32" s="1"/>
      <c r="J32" s="1"/>
      <c r="K32" s="1"/>
      <c r="L32" s="1"/>
      <c r="M32" s="1"/>
      <c r="N32" s="1"/>
      <c r="O32" s="1"/>
      <c r="P32" s="1"/>
      <c r="Q32" s="1"/>
      <c r="R32" s="1"/>
    </row>
    <row r="33" spans="1:20" ht="16.8" x14ac:dyDescent="0.4">
      <c r="A33" s="1"/>
      <c r="B33" s="174"/>
      <c r="C33" s="174"/>
      <c r="D33" s="172"/>
      <c r="E33" s="164"/>
      <c r="F33" s="164"/>
      <c r="G33" s="164"/>
      <c r="H33" s="164"/>
      <c r="I33" s="1"/>
      <c r="J33" s="1"/>
      <c r="K33" s="1"/>
      <c r="L33" s="1"/>
      <c r="M33" s="1"/>
      <c r="N33" s="1"/>
      <c r="O33" s="1"/>
      <c r="P33" s="1"/>
      <c r="Q33" s="1"/>
      <c r="R33" s="1"/>
    </row>
    <row r="34" spans="1:20" ht="16.8" x14ac:dyDescent="0.4">
      <c r="A34" s="1"/>
      <c r="B34" s="174"/>
      <c r="C34" s="174"/>
      <c r="D34" s="172"/>
      <c r="E34" s="164"/>
      <c r="F34" s="164"/>
      <c r="G34" s="164"/>
      <c r="H34" s="164"/>
      <c r="I34" s="1"/>
      <c r="J34" s="1"/>
      <c r="K34" s="1"/>
      <c r="L34" s="1"/>
      <c r="M34" s="1"/>
      <c r="N34" s="1"/>
      <c r="O34" s="1"/>
      <c r="P34" s="1"/>
      <c r="Q34" s="1"/>
      <c r="R34" s="1"/>
    </row>
    <row r="35" spans="1:20" ht="15" customHeight="1" x14ac:dyDescent="0.4">
      <c r="A35" s="1"/>
      <c r="B35" s="183" t="s">
        <v>394</v>
      </c>
      <c r="C35" s="183"/>
      <c r="D35" s="184">
        <v>-3259</v>
      </c>
      <c r="E35" s="185">
        <v>-3279</v>
      </c>
      <c r="F35" s="185">
        <v>-3013</v>
      </c>
      <c r="G35" s="185">
        <v>-3523</v>
      </c>
      <c r="H35" s="185">
        <v>-3651</v>
      </c>
      <c r="I35" s="1"/>
      <c r="J35" s="1"/>
      <c r="K35" s="1"/>
      <c r="L35" s="1"/>
      <c r="M35" s="1"/>
      <c r="N35" s="1"/>
      <c r="O35" s="1"/>
      <c r="P35" s="1"/>
      <c r="Q35" s="1"/>
      <c r="R35" s="1"/>
    </row>
    <row r="36" spans="1:20" ht="16.8" x14ac:dyDescent="0.4">
      <c r="A36" s="1"/>
      <c r="B36" s="174"/>
      <c r="C36" s="174"/>
      <c r="D36" s="172"/>
      <c r="E36" s="164"/>
      <c r="F36" s="164"/>
      <c r="G36" s="164"/>
      <c r="H36" s="164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</row>
    <row r="37" spans="1:20" ht="15" customHeight="1" x14ac:dyDescent="0.4">
      <c r="A37" s="1"/>
      <c r="B37" s="162" t="s">
        <v>105</v>
      </c>
      <c r="C37" s="174"/>
      <c r="D37" s="172">
        <v>-3089</v>
      </c>
      <c r="E37" s="164">
        <v>-3436</v>
      </c>
      <c r="F37" s="164">
        <v>-3501</v>
      </c>
      <c r="G37" s="164">
        <v>-2984</v>
      </c>
      <c r="H37" s="164">
        <v>-3307</v>
      </c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</row>
    <row r="38" spans="1:20" ht="16.8" x14ac:dyDescent="0.4">
      <c r="A38" s="8"/>
      <c r="B38" s="162" t="s">
        <v>150</v>
      </c>
      <c r="C38" s="174"/>
      <c r="D38" s="172">
        <v>-692</v>
      </c>
      <c r="E38" s="164">
        <v>-359</v>
      </c>
      <c r="F38" s="164">
        <v>-437</v>
      </c>
      <c r="G38" s="164">
        <v>-694</v>
      </c>
      <c r="H38" s="164">
        <v>-304</v>
      </c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</row>
    <row r="39" spans="1:20" ht="16.8" x14ac:dyDescent="0.4">
      <c r="A39" s="152"/>
      <c r="B39" s="189" t="s">
        <v>393</v>
      </c>
      <c r="C39" s="189"/>
      <c r="D39" s="190">
        <f>D37+D38</f>
        <v>-3781</v>
      </c>
      <c r="E39" s="191">
        <f t="shared" ref="E39:H39" si="3">E37+E38</f>
        <v>-3795</v>
      </c>
      <c r="F39" s="191">
        <f t="shared" si="3"/>
        <v>-3938</v>
      </c>
      <c r="G39" s="191">
        <f t="shared" si="3"/>
        <v>-3678</v>
      </c>
      <c r="H39" s="191">
        <f t="shared" si="3"/>
        <v>-3611</v>
      </c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</row>
    <row r="40" spans="1:20" ht="16.8" x14ac:dyDescent="0.4">
      <c r="A40" s="1"/>
      <c r="B40" s="192"/>
      <c r="C40" s="192"/>
      <c r="D40" s="173"/>
      <c r="E40" s="165"/>
      <c r="F40" s="165"/>
      <c r="G40" s="165"/>
      <c r="H40" s="165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</row>
    <row r="41" spans="1:20" ht="16.8" x14ac:dyDescent="0.4">
      <c r="A41" s="1"/>
      <c r="B41" s="174" t="s">
        <v>77</v>
      </c>
      <c r="C41" s="174"/>
      <c r="D41" s="172">
        <v>636</v>
      </c>
      <c r="E41" s="164">
        <v>402</v>
      </c>
      <c r="F41" s="164">
        <v>691</v>
      </c>
      <c r="G41" s="164">
        <v>624</v>
      </c>
      <c r="H41" s="164">
        <v>434</v>
      </c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</row>
    <row r="42" spans="1:20" ht="16.8" x14ac:dyDescent="0.4">
      <c r="A42" s="1"/>
      <c r="B42" s="181" t="s">
        <v>387</v>
      </c>
      <c r="C42" s="181"/>
      <c r="D42" s="167">
        <f t="shared" ref="D42:G42" si="4">D39+D41</f>
        <v>-3145</v>
      </c>
      <c r="E42" s="167">
        <f t="shared" si="4"/>
        <v>-3393</v>
      </c>
      <c r="F42" s="167">
        <f t="shared" si="4"/>
        <v>-3247</v>
      </c>
      <c r="G42" s="167">
        <f t="shared" si="4"/>
        <v>-3054</v>
      </c>
      <c r="H42" s="167">
        <f>H39+H41</f>
        <v>-3177</v>
      </c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</row>
    <row r="43" spans="1:20" ht="16.8" x14ac:dyDescent="0.4">
      <c r="A43" s="1"/>
      <c r="B43" s="174"/>
      <c r="C43" s="174"/>
      <c r="D43" s="172"/>
      <c r="E43" s="164"/>
      <c r="F43" s="164"/>
      <c r="G43" s="164"/>
      <c r="H43" s="164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</row>
    <row r="44" spans="1:20" ht="16.8" x14ac:dyDescent="0.4">
      <c r="A44" s="1"/>
      <c r="B44" s="178" t="s">
        <v>386</v>
      </c>
      <c r="C44" s="178"/>
      <c r="D44" s="180">
        <f>D35+D42</f>
        <v>-6404</v>
      </c>
      <c r="E44" s="169">
        <f>E35+E42</f>
        <v>-6672</v>
      </c>
      <c r="F44" s="169">
        <f>F35+F42</f>
        <v>-6260</v>
      </c>
      <c r="G44" s="169">
        <f>G35+G42</f>
        <v>-6577</v>
      </c>
      <c r="H44" s="169">
        <f>H35+H42</f>
        <v>-6828</v>
      </c>
      <c r="I44" s="1"/>
      <c r="J44" s="1"/>
      <c r="K44" s="1"/>
      <c r="L44" s="1"/>
      <c r="M44" s="1"/>
      <c r="N44" s="1"/>
      <c r="O44" s="1"/>
      <c r="P44" s="1"/>
      <c r="Q44" s="1"/>
      <c r="R44" s="1"/>
    </row>
    <row r="45" spans="1:20" x14ac:dyDescent="0.3">
      <c r="A45" s="1"/>
      <c r="B45" s="156" t="s">
        <v>400</v>
      </c>
      <c r="C45" s="156"/>
      <c r="D45" s="278">
        <f>D31+D44</f>
        <v>0</v>
      </c>
      <c r="E45" s="278">
        <f t="shared" ref="E45:H45" si="5">E31+E44</f>
        <v>0</v>
      </c>
      <c r="F45" s="278">
        <f t="shared" si="5"/>
        <v>0</v>
      </c>
      <c r="G45" s="278">
        <f t="shared" si="5"/>
        <v>0</v>
      </c>
      <c r="H45" s="278">
        <f t="shared" si="5"/>
        <v>0</v>
      </c>
      <c r="I45" s="283"/>
      <c r="J45" s="1"/>
      <c r="K45" s="1"/>
      <c r="L45" s="1"/>
      <c r="M45" s="1"/>
      <c r="N45" s="1"/>
      <c r="O45" s="1"/>
      <c r="P45" s="1"/>
      <c r="Q45" s="1"/>
      <c r="R45" s="1"/>
    </row>
    <row r="46" spans="1:20" x14ac:dyDescent="0.3">
      <c r="A46" s="1"/>
      <c r="B46" s="201"/>
      <c r="C46" s="202"/>
      <c r="D46" s="202"/>
      <c r="E46" s="202"/>
      <c r="F46" s="202"/>
      <c r="G46" s="202"/>
      <c r="H46" s="202"/>
      <c r="J46" s="1"/>
      <c r="K46" s="1"/>
      <c r="L46" s="1"/>
      <c r="M46" s="1"/>
      <c r="N46" s="1"/>
      <c r="O46" s="1"/>
      <c r="P46" s="1"/>
      <c r="Q46" s="1"/>
      <c r="R46" s="1"/>
    </row>
    <row r="47" spans="1:20" x14ac:dyDescent="0.3">
      <c r="B47" s="203"/>
      <c r="C47" s="204"/>
      <c r="D47" s="203"/>
      <c r="E47" s="203"/>
      <c r="F47" s="203"/>
      <c r="G47" s="203"/>
      <c r="H47" s="203"/>
      <c r="I47" s="1"/>
      <c r="J47" s="5"/>
      <c r="K47" s="1"/>
      <c r="L47" s="1"/>
      <c r="M47" s="1"/>
      <c r="N47" s="1"/>
      <c r="O47" s="1"/>
      <c r="P47" s="1"/>
      <c r="Q47" s="1"/>
      <c r="R47" s="1"/>
    </row>
    <row r="48" spans="1:20" ht="27" customHeight="1" x14ac:dyDescent="0.5">
      <c r="A48" s="146"/>
      <c r="B48" s="145" t="s">
        <v>302</v>
      </c>
      <c r="C48" s="129"/>
      <c r="D48" s="129"/>
      <c r="E48" s="129"/>
      <c r="F48" s="129"/>
      <c r="G48" s="129"/>
      <c r="H48" s="129"/>
      <c r="I48" s="1"/>
      <c r="J48" s="170"/>
      <c r="K48" s="1"/>
      <c r="L48" s="1"/>
      <c r="M48" s="1"/>
      <c r="N48" s="1"/>
      <c r="O48" s="1"/>
      <c r="P48" s="1"/>
      <c r="Q48" s="1"/>
      <c r="R48" s="1"/>
    </row>
    <row r="49" spans="1:18" ht="15" customHeight="1" x14ac:dyDescent="0.3">
      <c r="A49" s="146"/>
      <c r="B49" s="129"/>
      <c r="C49" s="129"/>
      <c r="D49" s="446" t="s">
        <v>163</v>
      </c>
      <c r="E49" s="446"/>
      <c r="F49" s="446"/>
      <c r="G49" s="446"/>
      <c r="H49" s="446"/>
      <c r="I49" s="5"/>
      <c r="J49" s="1"/>
      <c r="K49" s="1"/>
      <c r="L49" s="1"/>
      <c r="M49" s="1"/>
      <c r="N49" s="1"/>
      <c r="O49" s="1"/>
      <c r="P49" s="1"/>
      <c r="Q49" s="1"/>
      <c r="R49" s="1"/>
    </row>
    <row r="50" spans="1:18" ht="15" customHeight="1" x14ac:dyDescent="0.3">
      <c r="A50" s="66"/>
      <c r="B50" s="205"/>
      <c r="C50" s="143" t="s">
        <v>1</v>
      </c>
      <c r="D50" s="130">
        <v>42369</v>
      </c>
      <c r="E50" s="130">
        <v>42735</v>
      </c>
      <c r="F50" s="130">
        <v>43100</v>
      </c>
      <c r="G50" s="130">
        <v>43465</v>
      </c>
      <c r="H50" s="130">
        <v>43830</v>
      </c>
      <c r="I50" s="170"/>
      <c r="J50" s="1"/>
      <c r="K50" s="1"/>
      <c r="L50" s="1"/>
      <c r="M50" s="1"/>
      <c r="N50" s="1"/>
      <c r="O50" s="1" t="s">
        <v>370</v>
      </c>
      <c r="P50" s="1"/>
      <c r="Q50" s="1"/>
      <c r="R50" s="1"/>
    </row>
    <row r="51" spans="1:18" x14ac:dyDescent="0.3">
      <c r="A51" s="55"/>
      <c r="B51" s="203"/>
      <c r="C51" s="203"/>
      <c r="D51" s="210"/>
      <c r="E51" s="211"/>
      <c r="F51" s="211"/>
      <c r="G51" s="211"/>
      <c r="H51" s="211"/>
      <c r="I51" s="1"/>
      <c r="J51" s="1"/>
      <c r="K51" s="1"/>
      <c r="L51" s="1"/>
      <c r="M51" s="1"/>
      <c r="N51" s="1"/>
      <c r="O51" s="1"/>
      <c r="P51" s="1"/>
      <c r="Q51" s="1"/>
      <c r="R51" s="1"/>
    </row>
    <row r="52" spans="1:18" x14ac:dyDescent="0.3">
      <c r="A52" s="1"/>
      <c r="B52" s="8" t="s">
        <v>399</v>
      </c>
      <c r="C52" s="203"/>
      <c r="D52" s="171">
        <f>SUM(D55:D56)</f>
        <v>4921</v>
      </c>
      <c r="E52" s="166">
        <f t="shared" ref="E52:H52" si="6">SUM(E55:E56)</f>
        <v>4860</v>
      </c>
      <c r="F52" s="166">
        <f t="shared" si="6"/>
        <v>5796</v>
      </c>
      <c r="G52" s="166">
        <f t="shared" si="6"/>
        <v>6494</v>
      </c>
      <c r="H52" s="166">
        <f t="shared" si="6"/>
        <v>7324</v>
      </c>
      <c r="I52" s="1"/>
      <c r="J52" s="1"/>
      <c r="K52" s="1"/>
      <c r="L52" s="1"/>
      <c r="M52" s="1"/>
      <c r="N52" s="1"/>
      <c r="O52" s="1"/>
      <c r="P52" s="1"/>
      <c r="Q52" s="1"/>
      <c r="R52" s="1"/>
    </row>
    <row r="53" spans="1:18" ht="16.8" hidden="1" outlineLevel="1" x14ac:dyDescent="0.4">
      <c r="A53" s="1"/>
      <c r="B53" s="5" t="s">
        <v>167</v>
      </c>
      <c r="C53" s="203"/>
      <c r="D53" s="172">
        <v>3947</v>
      </c>
      <c r="E53" s="164">
        <v>3734</v>
      </c>
      <c r="F53" s="164">
        <v>4633</v>
      </c>
      <c r="G53" s="164">
        <v>5268</v>
      </c>
      <c r="H53" s="164">
        <v>6046</v>
      </c>
      <c r="I53" s="1"/>
      <c r="J53" s="1"/>
      <c r="K53" s="1"/>
      <c r="L53" s="1"/>
      <c r="M53" s="1"/>
      <c r="N53" s="1"/>
      <c r="O53" s="1"/>
      <c r="P53" s="1"/>
      <c r="Q53" s="1"/>
      <c r="R53" s="1"/>
    </row>
    <row r="54" spans="1:18" ht="16.8" hidden="1" outlineLevel="1" x14ac:dyDescent="0.4">
      <c r="A54" s="1"/>
      <c r="B54" s="5" t="s">
        <v>169</v>
      </c>
      <c r="C54" s="203"/>
      <c r="D54" s="172">
        <v>785</v>
      </c>
      <c r="E54" s="164">
        <v>847</v>
      </c>
      <c r="F54" s="164">
        <v>957</v>
      </c>
      <c r="G54" s="164">
        <v>1003</v>
      </c>
      <c r="H54" s="164">
        <v>1076</v>
      </c>
      <c r="I54" s="1"/>
      <c r="J54" s="1"/>
      <c r="K54" s="1"/>
      <c r="L54" s="1"/>
      <c r="M54" s="1"/>
      <c r="N54" s="1"/>
      <c r="O54" s="1"/>
      <c r="P54" s="1"/>
      <c r="Q54" s="1"/>
      <c r="R54" s="1"/>
    </row>
    <row r="55" spans="1:18" ht="16.8" hidden="1" outlineLevel="1" x14ac:dyDescent="0.4">
      <c r="A55" s="1"/>
      <c r="B55" s="14" t="s">
        <v>171</v>
      </c>
      <c r="C55" s="203"/>
      <c r="D55" s="173">
        <f>SUM(D53:D54)</f>
        <v>4732</v>
      </c>
      <c r="E55" s="165">
        <f>SUM(E53:E54)</f>
        <v>4581</v>
      </c>
      <c r="F55" s="165">
        <f>SUM(F53:F54)</f>
        <v>5590</v>
      </c>
      <c r="G55" s="165">
        <f>SUM(G53:G54)</f>
        <v>6271</v>
      </c>
      <c r="H55" s="165">
        <f>SUM(H53:H54)</f>
        <v>7122</v>
      </c>
      <c r="I55" s="1"/>
      <c r="J55" s="1"/>
      <c r="K55" s="1"/>
      <c r="L55" s="1"/>
      <c r="M55" s="1"/>
      <c r="N55" s="1"/>
      <c r="O55" s="1"/>
      <c r="P55" s="1"/>
      <c r="Q55" s="1"/>
      <c r="R55" s="1"/>
    </row>
    <row r="56" spans="1:18" ht="16.8" hidden="1" outlineLevel="1" x14ac:dyDescent="0.4">
      <c r="A56" s="1"/>
      <c r="B56" s="5" t="s">
        <v>173</v>
      </c>
      <c r="C56" s="203"/>
      <c r="D56" s="172">
        <v>189</v>
      </c>
      <c r="E56" s="164">
        <v>279</v>
      </c>
      <c r="F56" s="164">
        <v>206</v>
      </c>
      <c r="G56" s="164">
        <v>223</v>
      </c>
      <c r="H56" s="164">
        <v>202</v>
      </c>
      <c r="I56" s="1"/>
      <c r="J56" s="1"/>
      <c r="K56" s="1"/>
      <c r="L56" s="1"/>
      <c r="M56" s="1"/>
      <c r="N56" s="1"/>
      <c r="O56" s="1"/>
      <c r="P56" s="1"/>
      <c r="Q56" s="1"/>
      <c r="R56" s="1"/>
    </row>
    <row r="57" spans="1:18" collapsed="1" x14ac:dyDescent="0.3">
      <c r="A57" s="1"/>
      <c r="B57" s="5"/>
      <c r="C57" s="202"/>
      <c r="D57" s="172"/>
      <c r="E57" s="172"/>
      <c r="F57" s="164"/>
      <c r="G57" s="164"/>
      <c r="H57" s="164"/>
      <c r="I57" s="1"/>
      <c r="J57" s="1"/>
      <c r="K57" s="1"/>
      <c r="L57" s="1"/>
      <c r="M57" s="1"/>
      <c r="N57" s="1"/>
      <c r="O57" s="1"/>
      <c r="P57" s="1"/>
      <c r="Q57" s="1"/>
      <c r="R57" s="1"/>
    </row>
    <row r="58" spans="1:18" x14ac:dyDescent="0.3">
      <c r="A58" s="1"/>
      <c r="B58" s="5" t="s">
        <v>177</v>
      </c>
      <c r="C58" s="202"/>
      <c r="D58" s="172">
        <v>-286</v>
      </c>
      <c r="E58" s="172">
        <v>-2101</v>
      </c>
      <c r="F58" s="164">
        <v>-2831</v>
      </c>
      <c r="G58" s="164">
        <v>-3346</v>
      </c>
      <c r="H58" s="164">
        <v>-4004</v>
      </c>
      <c r="I58" s="1"/>
      <c r="J58" s="1"/>
      <c r="K58" s="1"/>
      <c r="L58" s="1"/>
      <c r="M58" s="1"/>
      <c r="N58" s="1"/>
      <c r="O58" s="1"/>
      <c r="P58" s="1"/>
      <c r="Q58" s="1"/>
      <c r="R58" s="1"/>
    </row>
    <row r="59" spans="1:18" x14ac:dyDescent="0.3">
      <c r="A59" s="1"/>
      <c r="B59" s="5" t="s">
        <v>179</v>
      </c>
      <c r="C59" s="202"/>
      <c r="D59" s="172">
        <v>-706</v>
      </c>
      <c r="E59" s="172">
        <v>-758</v>
      </c>
      <c r="F59" s="164">
        <v>-850</v>
      </c>
      <c r="G59" s="164">
        <v>-986</v>
      </c>
      <c r="H59" s="164">
        <v>-1152</v>
      </c>
      <c r="I59" s="1"/>
      <c r="J59" s="1"/>
      <c r="K59" s="1"/>
      <c r="L59" s="1"/>
      <c r="M59" s="1"/>
      <c r="N59" s="1"/>
      <c r="O59" s="1"/>
      <c r="P59" s="1"/>
      <c r="Q59" s="1"/>
      <c r="R59" s="1"/>
    </row>
    <row r="60" spans="1:18" x14ac:dyDescent="0.3">
      <c r="A60" s="1"/>
      <c r="B60" s="5" t="s">
        <v>183</v>
      </c>
      <c r="C60" s="202"/>
      <c r="D60" s="172">
        <v>-252</v>
      </c>
      <c r="E60" s="172">
        <v>-243</v>
      </c>
      <c r="F60" s="164">
        <v>-281</v>
      </c>
      <c r="G60" s="164">
        <v>-266</v>
      </c>
      <c r="H60" s="164">
        <v>-234</v>
      </c>
      <c r="I60" s="1"/>
      <c r="J60" s="1"/>
      <c r="K60" s="1"/>
      <c r="L60" s="1"/>
      <c r="M60" s="1"/>
      <c r="N60" s="1"/>
      <c r="O60" s="1"/>
      <c r="P60" s="1"/>
      <c r="Q60" s="1"/>
      <c r="R60" s="1"/>
    </row>
    <row r="61" spans="1:18" x14ac:dyDescent="0.3">
      <c r="A61" s="1"/>
      <c r="B61" s="5" t="s">
        <v>388</v>
      </c>
      <c r="C61" s="202"/>
      <c r="D61" s="172">
        <f>-SUM(D66:D67)</f>
        <v>-629</v>
      </c>
      <c r="E61" s="172">
        <f>-SUM(E66:E67)</f>
        <v>-596</v>
      </c>
      <c r="F61" s="164">
        <f>-SUM(F66:F67)</f>
        <v>-635</v>
      </c>
      <c r="G61" s="164">
        <f>-SUM(G66:G67)</f>
        <v>-665</v>
      </c>
      <c r="H61" s="164">
        <f>-SUM(H66:H67)</f>
        <v>-700</v>
      </c>
      <c r="I61" s="1"/>
      <c r="J61" s="1"/>
      <c r="K61" s="1"/>
      <c r="L61" s="1"/>
      <c r="M61" s="1"/>
      <c r="N61" s="1"/>
      <c r="O61" s="1"/>
      <c r="P61" s="1"/>
      <c r="Q61" s="1"/>
      <c r="R61" s="1"/>
    </row>
    <row r="62" spans="1:18" ht="16.8" hidden="1" outlineLevel="1" x14ac:dyDescent="0.4">
      <c r="A62" s="1"/>
      <c r="B62" s="5" t="s">
        <v>187</v>
      </c>
      <c r="C62" s="202"/>
      <c r="D62" s="172">
        <v>441</v>
      </c>
      <c r="E62" s="172">
        <v>433</v>
      </c>
      <c r="F62" s="164">
        <v>471</v>
      </c>
      <c r="G62" s="164">
        <v>494</v>
      </c>
      <c r="H62" s="164">
        <v>527</v>
      </c>
      <c r="I62" s="1"/>
      <c r="J62" s="1"/>
      <c r="K62" s="1"/>
      <c r="L62" s="1"/>
      <c r="M62" s="1"/>
      <c r="N62" s="1"/>
      <c r="O62" s="1"/>
      <c r="P62" s="1"/>
      <c r="Q62" s="1"/>
      <c r="R62" s="1"/>
    </row>
    <row r="63" spans="1:18" ht="16.8" hidden="1" outlineLevel="1" x14ac:dyDescent="0.4">
      <c r="A63" s="1"/>
      <c r="B63" s="5" t="s">
        <v>189</v>
      </c>
      <c r="C63" s="202"/>
      <c r="D63" s="172">
        <v>163</v>
      </c>
      <c r="E63" s="172">
        <v>146</v>
      </c>
      <c r="F63" s="164">
        <v>160</v>
      </c>
      <c r="G63" s="164">
        <v>173</v>
      </c>
      <c r="H63" s="164">
        <v>179</v>
      </c>
      <c r="I63" s="1"/>
      <c r="J63" s="1"/>
      <c r="K63" s="1"/>
      <c r="L63" s="1"/>
      <c r="M63" s="1"/>
      <c r="N63" s="1"/>
      <c r="O63" s="1"/>
      <c r="P63" s="1"/>
      <c r="Q63" s="1"/>
      <c r="R63" s="1"/>
    </row>
    <row r="64" spans="1:18" ht="16.8" hidden="1" outlineLevel="1" x14ac:dyDescent="0.4">
      <c r="A64" s="1"/>
      <c r="B64" s="5" t="s">
        <v>191</v>
      </c>
      <c r="C64" s="202"/>
      <c r="D64" s="172">
        <v>25</v>
      </c>
      <c r="E64" s="172">
        <v>26</v>
      </c>
      <c r="F64" s="164">
        <v>29</v>
      </c>
      <c r="G64" s="164">
        <v>31</v>
      </c>
      <c r="H64" s="164">
        <v>31</v>
      </c>
      <c r="I64" s="1"/>
      <c r="J64" s="1"/>
      <c r="K64" s="1"/>
      <c r="L64" s="1"/>
      <c r="M64" s="1"/>
      <c r="N64" s="1"/>
      <c r="O64" s="1"/>
      <c r="P64" s="1"/>
      <c r="Q64" s="1"/>
      <c r="R64" s="1"/>
    </row>
    <row r="65" spans="1:18" ht="16.8" hidden="1" outlineLevel="1" x14ac:dyDescent="0.4">
      <c r="A65" s="1"/>
      <c r="B65" s="5" t="s">
        <v>192</v>
      </c>
      <c r="C65" s="202"/>
      <c r="D65" s="172">
        <v>27</v>
      </c>
      <c r="E65" s="172">
        <v>36</v>
      </c>
      <c r="F65" s="164">
        <v>27</v>
      </c>
      <c r="G65" s="164">
        <v>33</v>
      </c>
      <c r="H65" s="164">
        <v>42</v>
      </c>
      <c r="I65" s="1"/>
      <c r="J65" s="1"/>
      <c r="K65" s="1"/>
      <c r="L65" s="1"/>
      <c r="M65" s="1"/>
      <c r="N65" s="1"/>
      <c r="O65" s="1"/>
      <c r="P65" s="1"/>
      <c r="Q65" s="1"/>
      <c r="R65" s="1"/>
    </row>
    <row r="66" spans="1:18" ht="16.8" hidden="1" outlineLevel="1" x14ac:dyDescent="0.4">
      <c r="A66" s="1"/>
      <c r="B66" s="14" t="s">
        <v>194</v>
      </c>
      <c r="C66" s="202"/>
      <c r="D66" s="173">
        <f>SUM(D62:D65)</f>
        <v>656</v>
      </c>
      <c r="E66" s="173">
        <f>SUM(E62:E65)</f>
        <v>641</v>
      </c>
      <c r="F66" s="165">
        <f>SUM(F62:F65)</f>
        <v>687</v>
      </c>
      <c r="G66" s="165">
        <f t="shared" ref="G66" si="7">SUM(G62:G65)</f>
        <v>731</v>
      </c>
      <c r="H66" s="165">
        <f>SUM(H62:H65)</f>
        <v>779</v>
      </c>
      <c r="I66" s="1"/>
      <c r="J66" s="1"/>
      <c r="K66" s="1"/>
      <c r="L66" s="1"/>
      <c r="M66" s="1"/>
      <c r="N66" s="1"/>
      <c r="O66" s="1"/>
      <c r="P66" s="1"/>
      <c r="Q66" s="1"/>
      <c r="R66" s="1"/>
    </row>
    <row r="67" spans="1:18" ht="16.8" hidden="1" outlineLevel="1" x14ac:dyDescent="0.4">
      <c r="A67" s="1"/>
      <c r="B67" s="5" t="s">
        <v>196</v>
      </c>
      <c r="C67" s="202"/>
      <c r="D67" s="172">
        <v>-27</v>
      </c>
      <c r="E67" s="172">
        <v>-45</v>
      </c>
      <c r="F67" s="164">
        <v>-52</v>
      </c>
      <c r="G67" s="164">
        <v>-66</v>
      </c>
      <c r="H67" s="164">
        <v>-79</v>
      </c>
      <c r="I67" s="1"/>
      <c r="J67" s="1"/>
      <c r="K67" s="1"/>
      <c r="L67" s="1"/>
      <c r="M67" s="1"/>
      <c r="N67" s="1"/>
      <c r="O67" s="1"/>
      <c r="P67" s="1"/>
      <c r="Q67" s="1"/>
      <c r="R67" s="1"/>
    </row>
    <row r="68" spans="1:18" collapsed="1" x14ac:dyDescent="0.3">
      <c r="A68" s="1"/>
      <c r="B68" s="15" t="s">
        <v>398</v>
      </c>
      <c r="C68" s="206"/>
      <c r="D68" s="187">
        <f>SUM(D58:D61)</f>
        <v>-1873</v>
      </c>
      <c r="E68" s="187">
        <f>SUM(E58:E61)</f>
        <v>-3698</v>
      </c>
      <c r="F68" s="188">
        <f>SUM(F58:F61)</f>
        <v>-4597</v>
      </c>
      <c r="G68" s="188">
        <f>SUM(G58:G61)</f>
        <v>-5263</v>
      </c>
      <c r="H68" s="188">
        <f>SUM(H58:H61)</f>
        <v>-6090</v>
      </c>
      <c r="I68" s="1"/>
      <c r="J68" s="1"/>
      <c r="K68" s="1"/>
      <c r="L68" s="1"/>
      <c r="M68" s="1"/>
      <c r="N68" s="1"/>
      <c r="O68" s="1"/>
      <c r="P68" s="1"/>
      <c r="Q68" s="1"/>
      <c r="R68" s="1"/>
    </row>
    <row r="69" spans="1:18" x14ac:dyDescent="0.3">
      <c r="A69" s="1"/>
      <c r="B69" s="8"/>
      <c r="C69" s="202"/>
      <c r="D69" s="172"/>
      <c r="E69" s="172"/>
      <c r="F69" s="164"/>
      <c r="G69" s="164"/>
      <c r="H69" s="164"/>
      <c r="I69" s="1"/>
      <c r="J69" s="1"/>
      <c r="K69" s="1"/>
      <c r="L69" s="1"/>
      <c r="M69" s="1"/>
      <c r="N69" s="1"/>
      <c r="O69" s="1"/>
      <c r="P69" s="1"/>
      <c r="Q69" s="1"/>
      <c r="R69" s="1"/>
    </row>
    <row r="70" spans="1:18" x14ac:dyDescent="0.3">
      <c r="A70" s="1"/>
      <c r="B70" s="24" t="s">
        <v>324</v>
      </c>
      <c r="C70" s="207"/>
      <c r="D70" s="182">
        <f>SUM(D52,D68)</f>
        <v>3048</v>
      </c>
      <c r="E70" s="182">
        <f>SUM(E52,E68)</f>
        <v>1162</v>
      </c>
      <c r="F70" s="167">
        <f>SUM(F52,F68)</f>
        <v>1199</v>
      </c>
      <c r="G70" s="167">
        <f>SUM(G52,G68)</f>
        <v>1231</v>
      </c>
      <c r="H70" s="167">
        <f>SUM(H52,H68)</f>
        <v>1234</v>
      </c>
      <c r="I70" s="1"/>
      <c r="J70" s="1"/>
      <c r="K70" s="1"/>
      <c r="L70" s="1"/>
      <c r="M70" s="1"/>
      <c r="N70" s="1"/>
      <c r="O70" s="1"/>
      <c r="P70" s="1"/>
      <c r="Q70" s="1"/>
      <c r="R70" s="1"/>
    </row>
    <row r="71" spans="1:18" x14ac:dyDescent="0.3">
      <c r="A71" s="1"/>
      <c r="B71" s="5"/>
      <c r="C71" s="202"/>
      <c r="D71" s="276"/>
      <c r="E71" s="276"/>
      <c r="F71" s="168"/>
      <c r="G71" s="168"/>
      <c r="H71" s="168"/>
      <c r="I71" s="1"/>
      <c r="J71" s="1"/>
      <c r="K71" s="1"/>
      <c r="L71" s="1"/>
      <c r="M71" s="1"/>
      <c r="N71" s="1"/>
      <c r="O71" s="1"/>
      <c r="P71" s="1"/>
      <c r="Q71" s="1"/>
      <c r="R71" s="1"/>
    </row>
    <row r="72" spans="1:18" x14ac:dyDescent="0.3">
      <c r="A72" s="1"/>
      <c r="B72" s="5" t="s">
        <v>389</v>
      </c>
      <c r="C72" s="202"/>
      <c r="D72" s="172">
        <f>-SUM(D73:D75)</f>
        <v>-754</v>
      </c>
      <c r="E72" s="172">
        <f t="shared" ref="E72:H72" si="8">-SUM(E73:E75)</f>
        <v>-648</v>
      </c>
      <c r="F72" s="164">
        <f t="shared" si="8"/>
        <v>-444</v>
      </c>
      <c r="G72" s="164">
        <f t="shared" si="8"/>
        <v>-623</v>
      </c>
      <c r="H72" s="164">
        <f t="shared" si="8"/>
        <v>-511</v>
      </c>
      <c r="I72" s="1"/>
      <c r="J72" s="1"/>
      <c r="K72" s="1"/>
      <c r="L72" s="1"/>
      <c r="M72" s="1"/>
      <c r="N72" s="1"/>
      <c r="O72" s="1"/>
      <c r="P72" s="1"/>
      <c r="Q72" s="1"/>
      <c r="R72" s="1"/>
    </row>
    <row r="73" spans="1:18" ht="16.8" hidden="1" outlineLevel="1" x14ac:dyDescent="0.4">
      <c r="A73" s="1"/>
      <c r="B73" s="5" t="s">
        <v>202</v>
      </c>
      <c r="C73" s="202"/>
      <c r="D73" s="172">
        <v>54</v>
      </c>
      <c r="E73" s="172">
        <v>55</v>
      </c>
      <c r="F73" s="164">
        <v>72</v>
      </c>
      <c r="G73" s="164">
        <v>91</v>
      </c>
      <c r="H73" s="164">
        <v>123</v>
      </c>
      <c r="I73" s="1"/>
      <c r="J73" s="1"/>
      <c r="K73" s="1"/>
      <c r="L73" s="1"/>
      <c r="M73" s="1"/>
      <c r="N73" s="1"/>
      <c r="O73" s="1"/>
      <c r="P73" s="1"/>
      <c r="Q73" s="1"/>
      <c r="R73" s="1"/>
    </row>
    <row r="74" spans="1:18" ht="16.8" hidden="1" outlineLevel="1" x14ac:dyDescent="0.4">
      <c r="A74" s="1"/>
      <c r="B74" s="5" t="s">
        <v>204</v>
      </c>
      <c r="C74" s="202"/>
      <c r="D74" s="172">
        <v>341</v>
      </c>
      <c r="E74" s="172">
        <v>348</v>
      </c>
      <c r="F74" s="164">
        <v>338</v>
      </c>
      <c r="G74" s="164">
        <v>372</v>
      </c>
      <c r="H74" s="164">
        <v>379</v>
      </c>
      <c r="I74" s="1"/>
      <c r="J74" s="1"/>
      <c r="K74" s="1"/>
      <c r="L74" s="1"/>
      <c r="M74" s="1"/>
      <c r="N74" s="1"/>
      <c r="O74" s="1"/>
      <c r="P74" s="1"/>
      <c r="Q74" s="1"/>
      <c r="R74" s="1"/>
    </row>
    <row r="75" spans="1:18" ht="16.8" hidden="1" outlineLevel="1" x14ac:dyDescent="0.4">
      <c r="A75" s="8"/>
      <c r="B75" s="5" t="s">
        <v>206</v>
      </c>
      <c r="C75" s="202"/>
      <c r="D75" s="172">
        <v>359</v>
      </c>
      <c r="E75" s="172">
        <v>245</v>
      </c>
      <c r="F75" s="164">
        <v>34</v>
      </c>
      <c r="G75" s="164">
        <v>160</v>
      </c>
      <c r="H75" s="164">
        <v>9</v>
      </c>
      <c r="I75" s="1"/>
      <c r="J75" s="1"/>
      <c r="K75" s="1"/>
      <c r="L75" s="1"/>
      <c r="M75" s="1"/>
      <c r="N75" s="1"/>
      <c r="O75" s="1"/>
      <c r="P75" s="1"/>
      <c r="Q75" s="1"/>
      <c r="R75" s="1"/>
    </row>
    <row r="76" spans="1:18" collapsed="1" x14ac:dyDescent="0.3">
      <c r="A76" s="8"/>
      <c r="B76" s="5" t="s">
        <v>390</v>
      </c>
      <c r="C76" s="202"/>
      <c r="D76" s="173">
        <f>-SUM(D77:D78)</f>
        <v>-79</v>
      </c>
      <c r="E76" s="173">
        <f t="shared" ref="E76:H76" si="9">-SUM(E77:E78)</f>
        <v>-71</v>
      </c>
      <c r="F76" s="165">
        <f t="shared" si="9"/>
        <v>-45</v>
      </c>
      <c r="G76" s="165">
        <f t="shared" si="9"/>
        <v>-20</v>
      </c>
      <c r="H76" s="165">
        <f t="shared" si="9"/>
        <v>-36</v>
      </c>
      <c r="I76" s="1"/>
      <c r="J76" s="1"/>
      <c r="K76" s="1"/>
      <c r="L76" s="1"/>
      <c r="M76" s="1"/>
      <c r="N76" s="1"/>
      <c r="O76" s="1"/>
      <c r="P76" s="1"/>
      <c r="Q76" s="1"/>
      <c r="R76" s="1"/>
    </row>
    <row r="77" spans="1:18" ht="16.8" hidden="1" outlineLevel="1" x14ac:dyDescent="0.4">
      <c r="A77" s="1"/>
      <c r="B77" s="5" t="s">
        <v>210</v>
      </c>
      <c r="C77" s="202"/>
      <c r="D77" s="172">
        <v>57</v>
      </c>
      <c r="E77" s="172">
        <v>50</v>
      </c>
      <c r="F77" s="164">
        <v>10</v>
      </c>
      <c r="G77" s="164">
        <v>-5</v>
      </c>
      <c r="H77" s="164">
        <v>21</v>
      </c>
      <c r="I77" s="1"/>
      <c r="J77" s="1"/>
      <c r="K77" s="1"/>
      <c r="L77" s="1"/>
      <c r="M77" s="1"/>
      <c r="N77" s="1"/>
      <c r="O77" s="1"/>
      <c r="P77" s="1"/>
      <c r="Q77" s="1"/>
      <c r="R77" s="1"/>
    </row>
    <row r="78" spans="1:18" ht="16.8" hidden="1" outlineLevel="1" x14ac:dyDescent="0.4">
      <c r="A78" s="1"/>
      <c r="B78" s="128" t="s">
        <v>212</v>
      </c>
      <c r="C78" s="202"/>
      <c r="D78" s="172">
        <v>22</v>
      </c>
      <c r="E78" s="172">
        <v>21</v>
      </c>
      <c r="F78" s="164">
        <v>35</v>
      </c>
      <c r="G78" s="164">
        <v>25</v>
      </c>
      <c r="H78" s="164">
        <v>15</v>
      </c>
      <c r="I78" s="1"/>
      <c r="J78" s="1"/>
      <c r="K78" s="1"/>
      <c r="L78" s="1"/>
      <c r="M78" s="1"/>
      <c r="N78" s="1"/>
      <c r="O78" s="1"/>
      <c r="P78" s="1"/>
      <c r="Q78" s="1"/>
      <c r="R78" s="1"/>
    </row>
    <row r="79" spans="1:18" collapsed="1" x14ac:dyDescent="0.3">
      <c r="A79" s="1"/>
      <c r="B79" s="8"/>
      <c r="C79" s="202"/>
      <c r="D79" s="171"/>
      <c r="E79" s="172"/>
      <c r="F79" s="166"/>
      <c r="G79" s="166"/>
      <c r="H79" s="166"/>
      <c r="I79" s="1"/>
      <c r="J79" s="1"/>
      <c r="K79" s="1"/>
      <c r="L79" s="1"/>
      <c r="M79" s="1"/>
      <c r="N79" s="1"/>
      <c r="O79" s="1"/>
      <c r="P79" s="1"/>
      <c r="Q79" s="1"/>
      <c r="R79" s="1"/>
    </row>
    <row r="80" spans="1:18" x14ac:dyDescent="0.3">
      <c r="A80" s="1"/>
      <c r="B80" s="24" t="s">
        <v>303</v>
      </c>
      <c r="C80" s="207"/>
      <c r="D80" s="182">
        <f>SUM(D70,D72,D76)</f>
        <v>2215</v>
      </c>
      <c r="E80" s="182">
        <f>SUM(E70,E72,E76)</f>
        <v>443</v>
      </c>
      <c r="F80" s="167">
        <f>SUM(F70,F72,F76)</f>
        <v>710</v>
      </c>
      <c r="G80" s="167">
        <f>SUM(G70,G72,G76)</f>
        <v>588</v>
      </c>
      <c r="H80" s="167">
        <f>SUM(H70,H72,H76)</f>
        <v>687</v>
      </c>
      <c r="I80" s="1"/>
      <c r="J80" s="1"/>
      <c r="K80" s="1"/>
      <c r="L80" s="1"/>
      <c r="M80" s="1"/>
      <c r="N80" s="1"/>
      <c r="O80" s="1"/>
      <c r="P80" s="1"/>
      <c r="Q80" s="1"/>
      <c r="R80" s="1"/>
    </row>
    <row r="81" spans="1:18" ht="15" customHeight="1" x14ac:dyDescent="0.3">
      <c r="A81" s="1"/>
      <c r="B81" s="8"/>
      <c r="C81" s="202"/>
      <c r="D81" s="171"/>
      <c r="E81" s="172"/>
      <c r="F81" s="166"/>
      <c r="G81" s="166"/>
      <c r="H81" s="166"/>
      <c r="I81" s="1"/>
      <c r="J81" s="1"/>
      <c r="K81" s="1"/>
      <c r="L81" s="1"/>
      <c r="M81" s="1"/>
      <c r="N81" s="1"/>
      <c r="O81" s="1"/>
      <c r="P81" s="1"/>
      <c r="Q81" s="1"/>
      <c r="R81" s="1"/>
    </row>
    <row r="82" spans="1:18" x14ac:dyDescent="0.3">
      <c r="A82" s="1"/>
      <c r="B82" s="5" t="s">
        <v>217</v>
      </c>
      <c r="C82" s="202"/>
      <c r="D82" s="172">
        <v>1</v>
      </c>
      <c r="E82" s="172">
        <v>52</v>
      </c>
      <c r="F82" s="164">
        <v>0</v>
      </c>
      <c r="G82" s="164">
        <v>14</v>
      </c>
      <c r="H82" s="164">
        <v>4</v>
      </c>
      <c r="I82" s="1"/>
      <c r="J82" s="1"/>
      <c r="K82" s="1"/>
      <c r="L82" s="1"/>
      <c r="M82" s="1"/>
      <c r="N82" s="1"/>
      <c r="O82" s="1"/>
      <c r="P82" s="1"/>
      <c r="Q82" s="1"/>
      <c r="R82" s="1"/>
    </row>
    <row r="83" spans="1:18" x14ac:dyDescent="0.3">
      <c r="A83" s="5"/>
      <c r="B83" s="5" t="s">
        <v>219</v>
      </c>
      <c r="C83" s="202"/>
      <c r="D83" s="172">
        <f>SUM(D87,-D96,D97)</f>
        <v>-138</v>
      </c>
      <c r="E83" s="172">
        <f t="shared" ref="E83:H83" si="10">SUM(E87,-E96,E97)</f>
        <v>-161</v>
      </c>
      <c r="F83" s="164">
        <f t="shared" si="10"/>
        <v>-134</v>
      </c>
      <c r="G83" s="164">
        <f t="shared" si="10"/>
        <v>-112</v>
      </c>
      <c r="H83" s="164">
        <f t="shared" si="10"/>
        <v>-110</v>
      </c>
      <c r="I83" s="1"/>
      <c r="J83" s="1"/>
      <c r="K83" s="1"/>
      <c r="L83" s="1"/>
      <c r="M83" s="1"/>
      <c r="N83" s="1"/>
      <c r="O83" s="1"/>
      <c r="P83" s="1"/>
      <c r="Q83" s="1"/>
      <c r="R83" s="1"/>
    </row>
    <row r="84" spans="1:18" ht="16.8" hidden="1" outlineLevel="1" x14ac:dyDescent="0.4">
      <c r="A84" s="1"/>
      <c r="B84" s="5" t="s">
        <v>221</v>
      </c>
      <c r="C84" s="202"/>
      <c r="D84" s="172"/>
      <c r="E84" s="172"/>
      <c r="F84" s="164"/>
      <c r="G84" s="164"/>
      <c r="H84" s="164"/>
      <c r="I84" s="1"/>
      <c r="J84" s="1"/>
      <c r="K84" s="1"/>
      <c r="L84" s="1"/>
      <c r="M84" s="1"/>
      <c r="N84" s="1"/>
      <c r="O84" s="1"/>
      <c r="P84" s="1"/>
      <c r="Q84" s="1"/>
      <c r="R84" s="1"/>
    </row>
    <row r="85" spans="1:18" ht="16.8" hidden="1" outlineLevel="1" x14ac:dyDescent="0.4">
      <c r="A85" s="1"/>
      <c r="B85" s="5" t="s">
        <v>223</v>
      </c>
      <c r="C85" s="202"/>
      <c r="D85" s="172"/>
      <c r="E85" s="172"/>
      <c r="F85" s="164"/>
      <c r="G85" s="164">
        <v>0</v>
      </c>
      <c r="H85" s="164">
        <v>4</v>
      </c>
      <c r="I85" s="1"/>
      <c r="J85" s="1"/>
      <c r="K85" s="1"/>
      <c r="L85" s="1"/>
      <c r="M85" s="1"/>
      <c r="N85" s="1"/>
      <c r="O85" s="1"/>
      <c r="P85" s="1"/>
      <c r="Q85" s="1"/>
      <c r="R85" s="1"/>
    </row>
    <row r="86" spans="1:18" ht="16.8" hidden="1" outlineLevel="1" x14ac:dyDescent="0.4">
      <c r="A86" s="151"/>
      <c r="B86" s="5" t="s">
        <v>224</v>
      </c>
      <c r="C86" s="202"/>
      <c r="D86" s="172"/>
      <c r="E86" s="172"/>
      <c r="F86" s="164"/>
      <c r="G86" s="164">
        <v>16</v>
      </c>
      <c r="H86" s="164">
        <v>12</v>
      </c>
      <c r="I86" s="1"/>
      <c r="J86" s="1"/>
      <c r="K86" s="1"/>
      <c r="L86" s="1"/>
      <c r="M86" s="1"/>
      <c r="N86" s="1"/>
      <c r="O86" s="1"/>
      <c r="P86" s="1"/>
      <c r="Q86" s="1"/>
      <c r="R86" s="1"/>
    </row>
    <row r="87" spans="1:18" ht="16.8" hidden="1" outlineLevel="1" x14ac:dyDescent="0.4">
      <c r="A87" s="1"/>
      <c r="B87" s="5" t="s">
        <v>225</v>
      </c>
      <c r="C87" s="202"/>
      <c r="D87" s="172">
        <v>28</v>
      </c>
      <c r="E87" s="172">
        <v>34</v>
      </c>
      <c r="F87" s="164">
        <v>19</v>
      </c>
      <c r="G87" s="164">
        <f t="shared" ref="G87" si="11">SUM(G85:G86)</f>
        <v>16</v>
      </c>
      <c r="H87" s="164">
        <f>SUM(H85:H86)</f>
        <v>16</v>
      </c>
      <c r="I87" s="1"/>
      <c r="J87" s="1"/>
      <c r="K87" s="1"/>
      <c r="L87" s="1"/>
      <c r="M87" s="1"/>
      <c r="N87" s="1"/>
      <c r="O87" s="1"/>
      <c r="P87" s="1"/>
      <c r="Q87" s="1"/>
      <c r="R87" s="1"/>
    </row>
    <row r="88" spans="1:18" ht="16.8" hidden="1" outlineLevel="1" x14ac:dyDescent="0.4">
      <c r="A88" s="5"/>
      <c r="B88" s="5" t="s">
        <v>226</v>
      </c>
      <c r="C88" s="202"/>
      <c r="D88" s="172"/>
      <c r="E88" s="172"/>
      <c r="F88" s="164"/>
      <c r="G88" s="164"/>
      <c r="H88" s="164"/>
      <c r="I88" s="1"/>
      <c r="J88" s="1"/>
      <c r="K88" s="1"/>
      <c r="L88" s="1"/>
      <c r="M88" s="1"/>
      <c r="N88" s="1"/>
      <c r="O88" s="1"/>
      <c r="P88" s="1"/>
      <c r="Q88" s="1"/>
      <c r="R88" s="1"/>
    </row>
    <row r="89" spans="1:18" ht="16.8" hidden="1" outlineLevel="1" x14ac:dyDescent="0.4">
      <c r="A89" s="1"/>
      <c r="B89" s="5" t="s">
        <v>228</v>
      </c>
      <c r="C89" s="202"/>
      <c r="D89" s="172">
        <v>125</v>
      </c>
      <c r="E89" s="172">
        <v>125</v>
      </c>
      <c r="F89" s="164">
        <v>104</v>
      </c>
      <c r="G89" s="164">
        <v>102</v>
      </c>
      <c r="H89" s="164">
        <v>94</v>
      </c>
      <c r="I89" s="1"/>
      <c r="J89" s="1"/>
      <c r="K89" s="1"/>
      <c r="L89" s="1"/>
      <c r="M89" s="1"/>
      <c r="N89" s="1"/>
      <c r="O89" s="1"/>
      <c r="P89" s="1"/>
      <c r="Q89" s="1"/>
      <c r="R89" s="1"/>
    </row>
    <row r="90" spans="1:18" ht="16.8" hidden="1" outlineLevel="1" x14ac:dyDescent="0.4">
      <c r="A90" s="1"/>
      <c r="B90" s="5" t="s">
        <v>230</v>
      </c>
      <c r="C90" s="202"/>
      <c r="D90" s="172">
        <v>15</v>
      </c>
      <c r="E90" s="172">
        <v>9</v>
      </c>
      <c r="F90" s="164">
        <v>9</v>
      </c>
      <c r="G90" s="164">
        <v>6</v>
      </c>
      <c r="H90" s="164">
        <v>4</v>
      </c>
      <c r="I90" s="1"/>
      <c r="J90" s="1"/>
      <c r="K90" s="1"/>
      <c r="L90" s="1"/>
      <c r="M90" s="1"/>
      <c r="N90" s="1"/>
      <c r="O90" s="1"/>
      <c r="P90" s="1"/>
      <c r="Q90" s="1"/>
      <c r="R90" s="1"/>
    </row>
    <row r="91" spans="1:18" ht="16.8" hidden="1" outlineLevel="1" x14ac:dyDescent="0.4">
      <c r="A91" s="1"/>
      <c r="B91" s="5" t="s">
        <v>232</v>
      </c>
      <c r="C91" s="202"/>
      <c r="D91" s="172">
        <v>5</v>
      </c>
      <c r="E91" s="172">
        <v>6</v>
      </c>
      <c r="F91" s="164">
        <v>8</v>
      </c>
      <c r="G91" s="164">
        <v>8</v>
      </c>
      <c r="H91" s="164">
        <v>7</v>
      </c>
      <c r="I91" s="1"/>
      <c r="J91" s="1"/>
      <c r="K91" s="1"/>
      <c r="L91" s="1"/>
      <c r="M91" s="1"/>
      <c r="N91" s="1"/>
      <c r="O91" s="1"/>
      <c r="P91" s="1"/>
      <c r="Q91" s="1"/>
      <c r="R91" s="1"/>
    </row>
    <row r="92" spans="1:18" ht="16.8" hidden="1" outlineLevel="1" x14ac:dyDescent="0.4">
      <c r="A92" s="1"/>
      <c r="B92" s="5" t="s">
        <v>234</v>
      </c>
      <c r="C92" s="202"/>
      <c r="D92" s="172">
        <v>0</v>
      </c>
      <c r="E92" s="172">
        <v>1</v>
      </c>
      <c r="F92" s="164">
        <v>2</v>
      </c>
      <c r="G92" s="164">
        <v>2</v>
      </c>
      <c r="H92" s="164">
        <v>1</v>
      </c>
      <c r="I92" s="1"/>
      <c r="J92" s="1"/>
      <c r="K92" s="1"/>
      <c r="L92" s="1"/>
      <c r="M92" s="1"/>
      <c r="N92" s="1"/>
      <c r="O92" s="1"/>
      <c r="P92" s="1"/>
      <c r="Q92" s="1"/>
      <c r="R92" s="1"/>
    </row>
    <row r="93" spans="1:18" ht="16.8" hidden="1" outlineLevel="1" x14ac:dyDescent="0.4">
      <c r="A93" s="1"/>
      <c r="B93" s="5" t="s">
        <v>236</v>
      </c>
      <c r="C93" s="202"/>
      <c r="D93" s="172">
        <v>17</v>
      </c>
      <c r="E93" s="172">
        <v>51</v>
      </c>
      <c r="F93" s="164">
        <v>35</v>
      </c>
      <c r="G93" s="164">
        <v>14</v>
      </c>
      <c r="H93" s="164">
        <v>24</v>
      </c>
      <c r="I93" s="1"/>
      <c r="J93" s="1"/>
      <c r="K93" s="1"/>
      <c r="L93" s="1"/>
      <c r="M93" s="1"/>
      <c r="N93" s="1"/>
      <c r="O93" s="1"/>
      <c r="P93" s="1"/>
      <c r="Q93" s="1"/>
      <c r="R93" s="1"/>
    </row>
    <row r="94" spans="1:18" ht="16.8" hidden="1" outlineLevel="1" x14ac:dyDescent="0.4">
      <c r="A94" s="1"/>
      <c r="B94" s="5" t="s">
        <v>238</v>
      </c>
      <c r="C94" s="202"/>
      <c r="D94" s="172">
        <v>162</v>
      </c>
      <c r="E94" s="172">
        <f>SUM(E89:E93)</f>
        <v>192</v>
      </c>
      <c r="F94" s="164">
        <f>SUM(F89:F93)</f>
        <v>158</v>
      </c>
      <c r="G94" s="164">
        <f>SUM(G89:G93)</f>
        <v>132</v>
      </c>
      <c r="H94" s="164">
        <f>SUM(H89:H93)</f>
        <v>130</v>
      </c>
      <c r="I94" s="1"/>
      <c r="J94" s="1"/>
      <c r="K94" s="1"/>
      <c r="L94" s="1"/>
      <c r="M94" s="1"/>
      <c r="N94" s="1"/>
      <c r="O94" s="1"/>
      <c r="P94" s="1"/>
      <c r="Q94" s="1"/>
      <c r="R94" s="1"/>
    </row>
    <row r="95" spans="1:18" ht="16.8" hidden="1" outlineLevel="1" x14ac:dyDescent="0.4">
      <c r="A95" s="1"/>
      <c r="B95" s="5" t="s">
        <v>240</v>
      </c>
      <c r="C95" s="202"/>
      <c r="D95" s="172">
        <v>0</v>
      </c>
      <c r="E95" s="172">
        <v>0</v>
      </c>
      <c r="F95" s="164">
        <v>0</v>
      </c>
      <c r="G95" s="164">
        <v>0</v>
      </c>
      <c r="H95" s="164">
        <v>0</v>
      </c>
      <c r="I95" s="1"/>
      <c r="J95" s="1"/>
      <c r="K95" s="1"/>
      <c r="L95" s="1"/>
      <c r="M95" s="1"/>
      <c r="N95" s="1"/>
      <c r="O95" s="1"/>
      <c r="P95" s="1"/>
      <c r="Q95" s="1"/>
      <c r="R95" s="1"/>
    </row>
    <row r="96" spans="1:18" ht="16.8" hidden="1" outlineLevel="1" x14ac:dyDescent="0.4">
      <c r="A96" s="1"/>
      <c r="B96" s="5" t="s">
        <v>242</v>
      </c>
      <c r="C96" s="202"/>
      <c r="D96" s="172">
        <f>SUM(D94:D95)</f>
        <v>162</v>
      </c>
      <c r="E96" s="172">
        <f>SUM(E94:E95)</f>
        <v>192</v>
      </c>
      <c r="F96" s="164">
        <f>SUM(F94:F95)</f>
        <v>158</v>
      </c>
      <c r="G96" s="164">
        <f>SUM(G94:G95)</f>
        <v>132</v>
      </c>
      <c r="H96" s="164">
        <f>SUM(H94:H95)</f>
        <v>130</v>
      </c>
      <c r="I96" s="1"/>
      <c r="J96" s="1"/>
      <c r="K96" s="1"/>
      <c r="L96" s="1"/>
      <c r="M96" s="1"/>
      <c r="N96" s="1"/>
      <c r="O96" s="1"/>
      <c r="P96" s="1"/>
      <c r="Q96" s="1"/>
      <c r="R96" s="1"/>
    </row>
    <row r="97" spans="1:18" ht="16.8" hidden="1" outlineLevel="1" x14ac:dyDescent="0.4">
      <c r="A97" s="1"/>
      <c r="B97" s="5" t="s">
        <v>244</v>
      </c>
      <c r="C97" s="202"/>
      <c r="D97" s="172">
        <v>-4</v>
      </c>
      <c r="E97" s="172">
        <v>-3</v>
      </c>
      <c r="F97" s="164">
        <v>5</v>
      </c>
      <c r="G97" s="164">
        <v>4</v>
      </c>
      <c r="H97" s="164">
        <v>4</v>
      </c>
      <c r="I97" s="1"/>
      <c r="J97" s="1"/>
      <c r="K97" s="1"/>
      <c r="L97" s="1"/>
      <c r="M97" s="1"/>
      <c r="N97" s="1"/>
      <c r="O97" s="1"/>
      <c r="P97" s="1"/>
      <c r="Q97" s="1"/>
      <c r="R97" s="1"/>
    </row>
    <row r="98" spans="1:18" ht="16.8" hidden="1" outlineLevel="1" x14ac:dyDescent="0.4">
      <c r="A98" s="1"/>
      <c r="B98" s="5" t="s">
        <v>246</v>
      </c>
      <c r="C98" s="202"/>
      <c r="D98" s="172"/>
      <c r="E98" s="172">
        <v>0</v>
      </c>
      <c r="F98" s="164">
        <v>0</v>
      </c>
      <c r="G98" s="164">
        <v>0</v>
      </c>
      <c r="H98" s="164">
        <v>0</v>
      </c>
      <c r="I98" s="1"/>
      <c r="J98" s="1"/>
      <c r="K98" s="1"/>
      <c r="L98" s="1"/>
      <c r="M98" s="1"/>
      <c r="N98" s="1"/>
      <c r="O98" s="1"/>
      <c r="P98" s="1"/>
      <c r="Q98" s="1"/>
      <c r="R98" s="1"/>
    </row>
    <row r="99" spans="1:18" collapsed="1" x14ac:dyDescent="0.3">
      <c r="A99" s="1"/>
      <c r="B99" s="14" t="s">
        <v>429</v>
      </c>
      <c r="C99" s="202"/>
      <c r="D99" s="172">
        <f>SUM(D82:D83)</f>
        <v>-137</v>
      </c>
      <c r="E99" s="172">
        <f t="shared" ref="E99:H99" si="12">SUM(E82:E83)</f>
        <v>-109</v>
      </c>
      <c r="F99" s="164">
        <f t="shared" si="12"/>
        <v>-134</v>
      </c>
      <c r="G99" s="164">
        <f t="shared" si="12"/>
        <v>-98</v>
      </c>
      <c r="H99" s="164">
        <f t="shared" si="12"/>
        <v>-106</v>
      </c>
      <c r="I99" s="1"/>
      <c r="J99" s="1"/>
      <c r="K99" s="1"/>
      <c r="L99" s="1"/>
      <c r="M99" s="1"/>
      <c r="N99" s="1"/>
      <c r="O99" s="1"/>
      <c r="P99" s="1"/>
      <c r="Q99" s="1"/>
      <c r="R99" s="1"/>
    </row>
    <row r="100" spans="1:18" x14ac:dyDescent="0.3">
      <c r="A100" s="1"/>
      <c r="B100" s="201"/>
      <c r="C100" s="202"/>
      <c r="D100" s="277"/>
      <c r="E100" s="277"/>
      <c r="F100" s="208"/>
      <c r="G100" s="208"/>
      <c r="H100" s="208"/>
      <c r="I100" s="1"/>
      <c r="J100" s="1"/>
      <c r="K100" s="1"/>
      <c r="L100" s="1"/>
      <c r="M100" s="1"/>
      <c r="N100" s="1"/>
      <c r="O100" s="1"/>
      <c r="P100" s="1"/>
      <c r="Q100" s="1"/>
      <c r="R100" s="1"/>
    </row>
    <row r="101" spans="1:18" x14ac:dyDescent="0.3">
      <c r="A101" s="1"/>
      <c r="B101" s="24" t="s">
        <v>304</v>
      </c>
      <c r="C101" s="207"/>
      <c r="D101" s="182">
        <f>SUM(D80,D82,D83)</f>
        <v>2078</v>
      </c>
      <c r="E101" s="182">
        <f>SUM(E80,E82,E83)</f>
        <v>334</v>
      </c>
      <c r="F101" s="167">
        <f>SUM(F80,F82,F83)</f>
        <v>576</v>
      </c>
      <c r="G101" s="167">
        <f>SUM(G80,G82,G83)</f>
        <v>490</v>
      </c>
      <c r="H101" s="167">
        <f>SUM(H80,H82,H83)</f>
        <v>581</v>
      </c>
      <c r="I101" s="1"/>
      <c r="J101" s="1"/>
      <c r="K101" s="1"/>
      <c r="L101" s="1"/>
      <c r="M101" s="1"/>
      <c r="N101" s="1"/>
      <c r="O101" s="1"/>
      <c r="P101" s="1"/>
      <c r="Q101" s="1"/>
      <c r="R101" s="1"/>
    </row>
    <row r="102" spans="1:18" x14ac:dyDescent="0.3">
      <c r="A102" s="1"/>
      <c r="B102" s="201"/>
      <c r="C102" s="202"/>
      <c r="D102" s="277"/>
      <c r="E102" s="277"/>
      <c r="F102" s="208"/>
      <c r="G102" s="208"/>
      <c r="H102" s="208"/>
      <c r="I102" s="1"/>
      <c r="J102" s="1"/>
      <c r="K102" s="1"/>
      <c r="L102" s="1"/>
      <c r="M102" s="1"/>
      <c r="N102" s="1"/>
      <c r="O102" s="1"/>
      <c r="P102" s="1"/>
      <c r="Q102" s="1"/>
      <c r="R102" s="1"/>
    </row>
    <row r="103" spans="1:18" ht="16.8" hidden="1" outlineLevel="1" x14ac:dyDescent="0.4">
      <c r="A103" s="1"/>
      <c r="B103" s="5" t="s">
        <v>254</v>
      </c>
      <c r="C103" s="202"/>
      <c r="D103" s="172">
        <v>105</v>
      </c>
      <c r="E103" s="172">
        <v>138</v>
      </c>
      <c r="F103" s="164">
        <v>107</v>
      </c>
      <c r="G103" s="164">
        <v>146</v>
      </c>
      <c r="H103" s="164">
        <v>147</v>
      </c>
      <c r="I103" s="1"/>
      <c r="J103" s="1"/>
      <c r="K103" s="1"/>
      <c r="L103" s="1"/>
      <c r="M103" s="1"/>
      <c r="N103" s="1"/>
      <c r="O103" s="1"/>
      <c r="P103" s="1"/>
      <c r="Q103" s="1"/>
      <c r="R103" s="1"/>
    </row>
    <row r="104" spans="1:18" ht="16.8" hidden="1" outlineLevel="1" x14ac:dyDescent="0.4">
      <c r="A104" s="1"/>
      <c r="B104" s="5" t="s">
        <v>256</v>
      </c>
      <c r="C104" s="202"/>
      <c r="D104" s="172">
        <v>23</v>
      </c>
      <c r="E104" s="172">
        <v>25</v>
      </c>
      <c r="F104" s="164">
        <v>26</v>
      </c>
      <c r="G104" s="164">
        <v>30</v>
      </c>
      <c r="H104" s="164">
        <v>30</v>
      </c>
      <c r="I104" s="1"/>
      <c r="J104" s="1"/>
      <c r="K104" s="1"/>
      <c r="L104" s="1"/>
      <c r="M104" s="1"/>
      <c r="N104" s="1"/>
      <c r="O104" s="1"/>
      <c r="P104" s="1"/>
      <c r="Q104" s="1"/>
      <c r="R104" s="1"/>
    </row>
    <row r="105" spans="1:18" ht="16.8" hidden="1" outlineLevel="1" x14ac:dyDescent="0.4">
      <c r="A105" s="1"/>
      <c r="B105" s="5" t="s">
        <v>258</v>
      </c>
      <c r="C105" s="202"/>
      <c r="D105" s="172">
        <v>-17</v>
      </c>
      <c r="E105" s="172">
        <v>4</v>
      </c>
      <c r="F105" s="164">
        <v>-1</v>
      </c>
      <c r="G105" s="164">
        <v>2</v>
      </c>
      <c r="H105" s="164">
        <v>5</v>
      </c>
      <c r="I105" s="1"/>
      <c r="J105" s="1"/>
      <c r="K105" s="1"/>
      <c r="L105" s="1"/>
      <c r="M105" s="1"/>
      <c r="N105" s="1"/>
      <c r="O105" s="1"/>
      <c r="P105" s="1"/>
      <c r="Q105" s="1"/>
      <c r="R105" s="1"/>
    </row>
    <row r="106" spans="1:18" ht="16.8" hidden="1" outlineLevel="1" x14ac:dyDescent="0.4">
      <c r="A106" s="1"/>
      <c r="B106" s="14" t="s">
        <v>260</v>
      </c>
      <c r="C106" s="202"/>
      <c r="D106" s="173">
        <f>SUM(D103:D105)</f>
        <v>111</v>
      </c>
      <c r="E106" s="173">
        <f>SUM(E103:E105)</f>
        <v>167</v>
      </c>
      <c r="F106" s="165">
        <f>SUM(F103:F105)</f>
        <v>132</v>
      </c>
      <c r="G106" s="165">
        <f>SUM(G103:G105)</f>
        <v>178</v>
      </c>
      <c r="H106" s="165">
        <f>SUM(H103:H105)</f>
        <v>182</v>
      </c>
      <c r="I106" s="1"/>
      <c r="J106" s="1"/>
      <c r="K106" s="1"/>
      <c r="L106" s="1"/>
      <c r="M106" s="1"/>
      <c r="N106" s="1"/>
      <c r="O106" s="1"/>
      <c r="P106" s="1"/>
      <c r="Q106" s="1"/>
      <c r="R106" s="1"/>
    </row>
    <row r="107" spans="1:18" ht="16.8" hidden="1" outlineLevel="1" x14ac:dyDescent="0.4">
      <c r="A107" s="1"/>
      <c r="B107" s="5" t="s">
        <v>395</v>
      </c>
      <c r="C107" s="202"/>
      <c r="D107" s="172">
        <v>142</v>
      </c>
      <c r="E107" s="172">
        <v>44</v>
      </c>
      <c r="F107" s="164">
        <v>88</v>
      </c>
      <c r="G107" s="164">
        <v>33</v>
      </c>
      <c r="H107" s="164">
        <v>71</v>
      </c>
      <c r="I107" s="1"/>
      <c r="J107" s="1"/>
      <c r="K107" s="1"/>
      <c r="L107" s="1"/>
      <c r="M107" s="1"/>
      <c r="N107" s="1"/>
      <c r="O107" s="1"/>
      <c r="P107" s="1"/>
      <c r="Q107" s="1"/>
      <c r="R107" s="1"/>
    </row>
    <row r="108" spans="1:18" ht="16.8" hidden="1" outlineLevel="1" x14ac:dyDescent="0.4">
      <c r="A108" s="1"/>
      <c r="B108" s="5" t="s">
        <v>396</v>
      </c>
      <c r="C108" s="202"/>
      <c r="D108" s="172">
        <v>-120</v>
      </c>
      <c r="E108" s="172">
        <v>-89</v>
      </c>
      <c r="F108" s="164">
        <v>-28</v>
      </c>
      <c r="G108" s="164">
        <v>-54</v>
      </c>
      <c r="H108" s="164">
        <v>-64</v>
      </c>
      <c r="I108" s="1"/>
      <c r="J108" s="1"/>
      <c r="K108" s="1"/>
      <c r="L108" s="1"/>
      <c r="M108" s="1"/>
      <c r="N108" s="1"/>
      <c r="O108" s="1"/>
      <c r="P108" s="1"/>
      <c r="Q108" s="1"/>
      <c r="R108" s="1"/>
    </row>
    <row r="109" spans="1:18" collapsed="1" x14ac:dyDescent="0.3">
      <c r="A109" s="1"/>
      <c r="B109" s="5" t="s">
        <v>305</v>
      </c>
      <c r="C109" s="202"/>
      <c r="D109" s="172">
        <f>-SUM(D106:D108)</f>
        <v>-133</v>
      </c>
      <c r="E109" s="172">
        <f t="shared" ref="E109:H109" si="13">-SUM(E106:E108)</f>
        <v>-122</v>
      </c>
      <c r="F109" s="164">
        <f t="shared" si="13"/>
        <v>-192</v>
      </c>
      <c r="G109" s="164">
        <f t="shared" si="13"/>
        <v>-157</v>
      </c>
      <c r="H109" s="164">
        <f t="shared" si="13"/>
        <v>-189</v>
      </c>
      <c r="I109" s="1"/>
      <c r="J109" s="1"/>
      <c r="K109" s="1"/>
      <c r="L109" s="1"/>
      <c r="M109" s="1"/>
      <c r="N109" s="1"/>
      <c r="O109" s="1"/>
      <c r="P109" s="1"/>
      <c r="Q109" s="1"/>
      <c r="R109" s="1"/>
    </row>
    <row r="110" spans="1:18" x14ac:dyDescent="0.3">
      <c r="A110" s="1"/>
      <c r="B110" s="5" t="s">
        <v>391</v>
      </c>
      <c r="C110" s="202"/>
      <c r="D110" s="172">
        <f>SUM(D111:D112)</f>
        <v>130</v>
      </c>
      <c r="E110" s="172">
        <f t="shared" ref="E110:H110" si="14">SUM(E111:E112)</f>
        <v>20</v>
      </c>
      <c r="F110" s="164">
        <f t="shared" si="14"/>
        <v>-91</v>
      </c>
      <c r="G110" s="164">
        <f t="shared" si="14"/>
        <v>11</v>
      </c>
      <c r="H110" s="164">
        <f t="shared" si="14"/>
        <v>-3</v>
      </c>
      <c r="I110" s="1"/>
      <c r="J110" s="1"/>
      <c r="K110" s="1"/>
      <c r="L110" s="1"/>
      <c r="M110" s="1"/>
      <c r="N110" s="1"/>
      <c r="O110" s="1"/>
      <c r="P110" s="1"/>
      <c r="Q110" s="1"/>
      <c r="R110" s="1"/>
    </row>
    <row r="111" spans="1:18" ht="16.8" hidden="1" outlineLevel="1" x14ac:dyDescent="0.4">
      <c r="A111" s="1"/>
      <c r="B111" s="5" t="s">
        <v>269</v>
      </c>
      <c r="C111" s="202"/>
      <c r="D111" s="172">
        <v>0</v>
      </c>
      <c r="E111" s="172">
        <v>19</v>
      </c>
      <c r="F111" s="164">
        <v>-85</v>
      </c>
      <c r="G111" s="164">
        <v>21</v>
      </c>
      <c r="H111" s="164">
        <v>1</v>
      </c>
      <c r="I111" s="1"/>
      <c r="J111" s="142"/>
      <c r="K111" s="1"/>
      <c r="L111" s="1"/>
      <c r="M111" s="1"/>
      <c r="N111" s="1"/>
      <c r="O111" s="1"/>
      <c r="P111" s="1"/>
      <c r="Q111" s="1"/>
      <c r="R111" s="1"/>
    </row>
    <row r="112" spans="1:18" ht="16.8" hidden="1" outlineLevel="1" x14ac:dyDescent="0.4">
      <c r="A112" s="1"/>
      <c r="B112" s="5" t="s">
        <v>273</v>
      </c>
      <c r="C112" s="202"/>
      <c r="D112" s="172">
        <v>130</v>
      </c>
      <c r="E112" s="172">
        <v>1</v>
      </c>
      <c r="F112" s="164">
        <v>-6</v>
      </c>
      <c r="G112" s="164">
        <v>-10</v>
      </c>
      <c r="H112" s="164">
        <v>-4</v>
      </c>
      <c r="I112" s="1"/>
      <c r="J112" s="161"/>
      <c r="K112" s="1"/>
      <c r="L112" s="1"/>
      <c r="M112" s="1"/>
      <c r="N112" s="1"/>
      <c r="O112" s="1"/>
      <c r="P112" s="1"/>
      <c r="Q112" s="1"/>
      <c r="R112" s="1"/>
    </row>
    <row r="113" spans="1:18" collapsed="1" x14ac:dyDescent="0.3">
      <c r="A113" s="1"/>
      <c r="B113" s="5"/>
      <c r="C113" s="202"/>
      <c r="D113" s="172"/>
      <c r="E113" s="172"/>
      <c r="F113" s="164"/>
      <c r="G113" s="164"/>
      <c r="H113" s="164"/>
      <c r="I113" s="1"/>
      <c r="J113" s="162"/>
      <c r="K113" s="1"/>
      <c r="L113" s="1"/>
      <c r="M113" s="1"/>
      <c r="N113" s="1"/>
      <c r="O113" s="1"/>
      <c r="P113" s="1"/>
      <c r="Q113" s="1"/>
      <c r="R113" s="1"/>
    </row>
    <row r="114" spans="1:18" x14ac:dyDescent="0.3">
      <c r="A114" s="1"/>
      <c r="B114" s="18" t="s">
        <v>392</v>
      </c>
      <c r="C114" s="209"/>
      <c r="D114" s="180">
        <f>SUM(D101,D109:D110)</f>
        <v>2075</v>
      </c>
      <c r="E114" s="180">
        <f>SUM(E101,E109:E110)</f>
        <v>232</v>
      </c>
      <c r="F114" s="169">
        <f>SUM(F101,F109:F110)</f>
        <v>293</v>
      </c>
      <c r="G114" s="169">
        <f>SUM(G101,G109:G110)</f>
        <v>344</v>
      </c>
      <c r="H114" s="169">
        <f>SUM(H101,H109:H110)</f>
        <v>389</v>
      </c>
      <c r="I114" s="142"/>
      <c r="J114" s="162"/>
      <c r="K114" s="1"/>
      <c r="L114" s="1"/>
      <c r="M114" s="1"/>
      <c r="N114" s="1"/>
      <c r="O114" s="1"/>
      <c r="P114" s="1"/>
      <c r="Q114" s="1"/>
      <c r="R114" s="1"/>
    </row>
    <row r="115" spans="1:18" x14ac:dyDescent="0.3">
      <c r="A115" s="1"/>
      <c r="B115" s="1"/>
      <c r="C115" s="8"/>
      <c r="D115" s="5"/>
      <c r="E115" s="5"/>
      <c r="F115" s="142"/>
      <c r="G115" s="142"/>
      <c r="H115" s="142"/>
      <c r="I115" s="161"/>
      <c r="J115" s="163"/>
      <c r="K115" s="1"/>
      <c r="L115" s="1"/>
      <c r="M115" s="1"/>
      <c r="N115" s="1"/>
      <c r="O115" s="1"/>
      <c r="P115" s="1"/>
      <c r="Q115" s="1"/>
      <c r="R115" s="1"/>
    </row>
    <row r="116" spans="1:18" x14ac:dyDescent="0.3">
      <c r="A116" s="1"/>
      <c r="B116" s="1"/>
      <c r="C116" s="8"/>
      <c r="D116" s="5"/>
      <c r="E116" s="5"/>
      <c r="F116" s="161"/>
      <c r="G116" s="161"/>
      <c r="H116" s="161"/>
      <c r="I116" s="162"/>
      <c r="J116" s="162"/>
      <c r="K116" s="1"/>
      <c r="L116" s="1"/>
      <c r="M116" s="1"/>
      <c r="N116" s="1"/>
      <c r="O116" s="1"/>
      <c r="P116" s="1"/>
      <c r="Q116" s="1"/>
      <c r="R116" s="1"/>
    </row>
    <row r="117" spans="1:18" x14ac:dyDescent="0.3">
      <c r="A117" s="1"/>
      <c r="B117" s="1"/>
      <c r="C117" s="5"/>
      <c r="D117" s="5"/>
      <c r="E117" s="5"/>
      <c r="F117" s="162"/>
      <c r="G117" s="162"/>
      <c r="H117" s="162"/>
      <c r="I117" s="162"/>
      <c r="J117" s="162"/>
      <c r="K117" s="1"/>
      <c r="L117" s="1"/>
      <c r="M117" s="1"/>
      <c r="N117" s="1"/>
      <c r="O117" s="1"/>
      <c r="P117" s="1"/>
      <c r="Q117" s="1"/>
      <c r="R117" s="1"/>
    </row>
    <row r="118" spans="1:18" x14ac:dyDescent="0.3">
      <c r="A118" s="1"/>
      <c r="B118" s="1"/>
      <c r="C118" s="5"/>
      <c r="D118" s="5"/>
      <c r="E118" s="5"/>
      <c r="F118" s="162"/>
      <c r="G118" s="162"/>
      <c r="H118" s="162"/>
      <c r="I118" s="163"/>
      <c r="J118" s="162"/>
      <c r="K118" s="55"/>
      <c r="L118" s="1"/>
      <c r="M118" s="1"/>
      <c r="N118" s="1"/>
      <c r="O118" s="1"/>
      <c r="P118" s="1"/>
      <c r="Q118" s="1"/>
      <c r="R118" s="1"/>
    </row>
    <row r="119" spans="1:18" x14ac:dyDescent="0.3">
      <c r="A119" s="1"/>
      <c r="B119" s="1"/>
      <c r="C119" s="14"/>
      <c r="D119" s="5"/>
      <c r="E119" s="5"/>
      <c r="F119" s="163"/>
      <c r="G119" s="163"/>
      <c r="H119" s="163"/>
      <c r="I119" s="162"/>
      <c r="J119" s="162"/>
      <c r="K119" s="55"/>
      <c r="L119" s="1"/>
      <c r="M119" s="1"/>
      <c r="N119" s="1"/>
      <c r="O119" s="1"/>
      <c r="P119" s="1"/>
      <c r="Q119" s="1"/>
      <c r="R119" s="1"/>
    </row>
    <row r="120" spans="1:18" x14ac:dyDescent="0.3">
      <c r="A120" s="1"/>
      <c r="B120" s="1"/>
      <c r="C120" s="5"/>
      <c r="D120" s="5"/>
      <c r="E120" s="5"/>
      <c r="F120" s="162"/>
      <c r="G120" s="162"/>
      <c r="H120" s="162"/>
      <c r="I120" s="162"/>
      <c r="J120" s="162"/>
      <c r="K120" s="55"/>
      <c r="L120" s="1"/>
      <c r="M120" s="1"/>
      <c r="N120" s="1"/>
      <c r="O120" s="1"/>
      <c r="P120" s="1"/>
      <c r="Q120" s="1"/>
      <c r="R120" s="1"/>
    </row>
    <row r="121" spans="1:18" x14ac:dyDescent="0.3">
      <c r="A121" s="1"/>
      <c r="B121" s="1"/>
      <c r="C121" s="5"/>
      <c r="D121" s="5"/>
      <c r="E121" s="5"/>
      <c r="F121" s="162"/>
      <c r="G121" s="162"/>
      <c r="H121" s="162"/>
      <c r="I121" s="162"/>
      <c r="J121" s="162"/>
      <c r="K121" s="55"/>
      <c r="L121" s="1"/>
      <c r="M121" s="1"/>
      <c r="N121" s="1"/>
      <c r="O121" s="1"/>
      <c r="P121" s="1"/>
      <c r="Q121" s="1"/>
      <c r="R121" s="1"/>
    </row>
    <row r="122" spans="1:18" x14ac:dyDescent="0.3">
      <c r="A122" s="1"/>
      <c r="B122" s="1"/>
      <c r="C122" s="5"/>
      <c r="D122" s="5"/>
      <c r="E122" s="5"/>
      <c r="F122" s="162"/>
      <c r="G122" s="162"/>
      <c r="H122" s="162"/>
      <c r="I122" s="162"/>
      <c r="J122" s="162"/>
      <c r="K122" s="55"/>
      <c r="L122" s="1"/>
      <c r="M122" s="1"/>
      <c r="N122" s="1"/>
      <c r="O122" s="1"/>
      <c r="P122" s="1"/>
      <c r="Q122" s="1"/>
      <c r="R122" s="1"/>
    </row>
    <row r="123" spans="1:18" x14ac:dyDescent="0.3">
      <c r="A123" s="1"/>
      <c r="B123" s="1"/>
      <c r="C123" s="5"/>
      <c r="D123" s="5"/>
      <c r="E123" s="5"/>
      <c r="F123" s="162"/>
      <c r="G123" s="162"/>
      <c r="H123" s="162"/>
      <c r="I123" s="162"/>
      <c r="J123" s="162"/>
      <c r="K123" s="55"/>
      <c r="L123" s="1"/>
      <c r="M123" s="1"/>
      <c r="N123" s="1"/>
      <c r="O123" s="1"/>
      <c r="P123" s="1"/>
      <c r="Q123" s="1"/>
      <c r="R123" s="1"/>
    </row>
    <row r="124" spans="1:18" x14ac:dyDescent="0.3">
      <c r="A124" s="1"/>
      <c r="B124" s="1"/>
      <c r="C124" s="5"/>
      <c r="D124" s="5"/>
      <c r="E124" s="5"/>
      <c r="F124" s="162"/>
      <c r="G124" s="162"/>
      <c r="H124" s="162"/>
      <c r="I124" s="162"/>
      <c r="J124" s="162"/>
      <c r="K124" s="55"/>
      <c r="L124" s="1"/>
      <c r="M124" s="1"/>
      <c r="N124" s="1"/>
      <c r="O124" s="1"/>
      <c r="P124" s="1"/>
      <c r="Q124" s="1"/>
      <c r="R124" s="1"/>
    </row>
    <row r="125" spans="1:18" x14ac:dyDescent="0.3">
      <c r="A125" s="1"/>
      <c r="B125" s="1"/>
      <c r="C125" s="5"/>
      <c r="D125" s="5"/>
      <c r="E125" s="5"/>
      <c r="F125" s="162"/>
      <c r="G125" s="162"/>
      <c r="H125" s="162"/>
      <c r="I125" s="162"/>
      <c r="J125" s="162"/>
      <c r="K125" s="55"/>
      <c r="L125" s="1"/>
      <c r="M125" s="1"/>
      <c r="N125" s="1"/>
      <c r="O125" s="1"/>
      <c r="P125" s="1"/>
      <c r="Q125" s="1"/>
      <c r="R125" s="1"/>
    </row>
    <row r="126" spans="1:18" x14ac:dyDescent="0.3">
      <c r="A126" s="1"/>
      <c r="B126" s="1"/>
      <c r="C126" s="5"/>
      <c r="D126" s="5"/>
      <c r="E126" s="5"/>
      <c r="F126" s="162"/>
      <c r="G126" s="162"/>
      <c r="H126" s="162"/>
      <c r="I126" s="162"/>
      <c r="J126" s="162"/>
      <c r="K126" s="55"/>
      <c r="L126" s="1"/>
      <c r="M126" s="1"/>
      <c r="N126" s="1"/>
      <c r="O126" s="1"/>
      <c r="P126" s="1"/>
      <c r="Q126" s="1"/>
      <c r="R126" s="1"/>
    </row>
    <row r="127" spans="1:18" x14ac:dyDescent="0.3">
      <c r="A127" s="1"/>
      <c r="B127" s="1"/>
      <c r="C127" s="5"/>
      <c r="D127" s="5"/>
      <c r="E127" s="5"/>
      <c r="F127" s="162"/>
      <c r="G127" s="162"/>
      <c r="H127" s="162"/>
      <c r="I127" s="162"/>
      <c r="J127" s="162"/>
      <c r="K127" s="55"/>
      <c r="L127" s="1"/>
      <c r="M127" s="1"/>
      <c r="N127" s="1"/>
      <c r="O127" s="1"/>
      <c r="P127" s="1"/>
      <c r="Q127" s="1"/>
      <c r="R127" s="1"/>
    </row>
    <row r="128" spans="1:18" x14ac:dyDescent="0.3">
      <c r="A128" s="1"/>
      <c r="B128" s="1"/>
      <c r="C128" s="5"/>
      <c r="D128" s="5"/>
      <c r="E128" s="5"/>
      <c r="F128" s="162"/>
      <c r="G128" s="162"/>
      <c r="H128" s="162"/>
      <c r="I128" s="162"/>
      <c r="J128" s="163"/>
      <c r="K128" s="55"/>
      <c r="L128" s="1"/>
      <c r="M128" s="1"/>
      <c r="N128" s="1"/>
      <c r="O128" s="1"/>
      <c r="P128" s="1"/>
      <c r="Q128" s="1"/>
      <c r="R128" s="1"/>
    </row>
    <row r="129" spans="1:18" x14ac:dyDescent="0.3">
      <c r="A129" s="1"/>
      <c r="B129" s="1"/>
      <c r="C129" s="5"/>
      <c r="D129" s="5"/>
      <c r="E129" s="5"/>
      <c r="F129" s="162"/>
      <c r="G129" s="162"/>
      <c r="H129" s="162"/>
      <c r="I129" s="162"/>
      <c r="J129" s="162"/>
      <c r="K129" s="55"/>
      <c r="L129" s="1"/>
      <c r="M129" s="1"/>
      <c r="N129" s="1"/>
      <c r="O129" s="1"/>
      <c r="P129" s="1"/>
      <c r="Q129" s="1"/>
      <c r="R129" s="1"/>
    </row>
    <row r="130" spans="1:18" x14ac:dyDescent="0.3">
      <c r="A130" s="1"/>
      <c r="B130" s="1"/>
      <c r="C130" s="5"/>
      <c r="D130" s="5"/>
      <c r="E130" s="5"/>
      <c r="F130" s="162"/>
      <c r="G130" s="162"/>
      <c r="H130" s="162"/>
      <c r="I130" s="162"/>
      <c r="J130" s="161"/>
      <c r="K130" s="55"/>
      <c r="L130" s="1"/>
      <c r="M130" s="1"/>
      <c r="N130" s="1"/>
      <c r="O130" s="1"/>
      <c r="P130" s="1"/>
      <c r="Q130" s="1"/>
      <c r="R130" s="1"/>
    </row>
    <row r="131" spans="1:18" x14ac:dyDescent="0.3">
      <c r="A131" s="1"/>
      <c r="B131" s="1"/>
      <c r="C131" s="5"/>
      <c r="D131" s="5"/>
      <c r="E131" s="5"/>
      <c r="F131" s="162"/>
      <c r="G131" s="162"/>
      <c r="H131" s="162"/>
      <c r="I131" s="163"/>
      <c r="J131" s="162"/>
      <c r="K131" s="55"/>
      <c r="L131" s="1"/>
      <c r="M131" s="1"/>
      <c r="N131" s="1"/>
      <c r="O131" s="1"/>
      <c r="P131" s="1"/>
      <c r="Q131" s="1"/>
      <c r="R131" s="1"/>
    </row>
    <row r="132" spans="1:18" x14ac:dyDescent="0.3">
      <c r="A132" s="1"/>
      <c r="B132" s="1"/>
      <c r="C132" s="14"/>
      <c r="D132" s="5"/>
      <c r="E132" s="5"/>
      <c r="F132" s="163"/>
      <c r="G132" s="163"/>
      <c r="H132" s="163"/>
      <c r="I132" s="162"/>
      <c r="J132" s="161"/>
      <c r="K132" s="55"/>
      <c r="L132" s="1"/>
      <c r="M132" s="1"/>
      <c r="N132" s="1"/>
      <c r="O132" s="1"/>
      <c r="P132" s="1"/>
      <c r="Q132" s="1"/>
      <c r="R132" s="1"/>
    </row>
    <row r="133" spans="1:18" x14ac:dyDescent="0.3">
      <c r="A133" s="1"/>
      <c r="B133" s="1"/>
      <c r="C133" s="5"/>
      <c r="D133" s="5"/>
      <c r="E133" s="5"/>
      <c r="F133" s="162"/>
      <c r="G133" s="162"/>
      <c r="H133" s="162"/>
      <c r="I133" s="161"/>
      <c r="J133" s="177"/>
      <c r="K133" s="55"/>
      <c r="L133" s="1"/>
      <c r="M133" s="1"/>
      <c r="N133" s="1"/>
      <c r="O133" s="1"/>
      <c r="P133" s="1"/>
      <c r="Q133" s="1"/>
      <c r="R133" s="1"/>
    </row>
    <row r="134" spans="1:18" x14ac:dyDescent="0.3">
      <c r="A134" s="1"/>
      <c r="B134" s="1"/>
      <c r="C134" s="8"/>
      <c r="D134" s="8"/>
      <c r="E134" s="8"/>
      <c r="F134" s="161"/>
      <c r="G134" s="161"/>
      <c r="H134" s="161"/>
      <c r="I134" s="162"/>
      <c r="J134" s="162"/>
      <c r="K134" s="55"/>
    </row>
    <row r="135" spans="1:18" x14ac:dyDescent="0.3">
      <c r="A135" s="1"/>
      <c r="B135" s="1"/>
      <c r="C135" s="8"/>
      <c r="D135" s="5"/>
      <c r="E135" s="5"/>
      <c r="F135" s="162"/>
      <c r="G135" s="162"/>
      <c r="H135" s="162"/>
      <c r="I135" s="161"/>
      <c r="J135" s="162"/>
      <c r="K135" s="55"/>
    </row>
    <row r="136" spans="1:18" x14ac:dyDescent="0.3">
      <c r="A136" s="1"/>
      <c r="B136" s="1"/>
      <c r="C136" s="8"/>
      <c r="D136" s="5"/>
      <c r="E136" s="5"/>
      <c r="F136" s="161"/>
      <c r="G136" s="161"/>
      <c r="H136" s="161"/>
      <c r="I136" s="177"/>
      <c r="J136" s="162"/>
      <c r="K136" s="55"/>
    </row>
    <row r="137" spans="1:18" x14ac:dyDescent="0.3">
      <c r="A137" s="1"/>
      <c r="B137" s="1"/>
      <c r="C137" s="5"/>
      <c r="D137" s="5"/>
      <c r="E137" s="5"/>
      <c r="F137" s="177"/>
      <c r="G137" s="177"/>
      <c r="H137" s="177"/>
      <c r="I137" s="162"/>
      <c r="J137" s="162"/>
      <c r="K137" s="55"/>
    </row>
    <row r="138" spans="1:18" x14ac:dyDescent="0.3">
      <c r="A138" s="1"/>
      <c r="B138" s="1"/>
      <c r="C138" s="5"/>
      <c r="D138" s="5"/>
      <c r="E138" s="5"/>
      <c r="F138" s="162"/>
      <c r="G138" s="162"/>
      <c r="H138" s="162"/>
      <c r="I138" s="162"/>
      <c r="J138" s="163"/>
      <c r="K138" s="55"/>
    </row>
    <row r="139" spans="1:18" x14ac:dyDescent="0.3">
      <c r="A139" s="1"/>
      <c r="B139" s="1"/>
      <c r="C139" s="5"/>
      <c r="D139" s="5"/>
      <c r="E139" s="5"/>
      <c r="F139" s="162"/>
      <c r="G139" s="162"/>
      <c r="H139" s="162"/>
      <c r="I139" s="162"/>
      <c r="J139" s="162"/>
      <c r="K139" s="55"/>
    </row>
    <row r="140" spans="1:18" x14ac:dyDescent="0.3">
      <c r="A140" s="1"/>
      <c r="B140" s="1"/>
      <c r="C140" s="5"/>
      <c r="D140" s="5"/>
      <c r="E140" s="5"/>
      <c r="F140" s="162"/>
      <c r="G140" s="162"/>
      <c r="H140" s="162"/>
      <c r="I140" s="162"/>
      <c r="J140" s="162"/>
      <c r="K140" s="55"/>
    </row>
    <row r="141" spans="1:18" x14ac:dyDescent="0.3">
      <c r="A141" s="1"/>
      <c r="B141" s="1"/>
      <c r="C141" s="5"/>
      <c r="D141" s="5"/>
      <c r="E141" s="5"/>
      <c r="F141" s="162"/>
      <c r="G141" s="162"/>
      <c r="H141" s="162"/>
      <c r="I141" s="163"/>
      <c r="J141" s="161"/>
      <c r="K141" s="55"/>
    </row>
    <row r="142" spans="1:18" x14ac:dyDescent="0.3">
      <c r="A142" s="1"/>
      <c r="B142" s="1"/>
      <c r="C142" s="14"/>
      <c r="D142" s="5"/>
      <c r="E142" s="5"/>
      <c r="F142" s="163"/>
      <c r="G142" s="163"/>
      <c r="H142" s="163"/>
      <c r="I142" s="162"/>
      <c r="J142" s="161"/>
      <c r="K142" s="55"/>
    </row>
    <row r="143" spans="1:18" x14ac:dyDescent="0.3">
      <c r="A143" s="1"/>
      <c r="B143" s="1"/>
      <c r="C143" s="5"/>
      <c r="D143" s="5"/>
      <c r="E143" s="5"/>
      <c r="F143" s="162"/>
      <c r="G143" s="162"/>
      <c r="H143" s="162"/>
      <c r="I143" s="162"/>
      <c r="J143" s="161"/>
      <c r="K143" s="55"/>
    </row>
    <row r="144" spans="1:18" x14ac:dyDescent="0.3">
      <c r="A144" s="1"/>
      <c r="B144" s="1"/>
      <c r="C144" s="128"/>
      <c r="D144" s="5"/>
      <c r="E144" s="5"/>
      <c r="F144" s="162"/>
      <c r="G144" s="162"/>
      <c r="H144" s="162"/>
      <c r="I144" s="161"/>
      <c r="J144" s="161"/>
      <c r="K144" s="55"/>
    </row>
    <row r="145" spans="1:11" x14ac:dyDescent="0.3">
      <c r="A145" s="1"/>
      <c r="B145" s="1"/>
      <c r="C145" s="8"/>
      <c r="D145" s="5"/>
      <c r="E145" s="5"/>
      <c r="F145" s="161"/>
      <c r="G145" s="162"/>
      <c r="H145" s="161"/>
      <c r="I145" s="161"/>
      <c r="J145" s="162"/>
      <c r="K145" s="55"/>
    </row>
    <row r="146" spans="1:11" x14ac:dyDescent="0.3">
      <c r="A146" s="1"/>
      <c r="B146" s="1"/>
      <c r="C146" s="8"/>
      <c r="D146" s="5"/>
      <c r="E146" s="5"/>
      <c r="F146" s="161"/>
      <c r="G146" s="161"/>
      <c r="H146" s="161"/>
      <c r="I146" s="161"/>
      <c r="J146" s="162"/>
      <c r="K146" s="55"/>
    </row>
    <row r="147" spans="1:11" x14ac:dyDescent="0.3">
      <c r="A147" s="1"/>
      <c r="B147" s="1"/>
      <c r="C147" s="8"/>
      <c r="D147" s="5"/>
      <c r="E147" s="5"/>
      <c r="F147" s="161"/>
      <c r="G147" s="162"/>
      <c r="H147" s="161"/>
      <c r="I147" s="161"/>
      <c r="J147" s="162"/>
      <c r="K147" s="55"/>
    </row>
    <row r="148" spans="1:11" x14ac:dyDescent="0.3">
      <c r="A148" s="1"/>
      <c r="B148" s="1"/>
      <c r="C148" s="5"/>
      <c r="D148" s="5"/>
      <c r="E148" s="5"/>
      <c r="F148" s="162"/>
      <c r="G148" s="162"/>
      <c r="H148" s="162"/>
      <c r="I148" s="162"/>
      <c r="J148" s="162"/>
      <c r="K148" s="55"/>
    </row>
    <row r="149" spans="1:11" x14ac:dyDescent="0.3">
      <c r="A149" s="1"/>
      <c r="B149" s="1"/>
      <c r="C149" s="5"/>
      <c r="D149" s="8"/>
      <c r="E149" s="8"/>
      <c r="F149" s="162"/>
      <c r="G149" s="162"/>
      <c r="H149" s="162"/>
      <c r="I149" s="162"/>
      <c r="J149" s="162"/>
      <c r="K149" s="55"/>
    </row>
    <row r="150" spans="1:11" x14ac:dyDescent="0.3">
      <c r="A150" s="1"/>
      <c r="B150" s="1"/>
      <c r="C150" s="5"/>
      <c r="D150" s="5"/>
      <c r="E150" s="5"/>
      <c r="F150" s="162"/>
      <c r="G150" s="162"/>
      <c r="H150" s="162"/>
      <c r="I150" s="162"/>
      <c r="J150" s="162"/>
      <c r="K150" s="55"/>
    </row>
    <row r="151" spans="1:11" x14ac:dyDescent="0.3">
      <c r="A151" s="1"/>
      <c r="B151" s="1"/>
      <c r="C151" s="5"/>
      <c r="D151" s="5"/>
      <c r="E151" s="5"/>
      <c r="F151" s="162"/>
      <c r="G151" s="162"/>
      <c r="H151" s="162"/>
      <c r="I151" s="162"/>
      <c r="J151" s="162"/>
      <c r="K151" s="55"/>
    </row>
    <row r="152" spans="1:11" x14ac:dyDescent="0.3">
      <c r="A152" s="1"/>
      <c r="B152" s="1"/>
      <c r="C152" s="5"/>
      <c r="D152" s="5"/>
      <c r="E152" s="5"/>
      <c r="F152" s="162"/>
      <c r="G152" s="162"/>
      <c r="H152" s="162"/>
      <c r="I152" s="162"/>
      <c r="J152" s="162"/>
      <c r="K152" s="55"/>
    </row>
    <row r="153" spans="1:11" x14ac:dyDescent="0.3">
      <c r="A153" s="1"/>
      <c r="B153" s="1"/>
      <c r="C153" s="14"/>
      <c r="D153" s="5"/>
      <c r="E153" s="5"/>
      <c r="F153" s="162"/>
      <c r="G153" s="162"/>
      <c r="H153" s="162"/>
      <c r="I153" s="162"/>
      <c r="J153" s="162"/>
      <c r="K153" s="55"/>
    </row>
    <row r="154" spans="1:11" x14ac:dyDescent="0.3">
      <c r="A154" s="1"/>
      <c r="B154" s="1"/>
      <c r="C154" s="5"/>
      <c r="D154" s="5"/>
      <c r="E154" s="5"/>
      <c r="F154" s="162"/>
      <c r="G154" s="162"/>
      <c r="H154" s="162"/>
      <c r="I154" s="162"/>
      <c r="J154" s="162"/>
      <c r="K154" s="55"/>
    </row>
    <row r="155" spans="1:11" x14ac:dyDescent="0.3">
      <c r="A155" s="1"/>
      <c r="B155" s="1"/>
      <c r="C155" s="5"/>
      <c r="D155" s="5"/>
      <c r="E155" s="5"/>
      <c r="F155" s="162"/>
      <c r="G155" s="162"/>
      <c r="H155" s="162"/>
      <c r="I155" s="162"/>
      <c r="J155" s="162"/>
      <c r="K155" s="55"/>
    </row>
    <row r="156" spans="1:11" x14ac:dyDescent="0.3">
      <c r="A156" s="1"/>
      <c r="B156" s="1"/>
      <c r="C156" s="5"/>
      <c r="D156" s="5"/>
      <c r="E156" s="5"/>
      <c r="F156" s="162"/>
      <c r="G156" s="162"/>
      <c r="H156" s="162"/>
      <c r="I156" s="162"/>
      <c r="J156" s="162"/>
      <c r="K156" s="55"/>
    </row>
    <row r="157" spans="1:11" x14ac:dyDescent="0.3">
      <c r="A157" s="1"/>
      <c r="B157" s="1"/>
      <c r="C157" s="5"/>
      <c r="D157" s="5"/>
      <c r="E157" s="5"/>
      <c r="F157" s="162"/>
      <c r="G157" s="162"/>
      <c r="H157" s="162"/>
      <c r="I157" s="162"/>
      <c r="J157" s="162"/>
      <c r="K157" s="55"/>
    </row>
    <row r="158" spans="1:11" x14ac:dyDescent="0.3">
      <c r="A158" s="1"/>
      <c r="B158" s="1"/>
      <c r="C158" s="5"/>
      <c r="D158" s="5"/>
      <c r="E158" s="5"/>
      <c r="F158" s="162"/>
      <c r="G158" s="162"/>
      <c r="H158" s="162"/>
      <c r="I158" s="162"/>
      <c r="J158" s="162"/>
      <c r="K158" s="55"/>
    </row>
    <row r="159" spans="1:11" x14ac:dyDescent="0.3">
      <c r="A159" s="1"/>
      <c r="B159" s="1"/>
      <c r="C159" s="5"/>
      <c r="D159" s="5"/>
      <c r="E159" s="5"/>
      <c r="F159" s="162"/>
      <c r="G159" s="162"/>
      <c r="H159" s="162"/>
      <c r="I159" s="162"/>
      <c r="J159" s="162"/>
      <c r="K159" s="55"/>
    </row>
    <row r="160" spans="1:11" x14ac:dyDescent="0.3">
      <c r="A160" s="1"/>
      <c r="B160" s="1"/>
      <c r="C160" s="14"/>
      <c r="D160" s="5"/>
      <c r="E160" s="5"/>
      <c r="F160" s="162"/>
      <c r="G160" s="162"/>
      <c r="H160" s="162"/>
      <c r="I160" s="162"/>
      <c r="J160" s="55"/>
      <c r="K160" s="55"/>
    </row>
    <row r="161" spans="1:11" x14ac:dyDescent="0.3">
      <c r="A161" s="1"/>
      <c r="B161" s="1"/>
      <c r="C161" s="5"/>
      <c r="D161" s="5"/>
      <c r="E161" s="5"/>
      <c r="F161" s="162"/>
      <c r="G161" s="162"/>
      <c r="H161" s="162"/>
      <c r="I161" s="162"/>
      <c r="J161" s="55"/>
      <c r="K161" s="55"/>
    </row>
    <row r="162" spans="1:11" x14ac:dyDescent="0.3">
      <c r="A162" s="1"/>
      <c r="B162" s="1"/>
      <c r="C162" s="14"/>
      <c r="D162" s="5"/>
      <c r="E162" s="5"/>
      <c r="F162" s="162"/>
      <c r="G162" s="162"/>
      <c r="H162" s="162"/>
      <c r="I162" s="162"/>
      <c r="J162" s="55"/>
      <c r="K162" s="55"/>
    </row>
    <row r="163" spans="1:11" x14ac:dyDescent="0.3">
      <c r="A163" s="1"/>
      <c r="B163" s="1"/>
      <c r="C163" s="14"/>
      <c r="D163" s="128"/>
      <c r="E163" s="128"/>
      <c r="F163" s="162"/>
      <c r="G163" s="162"/>
      <c r="H163" s="162"/>
      <c r="I163" s="55"/>
      <c r="J163" s="55"/>
      <c r="K163" s="55"/>
    </row>
    <row r="164" spans="1:11" x14ac:dyDescent="0.3">
      <c r="A164" s="1"/>
      <c r="B164" s="1"/>
      <c r="C164" s="55"/>
      <c r="D164" s="55"/>
      <c r="E164" s="55"/>
      <c r="F164" s="55"/>
      <c r="G164" s="55"/>
      <c r="H164" s="55"/>
      <c r="I164" s="55"/>
      <c r="J164" s="55"/>
      <c r="K164" s="55"/>
    </row>
    <row r="165" spans="1:11" x14ac:dyDescent="0.3">
      <c r="A165" s="1"/>
      <c r="B165" s="1"/>
      <c r="C165" s="55"/>
      <c r="D165" s="55"/>
      <c r="E165" s="55"/>
      <c r="F165" s="55"/>
      <c r="G165" s="55"/>
      <c r="H165" s="55"/>
      <c r="I165" s="55"/>
      <c r="J165" s="55"/>
      <c r="K165" s="55"/>
    </row>
    <row r="166" spans="1:11" x14ac:dyDescent="0.3">
      <c r="A166" s="1"/>
      <c r="B166" s="1"/>
      <c r="C166" s="55"/>
      <c r="D166" s="55"/>
      <c r="E166" s="55"/>
      <c r="F166" s="55"/>
      <c r="G166" s="55"/>
      <c r="H166" s="55"/>
      <c r="I166" s="55"/>
      <c r="J166" s="55"/>
      <c r="K166" s="55"/>
    </row>
    <row r="167" spans="1:11" x14ac:dyDescent="0.3">
      <c r="A167" s="1"/>
      <c r="B167" s="1"/>
      <c r="C167" s="55"/>
      <c r="D167" s="55"/>
      <c r="E167" s="55"/>
      <c r="F167" s="55"/>
      <c r="G167" s="55"/>
      <c r="H167" s="55"/>
      <c r="I167" s="55"/>
      <c r="J167" s="55"/>
      <c r="K167" s="55"/>
    </row>
    <row r="168" spans="1:11" x14ac:dyDescent="0.3">
      <c r="A168" s="1"/>
      <c r="B168" s="1"/>
      <c r="C168" s="55"/>
      <c r="D168" s="55"/>
      <c r="E168" s="55"/>
      <c r="F168" s="55"/>
      <c r="G168" s="55"/>
      <c r="H168" s="55"/>
      <c r="I168" s="55"/>
      <c r="J168" s="55"/>
      <c r="K168" s="55"/>
    </row>
    <row r="169" spans="1:11" x14ac:dyDescent="0.3">
      <c r="A169" s="1"/>
      <c r="B169" s="1"/>
      <c r="C169" s="55"/>
      <c r="D169" s="55"/>
      <c r="E169" s="55"/>
      <c r="F169" s="55"/>
      <c r="G169" s="55"/>
      <c r="H169" s="55"/>
      <c r="I169" s="55"/>
      <c r="J169" s="55"/>
      <c r="K169" s="55"/>
    </row>
    <row r="170" spans="1:11" x14ac:dyDescent="0.3">
      <c r="A170" s="1"/>
      <c r="B170" s="1"/>
      <c r="C170" s="55"/>
      <c r="D170" s="55"/>
      <c r="E170" s="55"/>
      <c r="F170" s="55"/>
      <c r="G170" s="55"/>
      <c r="H170" s="55"/>
      <c r="I170" s="55"/>
      <c r="J170" s="55"/>
      <c r="K170" s="55"/>
    </row>
    <row r="171" spans="1:11" x14ac:dyDescent="0.3">
      <c r="A171" s="1"/>
      <c r="B171" s="1"/>
      <c r="C171" s="55"/>
      <c r="D171" s="55"/>
      <c r="E171" s="55"/>
      <c r="F171" s="55"/>
      <c r="G171" s="55"/>
      <c r="H171" s="55"/>
      <c r="I171" s="55"/>
      <c r="J171" s="55"/>
      <c r="K171" s="55"/>
    </row>
    <row r="172" spans="1:11" x14ac:dyDescent="0.3">
      <c r="A172" s="1"/>
      <c r="B172" s="1"/>
      <c r="C172" s="55"/>
      <c r="D172" s="55"/>
      <c r="E172" s="55"/>
      <c r="F172" s="55"/>
      <c r="G172" s="55"/>
      <c r="H172" s="55"/>
      <c r="I172" s="55"/>
      <c r="J172" s="55"/>
      <c r="K172" s="55"/>
    </row>
    <row r="173" spans="1:11" x14ac:dyDescent="0.3">
      <c r="A173" s="1"/>
      <c r="B173" s="1"/>
      <c r="C173" s="55"/>
      <c r="D173" s="55"/>
      <c r="E173" s="55"/>
      <c r="F173" s="55"/>
      <c r="G173" s="55"/>
      <c r="H173" s="55"/>
      <c r="I173" s="55"/>
      <c r="J173" s="55"/>
      <c r="K173" s="55"/>
    </row>
    <row r="174" spans="1:11" x14ac:dyDescent="0.3">
      <c r="A174" s="1"/>
      <c r="B174" s="1"/>
      <c r="C174" s="55"/>
      <c r="D174" s="55"/>
      <c r="E174" s="55"/>
      <c r="F174" s="55"/>
      <c r="G174" s="55"/>
      <c r="H174" s="55"/>
      <c r="I174" s="55"/>
      <c r="J174" s="55"/>
      <c r="K174" s="55"/>
    </row>
    <row r="175" spans="1:11" x14ac:dyDescent="0.3">
      <c r="A175" s="1"/>
      <c r="B175" s="1"/>
      <c r="C175" s="55"/>
      <c r="D175" s="55"/>
      <c r="E175" s="55"/>
      <c r="F175" s="55"/>
      <c r="G175" s="55"/>
      <c r="H175" s="55"/>
      <c r="I175" s="55"/>
      <c r="J175" s="55"/>
      <c r="K175" s="55"/>
    </row>
    <row r="176" spans="1:11" x14ac:dyDescent="0.3">
      <c r="A176" s="1"/>
      <c r="B176" s="1"/>
      <c r="C176" s="55"/>
      <c r="D176" s="55"/>
      <c r="E176" s="55"/>
      <c r="F176" s="55"/>
      <c r="G176" s="55"/>
      <c r="H176" s="55"/>
      <c r="I176" s="55"/>
      <c r="J176" s="55"/>
      <c r="K176" s="55"/>
    </row>
    <row r="177" spans="1:14" x14ac:dyDescent="0.3">
      <c r="A177" s="1"/>
      <c r="B177" s="1"/>
      <c r="C177" s="55"/>
      <c r="D177" s="55"/>
      <c r="E177" s="55"/>
      <c r="F177" s="55"/>
      <c r="G177" s="55"/>
      <c r="H177" s="55"/>
      <c r="I177" s="55"/>
      <c r="J177" s="55"/>
      <c r="K177" s="55"/>
    </row>
    <row r="178" spans="1:14" x14ac:dyDescent="0.3">
      <c r="A178" s="1"/>
      <c r="B178" s="1"/>
      <c r="C178" s="55"/>
      <c r="D178" s="55"/>
      <c r="E178" s="55"/>
      <c r="F178" s="55"/>
      <c r="G178" s="55"/>
      <c r="H178" s="55"/>
      <c r="I178" s="55"/>
      <c r="J178" s="55"/>
      <c r="K178" s="55"/>
    </row>
    <row r="179" spans="1:14" x14ac:dyDescent="0.3">
      <c r="A179" s="1"/>
      <c r="B179" s="1"/>
      <c r="C179" s="55"/>
      <c r="D179" s="55"/>
      <c r="E179" s="55"/>
      <c r="F179" s="55"/>
      <c r="G179" s="55"/>
      <c r="H179" s="55"/>
      <c r="I179" s="55"/>
      <c r="J179" s="55"/>
    </row>
    <row r="180" spans="1:14" x14ac:dyDescent="0.3">
      <c r="A180" s="1"/>
      <c r="B180" s="1"/>
      <c r="C180" s="55"/>
      <c r="D180" s="55"/>
      <c r="E180" s="55"/>
      <c r="F180" s="55"/>
      <c r="G180" s="55"/>
      <c r="H180" s="55"/>
      <c r="I180" s="55"/>
    </row>
    <row r="181" spans="1:14" x14ac:dyDescent="0.3">
      <c r="A181" s="1"/>
      <c r="B181" s="1"/>
      <c r="C181" s="55"/>
      <c r="D181" s="55"/>
      <c r="E181" s="55"/>
      <c r="F181" s="55"/>
      <c r="G181" s="55"/>
      <c r="H181" s="55"/>
      <c r="I181" s="55"/>
    </row>
    <row r="182" spans="1:14" x14ac:dyDescent="0.3">
      <c r="A182" s="1"/>
      <c r="B182" s="1"/>
      <c r="C182" s="55"/>
      <c r="D182" s="55"/>
      <c r="E182" s="55"/>
      <c r="F182" s="55"/>
      <c r="G182" s="55"/>
      <c r="H182" s="55"/>
      <c r="I182" s="55"/>
    </row>
    <row r="183" spans="1:14" x14ac:dyDescent="0.3">
      <c r="A183" s="1"/>
      <c r="B183" s="1"/>
      <c r="C183" s="55"/>
      <c r="D183" s="55"/>
      <c r="E183" s="55"/>
      <c r="F183" s="55"/>
      <c r="G183" s="55"/>
      <c r="H183" s="55"/>
    </row>
    <row r="184" spans="1:14" x14ac:dyDescent="0.3">
      <c r="A184" s="1"/>
      <c r="B184" s="1"/>
    </row>
    <row r="185" spans="1:14" x14ac:dyDescent="0.3">
      <c r="A185" s="1"/>
    </row>
    <row r="186" spans="1:14" x14ac:dyDescent="0.3">
      <c r="A186" s="1"/>
    </row>
    <row r="187" spans="1:14" x14ac:dyDescent="0.3">
      <c r="A187" s="1"/>
      <c r="K187" s="1"/>
    </row>
    <row r="188" spans="1:14" x14ac:dyDescent="0.3">
      <c r="A188" s="1"/>
      <c r="J188" s="1"/>
      <c r="K188" s="1"/>
    </row>
    <row r="189" spans="1:14" x14ac:dyDescent="0.3">
      <c r="A189" s="1"/>
      <c r="J189" s="1"/>
      <c r="K189" s="1"/>
    </row>
    <row r="190" spans="1:14" x14ac:dyDescent="0.3">
      <c r="A190" s="1"/>
      <c r="J190" s="1"/>
      <c r="K190" s="1"/>
    </row>
    <row r="191" spans="1:14" x14ac:dyDescent="0.3">
      <c r="A191" s="1"/>
      <c r="I191" s="149"/>
      <c r="J191" s="1"/>
      <c r="K191" s="1"/>
      <c r="L191" s="1"/>
      <c r="M191" s="1"/>
      <c r="N191" s="1"/>
    </row>
    <row r="192" spans="1:14" x14ac:dyDescent="0.3">
      <c r="A192" s="1"/>
      <c r="C192" s="5"/>
      <c r="D192" s="149"/>
      <c r="E192" s="149"/>
      <c r="F192" s="149"/>
      <c r="G192" s="149"/>
      <c r="H192" s="149"/>
      <c r="I192" s="149"/>
      <c r="J192" s="1"/>
      <c r="K192" s="1"/>
      <c r="L192" s="1"/>
      <c r="M192" s="1"/>
      <c r="N192" s="1"/>
    </row>
    <row r="193" spans="1:14" x14ac:dyDescent="0.3">
      <c r="A193" s="1"/>
      <c r="C193" s="5"/>
      <c r="D193" s="149"/>
      <c r="E193" s="149"/>
      <c r="F193" s="149"/>
      <c r="G193" s="149"/>
      <c r="H193" s="149"/>
      <c r="I193" s="149"/>
      <c r="J193" s="1"/>
      <c r="K193" s="1"/>
      <c r="L193" s="1"/>
      <c r="M193" s="1"/>
      <c r="N193" s="1"/>
    </row>
    <row r="194" spans="1:14" x14ac:dyDescent="0.3">
      <c r="A194" s="1"/>
      <c r="C194" s="5"/>
      <c r="D194" s="149"/>
      <c r="E194" s="149"/>
      <c r="F194" s="149"/>
      <c r="G194" s="149"/>
      <c r="H194" s="149"/>
      <c r="I194" s="149"/>
      <c r="J194" s="1"/>
      <c r="K194" s="1"/>
      <c r="L194" s="1"/>
      <c r="M194" s="1"/>
      <c r="N194" s="1"/>
    </row>
    <row r="195" spans="1:14" x14ac:dyDescent="0.3">
      <c r="A195" s="1"/>
      <c r="C195" s="5"/>
      <c r="D195" s="149"/>
      <c r="E195" s="149"/>
      <c r="F195" s="149"/>
      <c r="G195" s="149"/>
      <c r="H195" s="149"/>
      <c r="I195" s="149"/>
      <c r="J195" s="1"/>
      <c r="K195" s="1"/>
      <c r="L195" s="1"/>
      <c r="M195" s="1"/>
      <c r="N195" s="1"/>
    </row>
    <row r="196" spans="1:14" x14ac:dyDescent="0.3">
      <c r="A196" s="1"/>
      <c r="C196" s="149"/>
      <c r="D196" s="149"/>
      <c r="E196" s="149"/>
      <c r="F196" s="149"/>
      <c r="G196" s="149"/>
      <c r="H196" s="149"/>
      <c r="I196" s="149"/>
      <c r="J196" s="1"/>
      <c r="K196" s="1"/>
      <c r="L196" s="1"/>
      <c r="M196" s="1"/>
      <c r="N196" s="1"/>
    </row>
    <row r="197" spans="1:14" x14ac:dyDescent="0.3">
      <c r="A197" s="1"/>
      <c r="C197" s="128"/>
      <c r="D197" s="154"/>
      <c r="E197" s="149"/>
      <c r="F197" s="149"/>
      <c r="G197" s="149"/>
      <c r="H197" s="149"/>
      <c r="I197" s="149"/>
      <c r="J197" s="1"/>
      <c r="K197" s="1"/>
      <c r="L197" s="1"/>
      <c r="M197" s="1"/>
      <c r="N197" s="1"/>
    </row>
    <row r="198" spans="1:14" x14ac:dyDescent="0.3">
      <c r="A198" s="1"/>
      <c r="C198" s="5"/>
      <c r="D198" s="149"/>
      <c r="E198" s="149"/>
      <c r="F198" s="149"/>
      <c r="G198" s="149"/>
      <c r="H198" s="149"/>
      <c r="I198" s="149"/>
      <c r="J198" s="1"/>
      <c r="K198" s="203"/>
      <c r="L198" s="1"/>
      <c r="M198" s="1"/>
      <c r="N198" s="1"/>
    </row>
    <row r="199" spans="1:14" x14ac:dyDescent="0.3">
      <c r="A199" s="1"/>
      <c r="C199" s="158"/>
      <c r="D199" s="158"/>
      <c r="E199" s="149"/>
      <c r="F199" s="149"/>
      <c r="G199" s="149"/>
      <c r="H199" s="149"/>
      <c r="I199" s="149"/>
      <c r="J199" s="1"/>
      <c r="K199" s="1"/>
      <c r="L199" s="1"/>
      <c r="M199" s="1"/>
      <c r="N199" s="1"/>
    </row>
    <row r="200" spans="1:14" x14ac:dyDescent="0.3">
      <c r="A200" s="1"/>
      <c r="C200" s="5"/>
      <c r="D200" s="149"/>
      <c r="E200" s="149"/>
      <c r="F200" s="149"/>
      <c r="G200" s="149"/>
      <c r="H200" s="149"/>
      <c r="I200" s="149"/>
      <c r="J200" s="1"/>
      <c r="K200" s="1"/>
      <c r="L200" s="1"/>
      <c r="M200" s="1"/>
      <c r="N200" s="1"/>
    </row>
    <row r="201" spans="1:14" x14ac:dyDescent="0.3">
      <c r="A201" s="1"/>
      <c r="C201" s="158"/>
      <c r="D201" s="158"/>
      <c r="E201" s="149"/>
      <c r="F201" s="149"/>
      <c r="G201" s="149"/>
      <c r="H201" s="149"/>
      <c r="I201" s="149"/>
      <c r="J201" s="1"/>
      <c r="K201" s="1"/>
      <c r="L201" s="1"/>
      <c r="M201" s="1"/>
      <c r="N201" s="1"/>
    </row>
    <row r="202" spans="1:14" x14ac:dyDescent="0.3">
      <c r="A202" s="1"/>
      <c r="C202" s="128"/>
      <c r="D202" s="149"/>
      <c r="E202" s="149"/>
      <c r="F202" s="149"/>
      <c r="G202" s="149"/>
      <c r="H202" s="149"/>
      <c r="I202" s="149"/>
      <c r="J202" s="1"/>
      <c r="K202" s="1"/>
      <c r="L202" s="1"/>
      <c r="M202" s="1"/>
      <c r="N202" s="1"/>
    </row>
    <row r="203" spans="1:14" x14ac:dyDescent="0.3">
      <c r="A203" s="1"/>
      <c r="C203" s="5"/>
      <c r="D203" s="149"/>
      <c r="E203" s="149"/>
      <c r="F203" s="149"/>
      <c r="G203" s="149"/>
      <c r="H203" s="149"/>
      <c r="I203" s="149"/>
      <c r="J203" s="1"/>
      <c r="K203" s="1"/>
      <c r="L203" s="1"/>
      <c r="M203" s="1"/>
      <c r="N203" s="1"/>
    </row>
    <row r="204" spans="1:14" x14ac:dyDescent="0.3">
      <c r="A204" s="1"/>
      <c r="C204" s="149"/>
      <c r="D204" s="149"/>
      <c r="E204" s="149"/>
      <c r="F204" s="149"/>
      <c r="G204" s="149"/>
      <c r="H204" s="149"/>
      <c r="I204" s="156"/>
      <c r="J204" s="203"/>
      <c r="K204" s="1"/>
      <c r="L204" s="1"/>
      <c r="M204" s="1"/>
      <c r="N204" s="1"/>
    </row>
    <row r="205" spans="1:14" x14ac:dyDescent="0.3">
      <c r="A205" s="1"/>
      <c r="C205" s="156"/>
      <c r="D205" s="156"/>
      <c r="E205" s="156"/>
      <c r="F205" s="156"/>
      <c r="G205" s="156"/>
      <c r="H205" s="156"/>
      <c r="I205" s="149"/>
      <c r="J205" s="1"/>
      <c r="K205" s="1"/>
      <c r="L205" s="1"/>
      <c r="M205" s="1"/>
      <c r="N205" s="1"/>
    </row>
    <row r="206" spans="1:14" ht="24.6" x14ac:dyDescent="0.5">
      <c r="A206" s="1"/>
      <c r="C206" s="155"/>
      <c r="D206" s="149"/>
      <c r="E206" s="149"/>
      <c r="F206" s="149"/>
      <c r="G206" s="149"/>
      <c r="H206" s="149"/>
      <c r="I206" s="149"/>
      <c r="J206" s="1"/>
      <c r="K206" s="1"/>
      <c r="L206" s="1"/>
      <c r="M206" s="1"/>
      <c r="N206" s="1"/>
    </row>
    <row r="207" spans="1:14" x14ac:dyDescent="0.3">
      <c r="A207" s="1"/>
      <c r="C207" s="1"/>
      <c r="D207" s="149"/>
      <c r="E207" s="149"/>
      <c r="F207" s="149"/>
      <c r="G207" s="149"/>
      <c r="H207" s="149"/>
      <c r="I207" s="149"/>
      <c r="J207" s="1"/>
      <c r="K207" s="1"/>
      <c r="L207" s="1"/>
      <c r="M207" s="1"/>
      <c r="N207" s="1"/>
    </row>
    <row r="208" spans="1:14" x14ac:dyDescent="0.3">
      <c r="A208" s="1"/>
      <c r="C208" s="5"/>
      <c r="D208" s="149"/>
      <c r="E208" s="149"/>
      <c r="F208" s="149"/>
      <c r="G208" s="149"/>
      <c r="H208" s="149"/>
      <c r="I208" s="149"/>
      <c r="J208" s="1"/>
      <c r="K208" s="1"/>
      <c r="L208" s="1"/>
      <c r="M208" s="1"/>
      <c r="N208" s="1"/>
    </row>
    <row r="209" spans="1:14" x14ac:dyDescent="0.3">
      <c r="A209" s="1"/>
      <c r="C209" s="5"/>
      <c r="D209" s="149"/>
      <c r="E209" s="149"/>
      <c r="F209" s="149"/>
      <c r="G209" s="149"/>
      <c r="H209" s="149"/>
      <c r="I209" s="149"/>
      <c r="J209" s="1"/>
      <c r="K209" s="1"/>
      <c r="L209" s="1"/>
      <c r="M209" s="1"/>
      <c r="N209" s="1"/>
    </row>
    <row r="210" spans="1:14" x14ac:dyDescent="0.3">
      <c r="A210" s="1"/>
      <c r="C210" s="128"/>
      <c r="D210" s="149"/>
      <c r="E210" s="149"/>
      <c r="F210" s="160"/>
      <c r="G210" s="149"/>
      <c r="H210" s="149"/>
      <c r="I210" s="149"/>
      <c r="J210" s="1"/>
      <c r="K210" s="1"/>
      <c r="L210" s="1"/>
      <c r="M210" s="1"/>
      <c r="N210" s="1"/>
    </row>
    <row r="211" spans="1:14" x14ac:dyDescent="0.3">
      <c r="A211" s="1"/>
      <c r="C211" s="149"/>
      <c r="D211" s="149"/>
      <c r="E211" s="149"/>
      <c r="F211" s="149"/>
      <c r="G211" s="160"/>
      <c r="H211" s="160"/>
      <c r="I211" s="149"/>
      <c r="J211" s="1"/>
      <c r="K211" s="1"/>
      <c r="L211" s="1"/>
      <c r="M211" s="1"/>
      <c r="N211" s="1"/>
    </row>
    <row r="212" spans="1:14" x14ac:dyDescent="0.3">
      <c r="A212" s="1"/>
      <c r="C212" s="149"/>
      <c r="D212" s="149"/>
      <c r="E212" s="149"/>
      <c r="F212" s="149"/>
      <c r="G212" s="149"/>
      <c r="H212" s="149"/>
      <c r="I212" s="149"/>
      <c r="J212" s="1"/>
      <c r="K212" s="1"/>
      <c r="L212" s="1"/>
      <c r="M212" s="1"/>
      <c r="N212" s="1"/>
    </row>
    <row r="213" spans="1:14" x14ac:dyDescent="0.3">
      <c r="A213" s="1"/>
      <c r="C213" s="128"/>
      <c r="D213" s="149"/>
      <c r="E213" s="149"/>
      <c r="F213" s="149"/>
      <c r="G213" s="149"/>
      <c r="H213" s="149"/>
      <c r="I213" s="149"/>
      <c r="J213" s="1"/>
      <c r="K213" s="1"/>
      <c r="L213" s="1"/>
      <c r="M213" s="1"/>
      <c r="N213" s="1"/>
    </row>
    <row r="214" spans="1:14" x14ac:dyDescent="0.3">
      <c r="A214" s="1"/>
      <c r="C214" s="5"/>
      <c r="D214" s="149"/>
      <c r="E214" s="149"/>
      <c r="F214" s="149"/>
      <c r="G214" s="149"/>
      <c r="H214" s="149"/>
      <c r="I214" s="149"/>
      <c r="J214" s="1"/>
      <c r="K214" s="1"/>
      <c r="L214" s="1"/>
      <c r="M214" s="1"/>
      <c r="N214" s="1"/>
    </row>
    <row r="215" spans="1:14" x14ac:dyDescent="0.3">
      <c r="A215" s="1"/>
      <c r="C215" s="149"/>
      <c r="D215" s="149"/>
      <c r="E215" s="149"/>
      <c r="F215" s="149"/>
      <c r="G215" s="149"/>
      <c r="H215" s="149"/>
      <c r="I215" s="149"/>
      <c r="J215" s="1"/>
      <c r="K215" s="1"/>
      <c r="L215" s="1"/>
      <c r="M215" s="1"/>
      <c r="N215" s="1"/>
    </row>
    <row r="216" spans="1:14" x14ac:dyDescent="0.3">
      <c r="A216" s="1"/>
      <c r="C216" s="149"/>
      <c r="D216" s="149"/>
      <c r="E216" s="149"/>
      <c r="F216" s="149"/>
      <c r="G216" s="149"/>
      <c r="H216" s="149"/>
      <c r="I216" s="149"/>
      <c r="J216" s="1"/>
      <c r="K216" s="1"/>
      <c r="L216" s="1"/>
      <c r="M216" s="1"/>
      <c r="N216" s="1"/>
    </row>
    <row r="217" spans="1:14" x14ac:dyDescent="0.3">
      <c r="A217" s="1"/>
      <c r="C217" s="149"/>
      <c r="D217" s="149"/>
      <c r="E217" s="149"/>
      <c r="F217" s="149"/>
      <c r="G217" s="149"/>
      <c r="H217" s="149"/>
      <c r="I217" s="29"/>
      <c r="J217" s="1"/>
      <c r="K217" s="1"/>
      <c r="L217" s="1"/>
      <c r="M217" s="1"/>
      <c r="N217" s="1"/>
    </row>
    <row r="218" spans="1:14" x14ac:dyDescent="0.3">
      <c r="A218" s="1"/>
      <c r="C218" s="149"/>
      <c r="D218" s="149"/>
      <c r="E218" s="31"/>
      <c r="F218" s="29"/>
      <c r="G218" s="29"/>
      <c r="H218" s="29"/>
      <c r="I218" s="149"/>
      <c r="J218" s="1"/>
      <c r="K218" s="1"/>
      <c r="L218" s="1"/>
      <c r="M218" s="1"/>
      <c r="N218" s="1"/>
    </row>
    <row r="219" spans="1:14" x14ac:dyDescent="0.3">
      <c r="A219" s="1"/>
      <c r="C219" s="5"/>
      <c r="D219" s="149"/>
      <c r="E219" s="149"/>
      <c r="F219" s="149"/>
      <c r="G219" s="149"/>
      <c r="H219" s="149"/>
      <c r="I219" s="159"/>
      <c r="J219" s="1"/>
      <c r="K219" s="1"/>
      <c r="L219" s="1"/>
      <c r="M219" s="1"/>
      <c r="N219" s="1"/>
    </row>
    <row r="220" spans="1:14" x14ac:dyDescent="0.3">
      <c r="A220" s="1"/>
      <c r="C220" s="5"/>
      <c r="D220" s="149"/>
      <c r="E220" s="159"/>
      <c r="F220" s="159"/>
      <c r="G220" s="159"/>
      <c r="H220" s="159"/>
      <c r="I220" s="149"/>
      <c r="J220" s="1"/>
      <c r="K220" s="1"/>
      <c r="L220" s="1"/>
      <c r="M220" s="1"/>
      <c r="N220" s="1"/>
    </row>
    <row r="221" spans="1:14" x14ac:dyDescent="0.3">
      <c r="A221" s="1"/>
      <c r="C221" s="149"/>
      <c r="D221" s="149"/>
      <c r="E221" s="149"/>
      <c r="F221" s="149"/>
      <c r="G221" s="149"/>
      <c r="H221" s="149"/>
      <c r="I221" s="149"/>
      <c r="J221" s="1"/>
      <c r="K221" s="1"/>
      <c r="L221" s="1"/>
      <c r="M221" s="1"/>
      <c r="N221" s="1"/>
    </row>
    <row r="222" spans="1:14" x14ac:dyDescent="0.3">
      <c r="A222" s="1"/>
      <c r="C222" s="5"/>
      <c r="D222" s="149"/>
      <c r="E222" s="149"/>
      <c r="F222" s="149"/>
      <c r="G222" s="149"/>
      <c r="H222" s="149"/>
      <c r="I222" s="149"/>
      <c r="J222" s="1"/>
      <c r="K222" s="1"/>
      <c r="L222" s="1"/>
      <c r="M222" s="1"/>
      <c r="N222" s="1"/>
    </row>
    <row r="223" spans="1:14" x14ac:dyDescent="0.3">
      <c r="A223" s="1"/>
      <c r="C223" s="149"/>
      <c r="D223" s="149"/>
      <c r="E223" s="149"/>
      <c r="F223" s="149"/>
      <c r="G223" s="149"/>
      <c r="H223" s="149"/>
      <c r="I223" s="149"/>
      <c r="J223" s="1"/>
      <c r="K223" s="1"/>
      <c r="L223" s="1"/>
      <c r="M223" s="1"/>
      <c r="N223" s="1"/>
    </row>
    <row r="224" spans="1:14" x14ac:dyDescent="0.3">
      <c r="A224" s="1"/>
      <c r="C224" s="149"/>
      <c r="D224" s="149"/>
      <c r="E224" s="149"/>
      <c r="F224" s="149"/>
      <c r="G224" s="149"/>
      <c r="H224" s="149"/>
      <c r="I224" s="149"/>
      <c r="J224" s="1"/>
      <c r="K224" s="1"/>
      <c r="L224" s="1"/>
      <c r="M224" s="1"/>
      <c r="N224" s="1"/>
    </row>
    <row r="225" spans="1:14" x14ac:dyDescent="0.3">
      <c r="A225" s="1"/>
      <c r="C225" s="1"/>
      <c r="D225" s="149"/>
      <c r="E225" s="149"/>
      <c r="F225" s="149"/>
      <c r="G225" s="149"/>
      <c r="H225" s="149"/>
      <c r="I225" s="149"/>
      <c r="J225" s="1"/>
      <c r="K225" s="1"/>
      <c r="L225" s="1"/>
      <c r="M225" s="1"/>
      <c r="N225" s="1"/>
    </row>
    <row r="226" spans="1:14" x14ac:dyDescent="0.3">
      <c r="A226" s="1"/>
      <c r="C226" s="149"/>
      <c r="D226" s="149"/>
      <c r="E226" s="149"/>
      <c r="F226" s="149"/>
      <c r="G226" s="149"/>
      <c r="H226" s="149"/>
      <c r="I226" s="149"/>
      <c r="J226" s="1"/>
      <c r="K226" s="1"/>
      <c r="L226" s="1"/>
      <c r="M226" s="1"/>
      <c r="N226" s="1"/>
    </row>
    <row r="227" spans="1:14" x14ac:dyDescent="0.3">
      <c r="A227" s="1"/>
      <c r="C227" s="149"/>
      <c r="D227" s="149"/>
      <c r="E227" s="149"/>
      <c r="F227" s="149"/>
      <c r="G227" s="149"/>
      <c r="H227" s="149"/>
      <c r="I227" s="149"/>
      <c r="J227" s="1"/>
      <c r="K227" s="1"/>
      <c r="L227" s="1"/>
      <c r="M227" s="1"/>
      <c r="N227" s="1"/>
    </row>
    <row r="228" spans="1:14" x14ac:dyDescent="0.3">
      <c r="A228" s="1"/>
      <c r="B228" s="1"/>
      <c r="C228" s="149"/>
      <c r="D228" s="149"/>
      <c r="E228" s="149"/>
      <c r="F228" s="149"/>
      <c r="G228" s="149"/>
      <c r="H228" s="149"/>
      <c r="I228" s="149"/>
      <c r="J228" s="1"/>
      <c r="K228" s="1"/>
      <c r="L228" s="1"/>
      <c r="M228" s="1"/>
      <c r="N228" s="1"/>
    </row>
    <row r="229" spans="1:14" x14ac:dyDescent="0.3">
      <c r="A229" s="1"/>
      <c r="B229" s="1"/>
      <c r="C229" s="149"/>
      <c r="D229" s="149"/>
      <c r="E229" s="149"/>
      <c r="F229" s="149"/>
      <c r="G229" s="149"/>
      <c r="H229" s="149"/>
      <c r="I229" s="149"/>
      <c r="J229" s="1"/>
      <c r="K229" s="1"/>
      <c r="L229" s="1"/>
      <c r="M229" s="1"/>
      <c r="N229" s="1"/>
    </row>
    <row r="230" spans="1:14" x14ac:dyDescent="0.3">
      <c r="A230" s="1"/>
      <c r="B230" s="1"/>
      <c r="C230" s="149"/>
      <c r="D230" s="149"/>
      <c r="E230" s="149"/>
      <c r="F230" s="149"/>
      <c r="G230" s="149"/>
      <c r="H230" s="149"/>
      <c r="I230" s="149"/>
      <c r="J230" s="1"/>
      <c r="K230" s="1"/>
      <c r="L230" s="1"/>
      <c r="M230" s="1"/>
      <c r="N230" s="1"/>
    </row>
    <row r="231" spans="1:14" x14ac:dyDescent="0.3">
      <c r="A231" s="1"/>
      <c r="B231" s="1"/>
      <c r="C231" s="149"/>
      <c r="D231" s="149"/>
      <c r="E231" s="149"/>
      <c r="F231" s="149"/>
      <c r="G231" s="149"/>
      <c r="H231" s="149"/>
      <c r="I231" s="149"/>
      <c r="J231" s="1"/>
      <c r="K231" s="1"/>
      <c r="L231" s="1"/>
      <c r="M231" s="1"/>
      <c r="N231" s="1"/>
    </row>
    <row r="232" spans="1:14" x14ac:dyDescent="0.3">
      <c r="A232" s="1"/>
      <c r="B232" s="1"/>
      <c r="C232" s="149"/>
      <c r="D232" s="149"/>
      <c r="E232" s="149"/>
      <c r="F232" s="149"/>
      <c r="G232" s="149"/>
      <c r="H232" s="149"/>
      <c r="I232" s="149"/>
      <c r="J232" s="1"/>
      <c r="K232" s="1"/>
      <c r="L232" s="1"/>
      <c r="M232" s="1"/>
      <c r="N232" s="1"/>
    </row>
    <row r="233" spans="1:14" x14ac:dyDescent="0.3">
      <c r="A233" s="1"/>
      <c r="B233" s="1"/>
      <c r="C233" s="157"/>
      <c r="D233" s="149"/>
      <c r="E233" s="149"/>
      <c r="F233" s="149"/>
      <c r="G233" s="149"/>
      <c r="H233" s="149"/>
      <c r="I233" s="149"/>
      <c r="J233" s="1"/>
      <c r="K233" s="1"/>
      <c r="L233" s="1"/>
      <c r="M233" s="1"/>
      <c r="N233" s="1"/>
    </row>
    <row r="234" spans="1:14" x14ac:dyDescent="0.3">
      <c r="A234" s="1"/>
      <c r="B234" s="1"/>
      <c r="C234" s="157"/>
      <c r="D234" s="149"/>
      <c r="E234" s="149"/>
      <c r="F234" s="149"/>
      <c r="G234" s="149"/>
      <c r="H234" s="149"/>
      <c r="I234" s="149"/>
      <c r="J234" s="1"/>
      <c r="K234" s="1"/>
      <c r="L234" s="1"/>
      <c r="M234" s="1"/>
      <c r="N234" s="1"/>
    </row>
    <row r="235" spans="1:14" x14ac:dyDescent="0.3">
      <c r="A235" s="1"/>
      <c r="B235" s="1"/>
      <c r="C235" s="149"/>
      <c r="D235" s="149"/>
      <c r="E235" s="149"/>
      <c r="F235" s="149"/>
      <c r="G235" s="149"/>
      <c r="H235" s="149"/>
      <c r="I235" s="149"/>
      <c r="J235" s="149"/>
      <c r="K235" s="1"/>
      <c r="L235" s="1"/>
      <c r="M235" s="1"/>
      <c r="N235" s="1"/>
    </row>
    <row r="236" spans="1:14" x14ac:dyDescent="0.3">
      <c r="A236" s="1"/>
      <c r="B236" s="1"/>
      <c r="C236" s="149"/>
      <c r="D236" s="149"/>
      <c r="E236" s="149"/>
      <c r="F236" s="149"/>
      <c r="G236" s="149"/>
      <c r="H236" s="149"/>
      <c r="I236" s="149"/>
      <c r="J236" s="1"/>
      <c r="K236" s="1"/>
      <c r="L236" s="1"/>
      <c r="M236" s="1"/>
      <c r="N236" s="1"/>
    </row>
    <row r="237" spans="1:14" x14ac:dyDescent="0.3">
      <c r="A237" s="1"/>
      <c r="B237" s="1"/>
      <c r="C237" s="149"/>
      <c r="D237" s="149"/>
      <c r="E237" s="149"/>
      <c r="F237" s="149"/>
      <c r="G237" s="149"/>
      <c r="H237" s="149"/>
      <c r="I237" s="149"/>
      <c r="J237" s="1"/>
      <c r="K237" s="1"/>
      <c r="L237" s="1"/>
      <c r="M237" s="1"/>
      <c r="N237" s="1"/>
    </row>
    <row r="238" spans="1:14" x14ac:dyDescent="0.3">
      <c r="A238" s="1"/>
      <c r="B238" s="1"/>
      <c r="C238" s="149"/>
      <c r="D238" s="149"/>
      <c r="E238" s="149"/>
      <c r="F238" s="149"/>
      <c r="G238" s="149"/>
      <c r="H238" s="149"/>
      <c r="I238" s="149"/>
      <c r="J238" s="1"/>
      <c r="K238" s="1"/>
      <c r="L238" s="1"/>
      <c r="M238" s="1"/>
      <c r="N238" s="1"/>
    </row>
    <row r="239" spans="1:14" x14ac:dyDescent="0.3">
      <c r="A239" s="1"/>
      <c r="B239" s="1"/>
      <c r="C239" s="149"/>
      <c r="D239" s="149"/>
      <c r="E239" s="149"/>
      <c r="F239" s="149"/>
      <c r="G239" s="149"/>
      <c r="H239" s="149"/>
      <c r="I239" s="1"/>
      <c r="J239" s="1"/>
      <c r="K239" s="1"/>
      <c r="L239" s="1"/>
      <c r="M239" s="1"/>
      <c r="N239" s="1"/>
    </row>
    <row r="240" spans="1:14" x14ac:dyDescent="0.3">
      <c r="A240" s="1"/>
      <c r="B240" s="1"/>
      <c r="C240" s="1"/>
      <c r="D240" s="1"/>
      <c r="E240" s="1"/>
      <c r="F240" s="1"/>
      <c r="G240" s="1"/>
      <c r="H240" s="1"/>
      <c r="I240" s="149"/>
      <c r="J240" s="1"/>
      <c r="K240" s="1"/>
      <c r="L240" s="1"/>
      <c r="M240" s="1"/>
      <c r="N240" s="1"/>
    </row>
    <row r="241" spans="1:14" x14ac:dyDescent="0.3">
      <c r="A241" s="1"/>
      <c r="B241" s="1"/>
      <c r="C241" s="1"/>
      <c r="D241" s="149"/>
      <c r="E241" s="149"/>
      <c r="F241" s="149"/>
      <c r="G241" s="149"/>
      <c r="H241" s="149"/>
      <c r="I241" s="1"/>
      <c r="J241" s="1"/>
      <c r="K241" s="1"/>
      <c r="L241" s="1"/>
      <c r="M241" s="1"/>
      <c r="N241" s="1"/>
    </row>
    <row r="242" spans="1:14" x14ac:dyDescent="0.3">
      <c r="A242" s="1"/>
      <c r="B242" s="1"/>
      <c r="C242" s="1"/>
      <c r="D242" s="1"/>
      <c r="E242" s="1"/>
      <c r="F242" s="1"/>
      <c r="G242" s="1"/>
      <c r="H242" s="1"/>
    </row>
    <row r="243" spans="1:14" x14ac:dyDescent="0.3">
      <c r="A243" s="1"/>
      <c r="B243" s="1"/>
      <c r="C243" s="1"/>
      <c r="D243" s="1"/>
      <c r="E243" s="1"/>
      <c r="F243" s="1"/>
      <c r="G243" s="1"/>
      <c r="H243" s="1"/>
    </row>
    <row r="244" spans="1:14" x14ac:dyDescent="0.3">
      <c r="A244" s="1"/>
      <c r="B244" s="1"/>
      <c r="C244" s="1"/>
      <c r="D244" s="1"/>
      <c r="E244" s="1"/>
      <c r="F244" s="1"/>
      <c r="G244" s="1"/>
      <c r="H244" s="1"/>
    </row>
    <row r="245" spans="1:14" x14ac:dyDescent="0.3">
      <c r="A245" s="1"/>
      <c r="B245" s="1"/>
      <c r="C245" s="1"/>
      <c r="D245" s="1"/>
      <c r="E245" s="1"/>
      <c r="F245" s="1"/>
      <c r="G245" s="1"/>
      <c r="H245" s="1"/>
    </row>
    <row r="246" spans="1:14" x14ac:dyDescent="0.3">
      <c r="A246" s="1"/>
      <c r="B246" s="1"/>
      <c r="C246" s="1"/>
      <c r="D246" s="1"/>
      <c r="E246" s="1"/>
      <c r="F246" s="1"/>
      <c r="G246" s="1"/>
      <c r="H246" s="1"/>
    </row>
    <row r="247" spans="1:14" x14ac:dyDescent="0.3">
      <c r="A247" s="1"/>
      <c r="B247" s="1"/>
      <c r="C247" s="1"/>
      <c r="D247" s="1"/>
      <c r="E247" s="1"/>
      <c r="F247" s="1"/>
      <c r="G247" s="1"/>
      <c r="H247" s="1"/>
    </row>
    <row r="248" spans="1:14" x14ac:dyDescent="0.3">
      <c r="A248" s="1"/>
      <c r="B248" s="1"/>
      <c r="C248" s="1"/>
      <c r="D248" s="1"/>
      <c r="E248" s="1"/>
      <c r="F248" s="1"/>
      <c r="G248" s="1"/>
      <c r="H248" s="1"/>
    </row>
    <row r="249" spans="1:14" x14ac:dyDescent="0.3">
      <c r="A249" s="1"/>
      <c r="B249" s="1"/>
      <c r="C249" s="1"/>
      <c r="D249" s="1"/>
      <c r="E249" s="1"/>
      <c r="F249" s="1"/>
      <c r="G249" s="1"/>
      <c r="H249" s="1"/>
    </row>
    <row r="250" spans="1:14" x14ac:dyDescent="0.3">
      <c r="A250" s="1"/>
      <c r="B250" s="1"/>
      <c r="C250" s="1"/>
      <c r="D250" s="1"/>
      <c r="E250" s="1"/>
      <c r="F250" s="1"/>
      <c r="G250" s="1"/>
      <c r="H250" s="1"/>
    </row>
    <row r="251" spans="1:14" x14ac:dyDescent="0.3">
      <c r="A251" s="1"/>
      <c r="B251" s="1"/>
      <c r="C251" s="1"/>
      <c r="D251" s="1"/>
      <c r="E251" s="1"/>
      <c r="F251" s="1"/>
      <c r="G251" s="1"/>
      <c r="H251" s="1"/>
    </row>
    <row r="252" spans="1:14" x14ac:dyDescent="0.3">
      <c r="A252" s="1"/>
      <c r="B252" s="1"/>
      <c r="C252" s="1"/>
      <c r="D252" s="1"/>
      <c r="E252" s="1"/>
      <c r="F252" s="1"/>
      <c r="G252" s="1"/>
      <c r="H252" s="1"/>
    </row>
    <row r="253" spans="1:14" x14ac:dyDescent="0.3">
      <c r="A253" s="1"/>
      <c r="B253" s="1"/>
      <c r="C253" s="1"/>
      <c r="D253" s="1"/>
      <c r="E253" s="1"/>
      <c r="F253" s="1"/>
      <c r="G253" s="1"/>
      <c r="H253" s="1"/>
    </row>
    <row r="254" spans="1:14" x14ac:dyDescent="0.3">
      <c r="A254" s="1"/>
      <c r="B254" s="1"/>
      <c r="C254" s="1"/>
      <c r="D254" s="1"/>
      <c r="E254" s="1"/>
      <c r="F254" s="1"/>
      <c r="G254" s="1"/>
      <c r="H254" s="1"/>
    </row>
    <row r="255" spans="1:14" x14ac:dyDescent="0.3">
      <c r="A255" s="1"/>
      <c r="B255" s="1"/>
      <c r="C255" s="1"/>
      <c r="D255" s="1"/>
      <c r="E255" s="1"/>
      <c r="F255" s="1"/>
      <c r="G255" s="1"/>
      <c r="H255" s="1"/>
    </row>
    <row r="256" spans="1:14" x14ac:dyDescent="0.3">
      <c r="A256" s="1"/>
      <c r="B256" s="1"/>
      <c r="C256" s="1"/>
      <c r="D256" s="1"/>
      <c r="E256" s="1"/>
      <c r="F256" s="1"/>
      <c r="G256" s="1"/>
      <c r="H256" s="1"/>
    </row>
    <row r="257" spans="1:8" x14ac:dyDescent="0.3">
      <c r="A257" s="1"/>
      <c r="B257" s="1"/>
      <c r="C257" s="1"/>
      <c r="D257" s="1"/>
      <c r="E257" s="1"/>
      <c r="F257" s="1"/>
      <c r="G257" s="1"/>
      <c r="H257" s="1"/>
    </row>
    <row r="258" spans="1:8" x14ac:dyDescent="0.3">
      <c r="A258" s="1"/>
      <c r="B258" s="1"/>
      <c r="C258" s="1"/>
      <c r="D258" s="1"/>
      <c r="E258" s="1"/>
      <c r="F258" s="1"/>
      <c r="G258" s="1"/>
      <c r="H258" s="1"/>
    </row>
    <row r="259" spans="1:8" x14ac:dyDescent="0.3">
      <c r="A259" s="1"/>
      <c r="B259" s="1"/>
      <c r="C259" s="1"/>
      <c r="D259" s="1"/>
      <c r="E259" s="1"/>
      <c r="F259" s="1"/>
      <c r="G259" s="1"/>
      <c r="H259" s="1"/>
    </row>
    <row r="260" spans="1:8" x14ac:dyDescent="0.3">
      <c r="A260" s="1"/>
      <c r="B260" s="1"/>
      <c r="C260" s="1"/>
      <c r="D260" s="1"/>
      <c r="E260" s="1"/>
      <c r="F260" s="1"/>
      <c r="G260" s="1"/>
      <c r="H260" s="1"/>
    </row>
    <row r="261" spans="1:8" x14ac:dyDescent="0.3">
      <c r="A261" s="1"/>
      <c r="B261" s="1"/>
      <c r="C261" s="1"/>
      <c r="D261" s="1"/>
      <c r="E261" s="1"/>
      <c r="F261" s="1"/>
      <c r="G261" s="1"/>
      <c r="H261" s="1"/>
    </row>
    <row r="262" spans="1:8" x14ac:dyDescent="0.3">
      <c r="A262" s="1"/>
      <c r="B262" s="1"/>
      <c r="C262" s="1"/>
      <c r="D262" s="1"/>
      <c r="E262" s="1"/>
      <c r="F262" s="1"/>
      <c r="G262" s="1"/>
      <c r="H262" s="1"/>
    </row>
    <row r="263" spans="1:8" x14ac:dyDescent="0.3">
      <c r="A263" s="1"/>
      <c r="B263" s="1"/>
      <c r="C263" s="1"/>
      <c r="D263" s="1"/>
      <c r="E263" s="1"/>
      <c r="F263" s="1"/>
      <c r="G263" s="1"/>
      <c r="H263" s="1"/>
    </row>
    <row r="264" spans="1:8" x14ac:dyDescent="0.3">
      <c r="A264" s="1"/>
      <c r="B264" s="1"/>
      <c r="C264" s="1"/>
      <c r="D264" s="1"/>
      <c r="E264" s="1"/>
      <c r="F264" s="1"/>
      <c r="G264" s="1"/>
      <c r="H264" s="1"/>
    </row>
    <row r="265" spans="1:8" x14ac:dyDescent="0.3">
      <c r="A265" s="1"/>
      <c r="B265" s="1"/>
      <c r="C265" s="1"/>
      <c r="D265" s="1"/>
      <c r="E265" s="1"/>
      <c r="F265" s="1"/>
      <c r="G265" s="1"/>
      <c r="H265" s="1"/>
    </row>
    <row r="266" spans="1:8" x14ac:dyDescent="0.3">
      <c r="A266" s="1"/>
      <c r="B266" s="1"/>
      <c r="C266" s="1"/>
      <c r="D266" s="1"/>
      <c r="E266" s="1"/>
      <c r="F266" s="1"/>
      <c r="G266" s="1"/>
      <c r="H266" s="1"/>
    </row>
    <row r="267" spans="1:8" x14ac:dyDescent="0.3">
      <c r="A267" s="1"/>
      <c r="B267" s="1"/>
      <c r="C267" s="1"/>
      <c r="D267" s="1"/>
      <c r="E267" s="1"/>
      <c r="F267" s="1"/>
      <c r="G267" s="1"/>
      <c r="H267" s="1"/>
    </row>
    <row r="268" spans="1:8" x14ac:dyDescent="0.3">
      <c r="A268" s="1"/>
      <c r="B268" s="1"/>
      <c r="C268" s="1"/>
      <c r="D268" s="1"/>
      <c r="E268" s="1"/>
      <c r="F268" s="1"/>
      <c r="G268" s="1"/>
      <c r="H268" s="1"/>
    </row>
    <row r="269" spans="1:8" x14ac:dyDescent="0.3">
      <c r="A269" s="1"/>
      <c r="B269" s="1"/>
      <c r="C269" s="1"/>
      <c r="D269" s="1"/>
      <c r="E269" s="1"/>
      <c r="F269" s="1"/>
      <c r="G269" s="1"/>
      <c r="H269" s="1"/>
    </row>
    <row r="270" spans="1:8" x14ac:dyDescent="0.3">
      <c r="A270" s="1"/>
      <c r="B270" s="1"/>
      <c r="C270" s="1"/>
      <c r="D270" s="1"/>
      <c r="E270" s="1"/>
      <c r="F270" s="1"/>
      <c r="G270" s="1"/>
      <c r="H270" s="1"/>
    </row>
    <row r="271" spans="1:8" x14ac:dyDescent="0.3">
      <c r="A271" s="1"/>
      <c r="B271" s="1"/>
      <c r="C271" s="1"/>
      <c r="D271" s="1"/>
      <c r="E271" s="1"/>
      <c r="F271" s="1"/>
      <c r="G271" s="1"/>
      <c r="H271" s="1"/>
    </row>
    <row r="272" spans="1:8" x14ac:dyDescent="0.3">
      <c r="A272" s="1"/>
      <c r="B272" s="1"/>
      <c r="C272" s="1"/>
      <c r="D272" s="1"/>
      <c r="E272" s="1"/>
      <c r="F272" s="1"/>
      <c r="G272" s="1"/>
      <c r="H272" s="1"/>
    </row>
    <row r="273" spans="1:8" x14ac:dyDescent="0.3">
      <c r="A273" s="1"/>
      <c r="B273" s="1"/>
      <c r="C273" s="1"/>
      <c r="D273" s="1"/>
      <c r="E273" s="1"/>
      <c r="F273" s="1"/>
      <c r="G273" s="1"/>
      <c r="H273" s="1"/>
    </row>
    <row r="274" spans="1:8" x14ac:dyDescent="0.3">
      <c r="A274" s="1"/>
      <c r="B274" s="1"/>
      <c r="C274" s="1"/>
      <c r="D274" s="1"/>
      <c r="E274" s="1"/>
      <c r="F274" s="1"/>
      <c r="G274" s="1"/>
      <c r="H274" s="1"/>
    </row>
    <row r="275" spans="1:8" x14ac:dyDescent="0.3">
      <c r="A275" s="1"/>
      <c r="B275" s="1"/>
      <c r="C275" s="1"/>
      <c r="D275" s="1"/>
      <c r="E275" s="1"/>
      <c r="F275" s="1"/>
      <c r="G275" s="1"/>
      <c r="H275" s="1"/>
    </row>
    <row r="276" spans="1:8" x14ac:dyDescent="0.3">
      <c r="A276" s="1"/>
      <c r="B276" s="1"/>
      <c r="C276" s="1"/>
      <c r="D276" s="1"/>
      <c r="E276" s="1"/>
      <c r="F276" s="1"/>
      <c r="G276" s="1"/>
      <c r="H276" s="1"/>
    </row>
    <row r="277" spans="1:8" x14ac:dyDescent="0.3">
      <c r="A277" s="1"/>
      <c r="B277" s="1"/>
      <c r="C277" s="1"/>
      <c r="D277" s="1"/>
      <c r="E277" s="1"/>
      <c r="F277" s="1"/>
      <c r="G277" s="1"/>
      <c r="H277" s="1"/>
    </row>
    <row r="278" spans="1:8" x14ac:dyDescent="0.3">
      <c r="A278" s="1"/>
      <c r="B278" s="1"/>
      <c r="C278" s="1"/>
      <c r="D278" s="1"/>
      <c r="E278" s="1"/>
      <c r="F278" s="1"/>
      <c r="G278" s="1"/>
      <c r="H278" s="1"/>
    </row>
    <row r="279" spans="1:8" x14ac:dyDescent="0.3">
      <c r="A279" s="1"/>
      <c r="B279" s="1"/>
      <c r="C279" s="1"/>
      <c r="D279" s="1"/>
      <c r="E279" s="1"/>
      <c r="F279" s="1"/>
      <c r="G279" s="1"/>
      <c r="H279" s="1"/>
    </row>
    <row r="280" spans="1:8" x14ac:dyDescent="0.3">
      <c r="A280" s="1"/>
      <c r="B280" s="1"/>
      <c r="C280" s="1"/>
      <c r="D280" s="1"/>
      <c r="E280" s="1"/>
      <c r="F280" s="1"/>
      <c r="G280" s="1"/>
      <c r="H280" s="1"/>
    </row>
    <row r="281" spans="1:8" x14ac:dyDescent="0.3">
      <c r="A281" s="1"/>
      <c r="B281" s="1"/>
      <c r="C281" s="1"/>
      <c r="D281" s="1"/>
      <c r="E281" s="1"/>
      <c r="F281" s="1"/>
      <c r="G281" s="1"/>
      <c r="H281" s="1"/>
    </row>
    <row r="282" spans="1:8" x14ac:dyDescent="0.3">
      <c r="A282" s="1"/>
      <c r="B282" s="1"/>
      <c r="C282" s="1"/>
      <c r="D282" s="1"/>
      <c r="E282" s="1"/>
      <c r="F282" s="1"/>
      <c r="G282" s="1"/>
      <c r="H282" s="1"/>
    </row>
    <row r="283" spans="1:8" x14ac:dyDescent="0.3">
      <c r="A283" s="1"/>
      <c r="B283" s="1"/>
      <c r="C283" s="1"/>
      <c r="D283" s="1"/>
      <c r="E283" s="1"/>
      <c r="F283" s="1"/>
      <c r="G283" s="1"/>
      <c r="H283" s="1"/>
    </row>
    <row r="284" spans="1:8" x14ac:dyDescent="0.3">
      <c r="A284" s="1"/>
      <c r="B284" s="1"/>
      <c r="C284" s="1"/>
      <c r="D284" s="1"/>
      <c r="E284" s="1"/>
      <c r="F284" s="1"/>
      <c r="G284" s="1"/>
      <c r="H284" s="1"/>
    </row>
    <row r="285" spans="1:8" x14ac:dyDescent="0.3">
      <c r="A285" s="1"/>
      <c r="B285" s="1"/>
      <c r="C285" s="1"/>
      <c r="D285" s="1"/>
      <c r="E285" s="1"/>
      <c r="F285" s="1"/>
      <c r="G285" s="1"/>
      <c r="H285" s="1"/>
    </row>
    <row r="286" spans="1:8" x14ac:dyDescent="0.3">
      <c r="A286" s="1"/>
      <c r="B286" s="1"/>
      <c r="C286" s="1"/>
      <c r="D286" s="1"/>
      <c r="E286" s="1"/>
      <c r="F286" s="1"/>
      <c r="G286" s="1"/>
      <c r="H286" s="1"/>
    </row>
    <row r="287" spans="1:8" x14ac:dyDescent="0.3">
      <c r="A287" s="1"/>
      <c r="B287" s="1"/>
      <c r="C287" s="1"/>
      <c r="D287" s="1"/>
      <c r="E287" s="1"/>
      <c r="F287" s="1"/>
      <c r="G287" s="1"/>
      <c r="H287" s="1"/>
    </row>
    <row r="288" spans="1:8" x14ac:dyDescent="0.3">
      <c r="A288" s="1"/>
      <c r="B288" s="1"/>
      <c r="C288" s="1"/>
      <c r="D288" s="1"/>
      <c r="E288" s="1"/>
      <c r="F288" s="1"/>
      <c r="G288" s="1"/>
      <c r="H288" s="1"/>
    </row>
    <row r="289" spans="1:8" x14ac:dyDescent="0.3">
      <c r="A289" s="1"/>
      <c r="B289" s="1"/>
      <c r="C289" s="1"/>
      <c r="D289" s="1"/>
      <c r="E289" s="1"/>
      <c r="F289" s="1"/>
      <c r="G289" s="1"/>
      <c r="H289" s="1"/>
    </row>
    <row r="290" spans="1:8" x14ac:dyDescent="0.3">
      <c r="A290" s="1"/>
      <c r="B290" s="1"/>
      <c r="C290" s="1"/>
      <c r="D290" s="1"/>
      <c r="E290" s="1"/>
      <c r="F290" s="1"/>
      <c r="G290" s="1"/>
      <c r="H290" s="1"/>
    </row>
    <row r="291" spans="1:8" x14ac:dyDescent="0.3">
      <c r="A291" s="1"/>
      <c r="B291" s="1"/>
      <c r="C291" s="1"/>
      <c r="D291" s="1"/>
      <c r="E291" s="1"/>
      <c r="F291" s="1"/>
      <c r="G291" s="1"/>
      <c r="H291" s="1"/>
    </row>
    <row r="292" spans="1:8" x14ac:dyDescent="0.3">
      <c r="A292" s="1"/>
      <c r="B292" s="1"/>
      <c r="C292" s="1"/>
      <c r="D292" s="1"/>
      <c r="E292" s="1"/>
      <c r="F292" s="1"/>
      <c r="G292" s="1"/>
      <c r="H292" s="1"/>
    </row>
    <row r="293" spans="1:8" x14ac:dyDescent="0.3">
      <c r="A293" s="1"/>
      <c r="B293" s="1"/>
      <c r="C293" s="1"/>
      <c r="D293" s="1"/>
      <c r="E293" s="1"/>
      <c r="F293" s="1"/>
      <c r="G293" s="1"/>
      <c r="H293" s="1"/>
    </row>
    <row r="294" spans="1:8" x14ac:dyDescent="0.3">
      <c r="A294" s="1"/>
      <c r="B294" s="1"/>
      <c r="C294" s="1"/>
      <c r="D294" s="1"/>
      <c r="E294" s="1"/>
      <c r="F294" s="1"/>
      <c r="G294" s="1"/>
      <c r="H294" s="1"/>
    </row>
    <row r="295" spans="1:8" x14ac:dyDescent="0.3">
      <c r="A295" s="1"/>
      <c r="B295" s="1"/>
      <c r="C295" s="1"/>
      <c r="D295" s="1"/>
      <c r="E295" s="1"/>
      <c r="F295" s="1"/>
      <c r="G295" s="1"/>
      <c r="H295" s="1"/>
    </row>
    <row r="296" spans="1:8" x14ac:dyDescent="0.3">
      <c r="A296" s="1"/>
      <c r="B296" s="1"/>
      <c r="C296" s="1"/>
      <c r="D296" s="1"/>
      <c r="E296" s="1"/>
      <c r="F296" s="1"/>
      <c r="G296" s="1"/>
      <c r="H296" s="1"/>
    </row>
    <row r="297" spans="1:8" x14ac:dyDescent="0.3">
      <c r="A297" s="1"/>
      <c r="B297" s="1"/>
      <c r="C297" s="1"/>
      <c r="D297" s="1"/>
      <c r="E297" s="1"/>
      <c r="F297" s="1"/>
      <c r="G297" s="1"/>
      <c r="H297" s="1"/>
    </row>
    <row r="298" spans="1:8" x14ac:dyDescent="0.3">
      <c r="A298" s="1"/>
      <c r="B298" s="1"/>
      <c r="C298" s="1"/>
      <c r="D298" s="1"/>
      <c r="E298" s="1"/>
      <c r="F298" s="1"/>
      <c r="G298" s="1"/>
      <c r="H298" s="1"/>
    </row>
    <row r="299" spans="1:8" x14ac:dyDescent="0.3">
      <c r="A299" s="1"/>
      <c r="B299" s="1"/>
      <c r="C299" s="1"/>
      <c r="D299" s="1"/>
      <c r="E299" s="1"/>
      <c r="F299" s="1"/>
      <c r="G299" s="1"/>
      <c r="H299" s="1"/>
    </row>
    <row r="300" spans="1:8" x14ac:dyDescent="0.3">
      <c r="A300" s="1"/>
      <c r="B300" s="1"/>
      <c r="C300" s="1"/>
      <c r="D300" s="1"/>
      <c r="E300" s="1"/>
      <c r="F300" s="1"/>
      <c r="G300" s="1"/>
      <c r="H300" s="1"/>
    </row>
    <row r="301" spans="1:8" x14ac:dyDescent="0.3">
      <c r="A301" s="1"/>
      <c r="B301" s="1"/>
      <c r="C301" s="1"/>
      <c r="D301" s="1"/>
      <c r="E301" s="1"/>
      <c r="F301" s="1"/>
      <c r="G301" s="1"/>
      <c r="H301" s="1"/>
    </row>
    <row r="302" spans="1:8" x14ac:dyDescent="0.3">
      <c r="A302" s="1"/>
      <c r="B302" s="1"/>
      <c r="C302" s="1"/>
      <c r="D302" s="1"/>
      <c r="E302" s="1"/>
      <c r="F302" s="1"/>
      <c r="G302" s="1"/>
      <c r="H302" s="1"/>
    </row>
    <row r="303" spans="1:8" x14ac:dyDescent="0.3">
      <c r="A303" s="1"/>
      <c r="B303" s="1"/>
      <c r="C303" s="1"/>
      <c r="D303" s="1"/>
      <c r="E303" s="1"/>
      <c r="F303" s="1"/>
      <c r="G303" s="1"/>
      <c r="H303" s="1"/>
    </row>
    <row r="304" spans="1:8" x14ac:dyDescent="0.3">
      <c r="A304" s="1"/>
      <c r="B304" s="1"/>
      <c r="C304" s="1"/>
      <c r="D304" s="1"/>
      <c r="E304" s="1"/>
      <c r="F304" s="1"/>
      <c r="G304" s="1"/>
      <c r="H304" s="1"/>
    </row>
    <row r="305" spans="1:8" x14ac:dyDescent="0.3">
      <c r="A305" s="1"/>
      <c r="B305" s="1"/>
      <c r="C305" s="1"/>
      <c r="D305" s="1"/>
      <c r="E305" s="1"/>
      <c r="F305" s="1"/>
      <c r="G305" s="1"/>
      <c r="H305" s="1"/>
    </row>
    <row r="306" spans="1:8" x14ac:dyDescent="0.3">
      <c r="A306" s="1"/>
      <c r="B306" s="1"/>
      <c r="C306" s="1"/>
      <c r="D306" s="1"/>
      <c r="E306" s="1"/>
      <c r="F306" s="1"/>
      <c r="G306" s="1"/>
      <c r="H306" s="1"/>
    </row>
    <row r="307" spans="1:8" x14ac:dyDescent="0.3">
      <c r="A307" s="1"/>
      <c r="B307" s="1"/>
      <c r="C307" s="1"/>
      <c r="D307" s="1"/>
      <c r="E307" s="1"/>
      <c r="F307" s="1"/>
      <c r="G307" s="1"/>
      <c r="H307" s="1"/>
    </row>
    <row r="308" spans="1:8" x14ac:dyDescent="0.3">
      <c r="A308" s="1"/>
      <c r="B308" s="1"/>
      <c r="C308" s="1"/>
      <c r="D308" s="1"/>
      <c r="E308" s="1"/>
      <c r="F308" s="1"/>
      <c r="G308" s="1"/>
      <c r="H308" s="1"/>
    </row>
    <row r="309" spans="1:8" x14ac:dyDescent="0.3">
      <c r="A309" s="1"/>
      <c r="B309" s="1"/>
      <c r="C309" s="1"/>
      <c r="D309" s="1"/>
      <c r="E309" s="1"/>
      <c r="F309" s="1"/>
      <c r="G309" s="1"/>
      <c r="H309" s="1"/>
    </row>
    <row r="310" spans="1:8" x14ac:dyDescent="0.3">
      <c r="A310" s="1"/>
      <c r="B310" s="1"/>
      <c r="C310" s="1"/>
      <c r="D310" s="1"/>
      <c r="E310" s="1"/>
      <c r="F310" s="1"/>
      <c r="G310" s="1"/>
      <c r="H310" s="1"/>
    </row>
    <row r="311" spans="1:8" x14ac:dyDescent="0.3">
      <c r="A311" s="1"/>
      <c r="B311" s="1"/>
      <c r="C311" s="1"/>
      <c r="D311" s="1"/>
      <c r="E311" s="1"/>
      <c r="F311" s="1"/>
      <c r="G311" s="1"/>
      <c r="H311" s="1"/>
    </row>
    <row r="312" spans="1:8" x14ac:dyDescent="0.3">
      <c r="A312" s="1"/>
      <c r="B312" s="1"/>
      <c r="C312" s="1"/>
      <c r="D312" s="1"/>
      <c r="E312" s="1"/>
      <c r="F312" s="1"/>
      <c r="G312" s="1"/>
      <c r="H312" s="1"/>
    </row>
    <row r="313" spans="1:8" x14ac:dyDescent="0.3">
      <c r="A313" s="1"/>
      <c r="B313" s="1"/>
      <c r="C313" s="1"/>
      <c r="D313" s="1"/>
      <c r="E313" s="1"/>
      <c r="F313" s="1"/>
      <c r="G313" s="1"/>
      <c r="H313" s="1"/>
    </row>
    <row r="314" spans="1:8" x14ac:dyDescent="0.3">
      <c r="A314" s="1"/>
      <c r="B314" s="1"/>
      <c r="C314" s="1"/>
      <c r="D314" s="1"/>
      <c r="E314" s="1"/>
      <c r="F314" s="1"/>
      <c r="G314" s="1"/>
      <c r="H314" s="1"/>
    </row>
    <row r="315" spans="1:8" x14ac:dyDescent="0.3">
      <c r="A315" s="1"/>
      <c r="B315" s="1"/>
      <c r="C315" s="1"/>
      <c r="D315" s="1"/>
      <c r="E315" s="1"/>
      <c r="F315" s="1"/>
      <c r="G315" s="1"/>
      <c r="H315" s="1"/>
    </row>
    <row r="316" spans="1:8" x14ac:dyDescent="0.3">
      <c r="A316" s="1"/>
      <c r="B316" s="1"/>
      <c r="C316" s="1"/>
      <c r="D316" s="1"/>
      <c r="E316" s="1"/>
      <c r="F316" s="1"/>
      <c r="G316" s="1"/>
      <c r="H316" s="1"/>
    </row>
    <row r="317" spans="1:8" x14ac:dyDescent="0.3">
      <c r="A317" s="1"/>
      <c r="B317" s="1"/>
      <c r="C317" s="1"/>
      <c r="D317" s="1"/>
      <c r="E317" s="1"/>
      <c r="F317" s="1"/>
      <c r="G317" s="1"/>
      <c r="H317" s="1"/>
    </row>
    <row r="318" spans="1:8" x14ac:dyDescent="0.3">
      <c r="A318" s="1"/>
      <c r="B318" s="1"/>
      <c r="C318" s="1"/>
      <c r="D318" s="1"/>
      <c r="E318" s="1"/>
      <c r="F318" s="1"/>
      <c r="G318" s="1"/>
      <c r="H318" s="1"/>
    </row>
    <row r="319" spans="1:8" x14ac:dyDescent="0.3">
      <c r="A319" s="1"/>
      <c r="B319" s="1"/>
      <c r="C319" s="1"/>
      <c r="D319" s="1"/>
      <c r="E319" s="1"/>
      <c r="F319" s="1"/>
      <c r="G319" s="1"/>
      <c r="H319" s="1"/>
    </row>
    <row r="320" spans="1:8" x14ac:dyDescent="0.3">
      <c r="A320" s="1"/>
      <c r="B320" s="1"/>
      <c r="C320" s="1"/>
      <c r="D320" s="1"/>
      <c r="E320" s="1"/>
      <c r="F320" s="1"/>
      <c r="G320" s="1"/>
      <c r="H320" s="1"/>
    </row>
    <row r="321" spans="1:8" x14ac:dyDescent="0.3">
      <c r="A321" s="1"/>
      <c r="B321" s="1"/>
      <c r="C321" s="1"/>
      <c r="D321" s="1"/>
      <c r="E321" s="1"/>
      <c r="F321" s="1"/>
      <c r="G321" s="1"/>
      <c r="H321" s="1"/>
    </row>
    <row r="322" spans="1:8" x14ac:dyDescent="0.3">
      <c r="A322" s="1"/>
      <c r="B322" s="1"/>
      <c r="C322" s="1"/>
      <c r="D322" s="1"/>
      <c r="E322" s="1"/>
      <c r="F322" s="1"/>
      <c r="G322" s="1"/>
      <c r="H322" s="1"/>
    </row>
    <row r="323" spans="1:8" x14ac:dyDescent="0.3">
      <c r="A323" s="1"/>
      <c r="B323" s="1"/>
      <c r="C323" s="1"/>
      <c r="D323" s="1"/>
      <c r="E323" s="1"/>
      <c r="F323" s="1"/>
      <c r="G323" s="1"/>
      <c r="H323" s="1"/>
    </row>
    <row r="324" spans="1:8" x14ac:dyDescent="0.3">
      <c r="A324" s="1"/>
      <c r="B324" s="1"/>
      <c r="C324" s="1"/>
      <c r="D324" s="1"/>
      <c r="E324" s="1"/>
      <c r="F324" s="1"/>
      <c r="G324" s="1"/>
      <c r="H324" s="1"/>
    </row>
    <row r="325" spans="1:8" x14ac:dyDescent="0.3">
      <c r="A325" s="1"/>
      <c r="B325" s="1"/>
      <c r="C325" s="1"/>
      <c r="D325" s="1"/>
      <c r="E325" s="1"/>
      <c r="F325" s="1"/>
      <c r="G325" s="1"/>
      <c r="H325" s="1"/>
    </row>
    <row r="326" spans="1:8" x14ac:dyDescent="0.3">
      <c r="A326" s="1"/>
      <c r="B326" s="1"/>
      <c r="C326" s="1"/>
      <c r="D326" s="1"/>
      <c r="E326" s="1"/>
      <c r="F326" s="1"/>
      <c r="G326" s="1"/>
      <c r="H326" s="1"/>
    </row>
    <row r="327" spans="1:8" x14ac:dyDescent="0.3">
      <c r="A327" s="1"/>
      <c r="B327" s="1"/>
      <c r="C327" s="1"/>
      <c r="D327" s="1"/>
      <c r="E327" s="1"/>
      <c r="F327" s="1"/>
      <c r="G327" s="1"/>
      <c r="H327" s="1"/>
    </row>
    <row r="328" spans="1:8" x14ac:dyDescent="0.3">
      <c r="A328" s="1"/>
      <c r="B328" s="1"/>
      <c r="C328" s="1"/>
      <c r="D328" s="1"/>
      <c r="E328" s="1"/>
      <c r="F328" s="1"/>
      <c r="G328" s="1"/>
      <c r="H328" s="1"/>
    </row>
    <row r="329" spans="1:8" x14ac:dyDescent="0.3">
      <c r="A329" s="1"/>
      <c r="B329" s="1"/>
      <c r="C329" s="1"/>
      <c r="D329" s="1"/>
      <c r="E329" s="1"/>
      <c r="F329" s="1"/>
      <c r="G329" s="1"/>
      <c r="H329" s="1"/>
    </row>
    <row r="330" spans="1:8" x14ac:dyDescent="0.3">
      <c r="A330" s="1"/>
      <c r="B330" s="1"/>
      <c r="C330" s="1"/>
      <c r="D330" s="1"/>
      <c r="E330" s="1"/>
      <c r="F330" s="1"/>
      <c r="G330" s="1"/>
      <c r="H330" s="1"/>
    </row>
    <row r="331" spans="1:8" x14ac:dyDescent="0.3">
      <c r="A331" s="1"/>
      <c r="B331" s="1"/>
      <c r="C331" s="1"/>
      <c r="D331" s="1"/>
      <c r="E331" s="1"/>
      <c r="F331" s="1"/>
      <c r="G331" s="1"/>
      <c r="H331" s="1"/>
    </row>
    <row r="332" spans="1:8" x14ac:dyDescent="0.3">
      <c r="A332" s="1"/>
      <c r="B332" s="1"/>
      <c r="C332" s="1"/>
      <c r="D332" s="1"/>
      <c r="E332" s="1"/>
      <c r="F332" s="1"/>
      <c r="G332" s="1"/>
      <c r="H332" s="1"/>
    </row>
    <row r="333" spans="1:8" x14ac:dyDescent="0.3">
      <c r="A333" s="1"/>
      <c r="B333" s="1"/>
      <c r="C333" s="1"/>
      <c r="D333" s="1"/>
      <c r="E333" s="1"/>
      <c r="F333" s="1"/>
      <c r="G333" s="1"/>
      <c r="H333" s="1"/>
    </row>
    <row r="334" spans="1:8" x14ac:dyDescent="0.3">
      <c r="A334" s="1"/>
      <c r="B334" s="1"/>
      <c r="C334" s="1"/>
      <c r="D334" s="1"/>
      <c r="E334" s="1"/>
      <c r="F334" s="1"/>
      <c r="G334" s="1"/>
      <c r="H334" s="1"/>
    </row>
    <row r="335" spans="1:8" x14ac:dyDescent="0.3">
      <c r="A335" s="1"/>
      <c r="B335" s="1"/>
      <c r="C335" s="1"/>
      <c r="D335" s="1"/>
      <c r="E335" s="1"/>
      <c r="F335" s="1"/>
      <c r="G335" s="1"/>
      <c r="H335" s="1"/>
    </row>
    <row r="336" spans="1:8" x14ac:dyDescent="0.3">
      <c r="A336" s="1"/>
      <c r="B336" s="1"/>
      <c r="C336" s="1"/>
      <c r="D336" s="1"/>
      <c r="E336" s="1"/>
      <c r="F336" s="1"/>
      <c r="G336" s="1"/>
      <c r="H336" s="1"/>
    </row>
    <row r="337" spans="1:8" x14ac:dyDescent="0.3">
      <c r="A337" s="1"/>
      <c r="B337" s="1"/>
      <c r="C337" s="1"/>
      <c r="D337" s="1"/>
      <c r="E337" s="1"/>
      <c r="F337" s="1"/>
      <c r="G337" s="1"/>
      <c r="H337" s="1"/>
    </row>
    <row r="338" spans="1:8" x14ac:dyDescent="0.3">
      <c r="A338" s="1"/>
      <c r="B338" s="1"/>
      <c r="C338" s="1"/>
      <c r="D338" s="1"/>
      <c r="E338" s="1"/>
      <c r="F338" s="1"/>
      <c r="G338" s="1"/>
      <c r="H338" s="1"/>
    </row>
    <row r="339" spans="1:8" x14ac:dyDescent="0.3">
      <c r="A339" s="1"/>
      <c r="B339" s="1"/>
      <c r="C339" s="1"/>
      <c r="D339" s="1"/>
      <c r="E339" s="1"/>
      <c r="F339" s="1"/>
      <c r="G339" s="1"/>
      <c r="H339" s="1"/>
    </row>
    <row r="340" spans="1:8" x14ac:dyDescent="0.3">
      <c r="A340" s="1"/>
      <c r="B340" s="1"/>
      <c r="C340" s="1"/>
      <c r="D340" s="1"/>
      <c r="E340" s="1"/>
      <c r="F340" s="1"/>
      <c r="G340" s="1"/>
      <c r="H340" s="1"/>
    </row>
    <row r="341" spans="1:8" x14ac:dyDescent="0.3">
      <c r="A341" s="1"/>
      <c r="B341" s="1"/>
      <c r="C341" s="1"/>
      <c r="D341" s="1"/>
      <c r="E341" s="1"/>
      <c r="F341" s="1"/>
      <c r="G341" s="1"/>
      <c r="H341" s="1"/>
    </row>
    <row r="342" spans="1:8" x14ac:dyDescent="0.3">
      <c r="A342" s="1"/>
      <c r="B342" s="1"/>
      <c r="C342" s="1"/>
      <c r="D342" s="1"/>
      <c r="E342" s="1"/>
      <c r="F342" s="1"/>
      <c r="G342" s="1"/>
      <c r="H342" s="1"/>
    </row>
    <row r="343" spans="1:8" x14ac:dyDescent="0.3">
      <c r="A343" s="1"/>
      <c r="B343" s="1"/>
      <c r="C343" s="1"/>
      <c r="D343" s="1"/>
      <c r="E343" s="1"/>
      <c r="F343" s="1"/>
      <c r="G343" s="1"/>
      <c r="H343" s="1"/>
    </row>
    <row r="344" spans="1:8" x14ac:dyDescent="0.3">
      <c r="A344" s="1"/>
      <c r="B344" s="1"/>
      <c r="C344" s="1"/>
      <c r="D344" s="1"/>
      <c r="E344" s="1"/>
      <c r="F344" s="1"/>
      <c r="G344" s="1"/>
      <c r="H344" s="1"/>
    </row>
    <row r="345" spans="1:8" x14ac:dyDescent="0.3">
      <c r="A345" s="1"/>
      <c r="B345" s="1"/>
      <c r="C345" s="1"/>
      <c r="D345" s="1"/>
      <c r="E345" s="1"/>
      <c r="F345" s="1"/>
      <c r="G345" s="1"/>
      <c r="H345" s="1"/>
    </row>
    <row r="346" spans="1:8" x14ac:dyDescent="0.3">
      <c r="A346" s="1"/>
      <c r="B346" s="1"/>
      <c r="C346" s="1"/>
      <c r="D346" s="1"/>
      <c r="E346" s="1"/>
      <c r="F346" s="1"/>
      <c r="G346" s="1"/>
      <c r="H346" s="1"/>
    </row>
    <row r="347" spans="1:8" x14ac:dyDescent="0.3">
      <c r="A347" s="1"/>
      <c r="B347" s="1"/>
      <c r="C347" s="1"/>
      <c r="D347" s="1"/>
      <c r="E347" s="1"/>
      <c r="F347" s="1"/>
      <c r="G347" s="1"/>
      <c r="H347" s="1"/>
    </row>
    <row r="348" spans="1:8" x14ac:dyDescent="0.3">
      <c r="A348" s="1"/>
      <c r="B348" s="1"/>
      <c r="C348" s="1"/>
      <c r="D348" s="1"/>
      <c r="E348" s="1"/>
      <c r="F348" s="1"/>
      <c r="G348" s="1"/>
      <c r="H348" s="1"/>
    </row>
    <row r="349" spans="1:8" x14ac:dyDescent="0.3">
      <c r="A349" s="1"/>
      <c r="B349" s="1"/>
      <c r="C349" s="1"/>
      <c r="D349" s="1"/>
      <c r="E349" s="1"/>
      <c r="F349" s="1"/>
      <c r="G349" s="1"/>
      <c r="H349" s="1"/>
    </row>
    <row r="350" spans="1:8" x14ac:dyDescent="0.3">
      <c r="A350" s="1"/>
      <c r="B350" s="1"/>
      <c r="C350" s="1"/>
      <c r="D350" s="1"/>
      <c r="E350" s="1"/>
      <c r="F350" s="1"/>
      <c r="G350" s="1"/>
      <c r="H350" s="1"/>
    </row>
    <row r="351" spans="1:8" x14ac:dyDescent="0.3">
      <c r="A351" s="1"/>
      <c r="B351" s="1"/>
      <c r="C351" s="1"/>
      <c r="D351" s="1"/>
      <c r="E351" s="1"/>
      <c r="F351" s="1"/>
      <c r="G351" s="1"/>
      <c r="H351" s="1"/>
    </row>
    <row r="352" spans="1:8" x14ac:dyDescent="0.3">
      <c r="A352" s="1"/>
      <c r="B352" s="1"/>
      <c r="C352" s="1"/>
      <c r="D352" s="1"/>
      <c r="E352" s="1"/>
      <c r="F352" s="1"/>
      <c r="G352" s="1"/>
      <c r="H352" s="1"/>
    </row>
    <row r="353" spans="1:8" x14ac:dyDescent="0.3">
      <c r="A353" s="1"/>
      <c r="B353" s="1"/>
      <c r="C353" s="1"/>
      <c r="D353" s="1"/>
      <c r="E353" s="1"/>
      <c r="F353" s="1"/>
      <c r="G353" s="1"/>
      <c r="H353" s="1"/>
    </row>
    <row r="354" spans="1:8" x14ac:dyDescent="0.3">
      <c r="A354" s="1"/>
      <c r="B354" s="1"/>
      <c r="C354" s="1"/>
      <c r="D354" s="1"/>
      <c r="E354" s="1"/>
      <c r="F354" s="1"/>
      <c r="G354" s="1"/>
      <c r="H354" s="1"/>
    </row>
    <row r="355" spans="1:8" x14ac:dyDescent="0.3">
      <c r="A355" s="1"/>
      <c r="B355" s="1"/>
      <c r="C355" s="1"/>
      <c r="D355" s="1"/>
      <c r="E355" s="1"/>
      <c r="F355" s="1"/>
      <c r="G355" s="1"/>
      <c r="H355" s="1"/>
    </row>
    <row r="356" spans="1:8" x14ac:dyDescent="0.3">
      <c r="A356" s="1"/>
      <c r="B356" s="1"/>
      <c r="C356" s="1"/>
      <c r="D356" s="1"/>
      <c r="E356" s="1"/>
      <c r="F356" s="1"/>
      <c r="G356" s="1"/>
      <c r="H356" s="1"/>
    </row>
    <row r="357" spans="1:8" x14ac:dyDescent="0.3">
      <c r="A357" s="1"/>
      <c r="B357" s="1"/>
      <c r="C357" s="1"/>
      <c r="D357" s="1"/>
      <c r="E357" s="1"/>
      <c r="F357" s="1"/>
      <c r="G357" s="1"/>
      <c r="H357" s="1"/>
    </row>
    <row r="358" spans="1:8" x14ac:dyDescent="0.3">
      <c r="A358" s="1"/>
      <c r="B358" s="1"/>
      <c r="C358" s="1"/>
      <c r="D358" s="1"/>
      <c r="E358" s="1"/>
      <c r="F358" s="1"/>
      <c r="G358" s="1"/>
      <c r="H358" s="1"/>
    </row>
    <row r="359" spans="1:8" x14ac:dyDescent="0.3">
      <c r="A359" s="1"/>
      <c r="B359" s="1"/>
      <c r="C359" s="1"/>
      <c r="D359" s="1"/>
      <c r="E359" s="1"/>
      <c r="F359" s="1"/>
      <c r="G359" s="1"/>
      <c r="H359" s="1"/>
    </row>
    <row r="360" spans="1:8" x14ac:dyDescent="0.3">
      <c r="A360" s="1"/>
      <c r="B360" s="1"/>
      <c r="C360" s="1"/>
      <c r="D360" s="1"/>
      <c r="E360" s="1"/>
      <c r="F360" s="1"/>
      <c r="G360" s="1"/>
      <c r="H360" s="1"/>
    </row>
    <row r="361" spans="1:8" x14ac:dyDescent="0.3">
      <c r="A361" s="1"/>
      <c r="B361" s="1"/>
      <c r="C361" s="1"/>
      <c r="D361" s="1"/>
      <c r="E361" s="1"/>
      <c r="F361" s="1"/>
      <c r="G361" s="1"/>
      <c r="H361" s="1"/>
    </row>
    <row r="362" spans="1:8" x14ac:dyDescent="0.3">
      <c r="A362" s="1"/>
      <c r="B362" s="1"/>
      <c r="C362" s="1"/>
      <c r="D362" s="1"/>
      <c r="E362" s="1"/>
      <c r="F362" s="1"/>
      <c r="G362" s="1"/>
      <c r="H362" s="1"/>
    </row>
    <row r="363" spans="1:8" x14ac:dyDescent="0.3">
      <c r="A363" s="1"/>
      <c r="B363" s="1"/>
      <c r="C363" s="1"/>
      <c r="D363" s="1"/>
      <c r="E363" s="1"/>
      <c r="F363" s="1"/>
      <c r="G363" s="1"/>
      <c r="H363" s="1"/>
    </row>
    <row r="364" spans="1:8" x14ac:dyDescent="0.3">
      <c r="A364" s="1"/>
      <c r="B364" s="1"/>
      <c r="C364" s="1"/>
      <c r="D364" s="1"/>
      <c r="E364" s="1"/>
      <c r="F364" s="1"/>
      <c r="G364" s="1"/>
      <c r="H364" s="1"/>
    </row>
    <row r="365" spans="1:8" x14ac:dyDescent="0.3">
      <c r="A365" s="1"/>
      <c r="B365" s="1"/>
      <c r="C365" s="1"/>
      <c r="D365" s="1"/>
      <c r="E365" s="1"/>
      <c r="F365" s="1"/>
      <c r="G365" s="1"/>
      <c r="H365" s="1"/>
    </row>
    <row r="366" spans="1:8" x14ac:dyDescent="0.3">
      <c r="A366" s="1"/>
      <c r="B366" s="1"/>
      <c r="C366" s="1"/>
      <c r="D366" s="1"/>
      <c r="E366" s="1"/>
      <c r="F366" s="1"/>
      <c r="G366" s="1"/>
      <c r="H366" s="1"/>
    </row>
    <row r="367" spans="1:8" x14ac:dyDescent="0.3">
      <c r="A367" s="1"/>
      <c r="B367" s="1"/>
      <c r="C367" s="1"/>
      <c r="D367" s="1"/>
      <c r="E367" s="1"/>
      <c r="F367" s="1"/>
      <c r="G367" s="1"/>
      <c r="H367" s="1"/>
    </row>
    <row r="368" spans="1:8" x14ac:dyDescent="0.3">
      <c r="A368" s="1"/>
      <c r="B368" s="1"/>
      <c r="C368" s="1"/>
      <c r="D368" s="1"/>
      <c r="E368" s="1"/>
      <c r="F368" s="1"/>
      <c r="G368" s="1"/>
      <c r="H368" s="1"/>
    </row>
    <row r="369" spans="1:8" x14ac:dyDescent="0.3">
      <c r="A369" s="1"/>
      <c r="B369" s="1"/>
      <c r="C369" s="1"/>
      <c r="D369" s="1"/>
      <c r="E369" s="1"/>
      <c r="F369" s="1"/>
      <c r="G369" s="1"/>
      <c r="H369" s="1"/>
    </row>
    <row r="370" spans="1:8" x14ac:dyDescent="0.3">
      <c r="A370" s="1"/>
      <c r="B370" s="1"/>
      <c r="C370" s="1"/>
      <c r="D370" s="1"/>
      <c r="E370" s="1"/>
      <c r="F370" s="1"/>
      <c r="G370" s="1"/>
      <c r="H370" s="1"/>
    </row>
    <row r="371" spans="1:8" x14ac:dyDescent="0.3">
      <c r="A371" s="1"/>
      <c r="B371" s="1"/>
      <c r="C371" s="1"/>
      <c r="D371" s="1"/>
      <c r="E371" s="1"/>
      <c r="F371" s="1"/>
      <c r="G371" s="1"/>
      <c r="H371" s="1"/>
    </row>
    <row r="372" spans="1:8" x14ac:dyDescent="0.3">
      <c r="A372" s="1"/>
      <c r="B372" s="1"/>
      <c r="C372" s="1"/>
      <c r="D372" s="1"/>
      <c r="E372" s="1"/>
      <c r="F372" s="1"/>
      <c r="G372" s="1"/>
      <c r="H372" s="1"/>
    </row>
    <row r="373" spans="1:8" x14ac:dyDescent="0.3">
      <c r="A373" s="1"/>
      <c r="B373" s="1"/>
      <c r="C373" s="1"/>
      <c r="D373" s="1"/>
      <c r="E373" s="1"/>
      <c r="F373" s="1"/>
      <c r="G373" s="1"/>
      <c r="H373" s="1"/>
    </row>
    <row r="374" spans="1:8" x14ac:dyDescent="0.3">
      <c r="A374" s="1"/>
      <c r="B374" s="1"/>
      <c r="C374" s="1"/>
      <c r="D374" s="1"/>
      <c r="E374" s="1"/>
      <c r="F374" s="1"/>
      <c r="G374" s="1"/>
      <c r="H374" s="1"/>
    </row>
    <row r="375" spans="1:8" x14ac:dyDescent="0.3">
      <c r="A375" s="1"/>
      <c r="B375" s="1"/>
      <c r="C375" s="1"/>
      <c r="D375" s="1"/>
      <c r="E375" s="1"/>
      <c r="F375" s="1"/>
      <c r="G375" s="1"/>
      <c r="H375" s="1"/>
    </row>
    <row r="376" spans="1:8" x14ac:dyDescent="0.3">
      <c r="A376" s="1"/>
      <c r="B376" s="1"/>
      <c r="C376" s="1"/>
      <c r="D376" s="1"/>
      <c r="E376" s="1"/>
      <c r="F376" s="1"/>
      <c r="G376" s="1"/>
      <c r="H376" s="1"/>
    </row>
    <row r="377" spans="1:8" x14ac:dyDescent="0.3">
      <c r="A377" s="1"/>
      <c r="B377" s="1"/>
      <c r="C377" s="1"/>
      <c r="D377" s="1"/>
      <c r="E377" s="1"/>
      <c r="F377" s="1"/>
      <c r="G377" s="1"/>
      <c r="H377" s="1"/>
    </row>
    <row r="378" spans="1:8" x14ac:dyDescent="0.3">
      <c r="A378" s="1"/>
      <c r="B378" s="1"/>
      <c r="C378" s="1"/>
      <c r="D378" s="1"/>
      <c r="E378" s="1"/>
      <c r="F378" s="1"/>
      <c r="G378" s="1"/>
      <c r="H378" s="1"/>
    </row>
    <row r="379" spans="1:8" x14ac:dyDescent="0.3">
      <c r="A379" s="1"/>
      <c r="B379" s="1"/>
      <c r="C379" s="1"/>
      <c r="D379" s="1"/>
      <c r="E379" s="1"/>
      <c r="F379" s="1"/>
      <c r="G379" s="1"/>
      <c r="H379" s="1"/>
    </row>
    <row r="380" spans="1:8" x14ac:dyDescent="0.3">
      <c r="A380" s="1"/>
      <c r="B380" s="1"/>
      <c r="C380" s="1"/>
      <c r="D380" s="1"/>
      <c r="E380" s="1"/>
      <c r="F380" s="1"/>
      <c r="G380" s="1"/>
      <c r="H380" s="1"/>
    </row>
    <row r="381" spans="1:8" x14ac:dyDescent="0.3">
      <c r="A381" s="1"/>
      <c r="B381" s="1"/>
      <c r="C381" s="1"/>
      <c r="D381" s="1"/>
      <c r="E381" s="1"/>
      <c r="F381" s="1"/>
      <c r="G381" s="1"/>
      <c r="H381" s="1"/>
    </row>
    <row r="382" spans="1:8" x14ac:dyDescent="0.3">
      <c r="A382" s="1"/>
      <c r="B382" s="1"/>
      <c r="C382" s="1"/>
      <c r="D382" s="1"/>
      <c r="E382" s="1"/>
      <c r="F382" s="1"/>
      <c r="G382" s="1"/>
      <c r="H382" s="1"/>
    </row>
    <row r="383" spans="1:8" x14ac:dyDescent="0.3">
      <c r="A383" s="1"/>
      <c r="B383" s="1"/>
      <c r="C383" s="1"/>
      <c r="D383" s="1"/>
      <c r="E383" s="1"/>
      <c r="F383" s="1"/>
      <c r="G383" s="1"/>
      <c r="H383" s="1"/>
    </row>
    <row r="384" spans="1:8" x14ac:dyDescent="0.3">
      <c r="A384" s="1"/>
      <c r="B384" s="1"/>
      <c r="C384" s="1"/>
      <c r="D384" s="1"/>
      <c r="E384" s="1"/>
      <c r="F384" s="1"/>
      <c r="G384" s="1"/>
      <c r="H384" s="1"/>
    </row>
    <row r="385" spans="1:8" x14ac:dyDescent="0.3">
      <c r="A385" s="1"/>
      <c r="B385" s="1"/>
      <c r="C385" s="1"/>
      <c r="D385" s="1"/>
      <c r="E385" s="1"/>
      <c r="F385" s="1"/>
      <c r="G385" s="1"/>
      <c r="H385" s="1"/>
    </row>
    <row r="386" spans="1:8" x14ac:dyDescent="0.3">
      <c r="A386" s="1"/>
      <c r="B386" s="1"/>
      <c r="C386" s="1"/>
      <c r="D386" s="1"/>
      <c r="E386" s="1"/>
      <c r="F386" s="1"/>
      <c r="G386" s="1"/>
      <c r="H386" s="1"/>
    </row>
    <row r="387" spans="1:8" x14ac:dyDescent="0.3">
      <c r="A387" s="1"/>
      <c r="B387" s="1"/>
      <c r="C387" s="1"/>
      <c r="D387" s="1"/>
      <c r="E387" s="1"/>
      <c r="F387" s="1"/>
      <c r="G387" s="1"/>
      <c r="H387" s="1"/>
    </row>
    <row r="388" spans="1:8" x14ac:dyDescent="0.3">
      <c r="A388" s="1"/>
      <c r="B388" s="1"/>
      <c r="C388" s="1"/>
      <c r="D388" s="1"/>
      <c r="E388" s="1"/>
      <c r="F388" s="1"/>
      <c r="G388" s="1"/>
      <c r="H388" s="1"/>
    </row>
    <row r="389" spans="1:8" x14ac:dyDescent="0.3">
      <c r="A389" s="1"/>
      <c r="B389" s="1"/>
      <c r="C389" s="1"/>
      <c r="D389" s="1"/>
      <c r="E389" s="1"/>
      <c r="F389" s="1"/>
      <c r="G389" s="1"/>
      <c r="H389" s="1"/>
    </row>
    <row r="390" spans="1:8" x14ac:dyDescent="0.3">
      <c r="A390" s="1"/>
      <c r="B390" s="1"/>
      <c r="C390" s="1"/>
      <c r="D390" s="1"/>
      <c r="E390" s="1"/>
      <c r="F390" s="1"/>
      <c r="G390" s="1"/>
      <c r="H390" s="1"/>
    </row>
    <row r="391" spans="1:8" x14ac:dyDescent="0.3">
      <c r="A391" s="1"/>
      <c r="B391" s="1"/>
      <c r="C391" s="1"/>
      <c r="D391" s="1"/>
      <c r="E391" s="1"/>
      <c r="F391" s="1"/>
      <c r="G391" s="1"/>
      <c r="H391" s="1"/>
    </row>
    <row r="392" spans="1:8" x14ac:dyDescent="0.3">
      <c r="A392" s="1"/>
      <c r="B392" s="1"/>
      <c r="C392" s="1"/>
      <c r="D392" s="1"/>
      <c r="E392" s="1"/>
      <c r="F392" s="1"/>
      <c r="G392" s="1"/>
      <c r="H392" s="1"/>
    </row>
    <row r="393" spans="1:8" x14ac:dyDescent="0.3">
      <c r="A393" s="1"/>
      <c r="B393" s="1"/>
      <c r="C393" s="1"/>
      <c r="D393" s="1"/>
      <c r="E393" s="1"/>
      <c r="F393" s="1"/>
      <c r="G393" s="1"/>
      <c r="H393" s="1"/>
    </row>
    <row r="394" spans="1:8" x14ac:dyDescent="0.3">
      <c r="A394" s="1"/>
      <c r="B394" s="1"/>
      <c r="C394" s="1"/>
      <c r="D394" s="1"/>
      <c r="E394" s="1"/>
      <c r="F394" s="1"/>
      <c r="G394" s="1"/>
      <c r="H394" s="1"/>
    </row>
    <row r="395" spans="1:8" x14ac:dyDescent="0.3">
      <c r="A395" s="1"/>
      <c r="B395" s="1"/>
      <c r="C395" s="1"/>
      <c r="D395" s="1"/>
      <c r="E395" s="1"/>
      <c r="F395" s="1"/>
      <c r="G395" s="1"/>
      <c r="H395" s="1"/>
    </row>
    <row r="396" spans="1:8" x14ac:dyDescent="0.3">
      <c r="B396" s="1"/>
      <c r="C396" s="1"/>
      <c r="D396" s="1"/>
      <c r="E396" s="1"/>
      <c r="F396" s="1"/>
      <c r="G396" s="1"/>
      <c r="H396" s="1"/>
    </row>
    <row r="397" spans="1:8" x14ac:dyDescent="0.3">
      <c r="B397" s="1"/>
      <c r="C397" s="1"/>
      <c r="D397" s="1"/>
      <c r="E397" s="1"/>
      <c r="F397" s="1"/>
      <c r="G397" s="1"/>
      <c r="H397" s="1"/>
    </row>
    <row r="398" spans="1:8" x14ac:dyDescent="0.3">
      <c r="B398" s="1"/>
      <c r="C398" s="1"/>
      <c r="D398" s="1"/>
      <c r="E398" s="1"/>
      <c r="F398" s="1"/>
      <c r="G398" s="1"/>
      <c r="H398" s="1"/>
    </row>
    <row r="399" spans="1:8" x14ac:dyDescent="0.3">
      <c r="B399" s="1"/>
      <c r="C399" s="1"/>
      <c r="D399" s="1"/>
      <c r="E399" s="1"/>
      <c r="F399" s="1"/>
      <c r="G399" s="1"/>
      <c r="H399" s="1"/>
    </row>
    <row r="400" spans="1:8" x14ac:dyDescent="0.3">
      <c r="B400" s="1"/>
      <c r="C400" s="1"/>
      <c r="D400" s="1"/>
      <c r="E400" s="1"/>
      <c r="F400" s="1"/>
      <c r="G400" s="1"/>
      <c r="H400" s="1"/>
    </row>
    <row r="401" spans="2:8" x14ac:dyDescent="0.3">
      <c r="B401" s="1"/>
      <c r="C401" s="1"/>
      <c r="D401" s="1"/>
      <c r="E401" s="1"/>
      <c r="F401" s="1"/>
      <c r="G401" s="1"/>
      <c r="H401" s="1"/>
    </row>
    <row r="402" spans="2:8" x14ac:dyDescent="0.3">
      <c r="B402" s="1"/>
      <c r="C402" s="1"/>
      <c r="D402" s="1"/>
      <c r="E402" s="1"/>
      <c r="F402" s="1"/>
      <c r="G402" s="1"/>
      <c r="H402" s="1"/>
    </row>
    <row r="403" spans="2:8" x14ac:dyDescent="0.3">
      <c r="B403" s="1"/>
      <c r="C403" s="1"/>
      <c r="D403" s="1"/>
      <c r="E403" s="1"/>
      <c r="F403" s="1"/>
      <c r="G403" s="1"/>
      <c r="H403" s="1"/>
    </row>
    <row r="404" spans="2:8" x14ac:dyDescent="0.3">
      <c r="B404" s="1"/>
      <c r="C404" s="1"/>
      <c r="D404" s="1"/>
      <c r="E404" s="1"/>
      <c r="F404" s="1"/>
      <c r="G404" s="1"/>
      <c r="H404" s="1"/>
    </row>
    <row r="405" spans="2:8" x14ac:dyDescent="0.3">
      <c r="B405" s="1"/>
      <c r="C405" s="1"/>
      <c r="D405" s="1"/>
      <c r="E405" s="1"/>
      <c r="F405" s="1"/>
      <c r="G405" s="1"/>
      <c r="H405" s="1"/>
    </row>
    <row r="406" spans="2:8" x14ac:dyDescent="0.3">
      <c r="B406" s="1"/>
      <c r="C406" s="1"/>
      <c r="D406" s="1"/>
      <c r="E406" s="1"/>
      <c r="F406" s="1"/>
      <c r="G406" s="1"/>
      <c r="H406" s="1"/>
    </row>
    <row r="407" spans="2:8" x14ac:dyDescent="0.3">
      <c r="B407" s="1"/>
      <c r="C407" s="1"/>
      <c r="D407" s="1"/>
      <c r="E407" s="1"/>
      <c r="F407" s="1"/>
      <c r="G407" s="1"/>
      <c r="H407" s="1"/>
    </row>
    <row r="408" spans="2:8" x14ac:dyDescent="0.3">
      <c r="B408" s="1"/>
      <c r="C408" s="1"/>
      <c r="D408" s="1"/>
      <c r="E408" s="1"/>
      <c r="F408" s="1"/>
      <c r="G408" s="1"/>
      <c r="H408" s="1"/>
    </row>
    <row r="409" spans="2:8" x14ac:dyDescent="0.3">
      <c r="B409" s="1"/>
      <c r="C409" s="1"/>
      <c r="D409" s="1"/>
      <c r="E409" s="1"/>
      <c r="F409" s="1"/>
      <c r="G409" s="1"/>
      <c r="H409" s="1"/>
    </row>
    <row r="410" spans="2:8" x14ac:dyDescent="0.3">
      <c r="B410" s="1"/>
      <c r="C410" s="1"/>
      <c r="D410" s="1"/>
      <c r="E410" s="1"/>
      <c r="F410" s="1"/>
      <c r="G410" s="1"/>
      <c r="H410" s="1"/>
    </row>
    <row r="411" spans="2:8" x14ac:dyDescent="0.3">
      <c r="B411" s="1"/>
      <c r="C411" s="1"/>
      <c r="D411" s="1"/>
      <c r="E411" s="1"/>
      <c r="F411" s="1"/>
      <c r="G411" s="1"/>
      <c r="H411" s="1"/>
    </row>
    <row r="412" spans="2:8" x14ac:dyDescent="0.3">
      <c r="B412" s="1"/>
      <c r="C412" s="1"/>
      <c r="D412" s="1"/>
      <c r="E412" s="1"/>
      <c r="F412" s="1"/>
      <c r="G412" s="1"/>
      <c r="H412" s="1"/>
    </row>
    <row r="413" spans="2:8" x14ac:dyDescent="0.3">
      <c r="B413" s="1"/>
      <c r="C413" s="1"/>
      <c r="D413" s="1"/>
      <c r="E413" s="1"/>
      <c r="F413" s="1"/>
      <c r="G413" s="1"/>
      <c r="H413" s="1"/>
    </row>
    <row r="414" spans="2:8" x14ac:dyDescent="0.3">
      <c r="B414" s="1"/>
      <c r="C414" s="1"/>
      <c r="D414" s="1"/>
      <c r="E414" s="1"/>
      <c r="F414" s="1"/>
      <c r="G414" s="1"/>
      <c r="H414" s="1"/>
    </row>
    <row r="415" spans="2:8" x14ac:dyDescent="0.3">
      <c r="B415" s="1"/>
      <c r="C415" s="1"/>
      <c r="D415" s="1"/>
      <c r="E415" s="1"/>
      <c r="F415" s="1"/>
      <c r="G415" s="1"/>
      <c r="H415" s="1"/>
    </row>
    <row r="416" spans="2:8" x14ac:dyDescent="0.3">
      <c r="B416" s="1"/>
      <c r="C416" s="1"/>
      <c r="D416" s="1"/>
      <c r="E416" s="1"/>
      <c r="F416" s="1"/>
      <c r="G416" s="1"/>
      <c r="H416" s="1"/>
    </row>
    <row r="417" spans="2:8" x14ac:dyDescent="0.3">
      <c r="B417" s="1"/>
      <c r="C417" s="1"/>
      <c r="D417" s="1"/>
      <c r="E417" s="1"/>
      <c r="F417" s="1"/>
      <c r="G417" s="1"/>
      <c r="H417" s="1"/>
    </row>
    <row r="418" spans="2:8" x14ac:dyDescent="0.3">
      <c r="B418" s="1"/>
      <c r="C418" s="1"/>
      <c r="D418" s="1"/>
      <c r="E418" s="1"/>
      <c r="F418" s="1"/>
      <c r="G418" s="1"/>
      <c r="H418" s="1"/>
    </row>
    <row r="419" spans="2:8" x14ac:dyDescent="0.3">
      <c r="B419" s="1"/>
      <c r="C419" s="1"/>
      <c r="D419" s="1"/>
      <c r="E419" s="1"/>
      <c r="F419" s="1"/>
      <c r="G419" s="1"/>
      <c r="H419" s="1"/>
    </row>
    <row r="420" spans="2:8" x14ac:dyDescent="0.3">
      <c r="B420" s="1"/>
      <c r="C420" s="1"/>
      <c r="D420" s="1"/>
      <c r="E420" s="1"/>
      <c r="F420" s="1"/>
      <c r="G420" s="1"/>
      <c r="H420" s="1"/>
    </row>
    <row r="421" spans="2:8" x14ac:dyDescent="0.3">
      <c r="B421" s="1"/>
      <c r="C421" s="1"/>
      <c r="D421" s="1"/>
      <c r="E421" s="1"/>
      <c r="F421" s="1"/>
      <c r="G421" s="1"/>
      <c r="H421" s="1"/>
    </row>
    <row r="422" spans="2:8" x14ac:dyDescent="0.3">
      <c r="B422" s="1"/>
      <c r="C422" s="1"/>
      <c r="D422" s="1"/>
      <c r="E422" s="1"/>
      <c r="F422" s="1"/>
      <c r="G422" s="1"/>
      <c r="H422" s="1"/>
    </row>
    <row r="423" spans="2:8" x14ac:dyDescent="0.3">
      <c r="B423" s="1"/>
      <c r="C423" s="1"/>
      <c r="D423" s="1"/>
      <c r="E423" s="1"/>
      <c r="F423" s="1"/>
      <c r="G423" s="1"/>
      <c r="H423" s="1"/>
    </row>
    <row r="424" spans="2:8" x14ac:dyDescent="0.3">
      <c r="B424" s="1"/>
      <c r="C424" s="1"/>
      <c r="D424" s="1"/>
      <c r="E424" s="1"/>
      <c r="F424" s="1"/>
      <c r="G424" s="1"/>
      <c r="H424" s="1"/>
    </row>
    <row r="425" spans="2:8" x14ac:dyDescent="0.3">
      <c r="B425" s="1"/>
      <c r="C425" s="1"/>
      <c r="D425" s="1"/>
      <c r="E425" s="1"/>
      <c r="F425" s="1"/>
      <c r="G425" s="1"/>
      <c r="H425" s="1"/>
    </row>
    <row r="426" spans="2:8" x14ac:dyDescent="0.3">
      <c r="B426" s="1"/>
      <c r="C426" s="1"/>
      <c r="D426" s="1"/>
      <c r="E426" s="1"/>
      <c r="F426" s="1"/>
      <c r="G426" s="1"/>
      <c r="H426" s="1"/>
    </row>
    <row r="427" spans="2:8" x14ac:dyDescent="0.3">
      <c r="B427" s="1"/>
      <c r="C427" s="1"/>
      <c r="D427" s="1"/>
      <c r="E427" s="1"/>
      <c r="F427" s="1"/>
      <c r="G427" s="1"/>
      <c r="H427" s="1"/>
    </row>
    <row r="428" spans="2:8" x14ac:dyDescent="0.3">
      <c r="B428" s="1"/>
      <c r="C428" s="1"/>
      <c r="D428" s="1"/>
      <c r="E428" s="1"/>
      <c r="F428" s="1"/>
      <c r="G428" s="1"/>
      <c r="H428" s="1"/>
    </row>
    <row r="429" spans="2:8" x14ac:dyDescent="0.3">
      <c r="B429" s="1"/>
      <c r="C429" s="1"/>
      <c r="D429" s="1"/>
      <c r="E429" s="1"/>
      <c r="F429" s="1"/>
      <c r="G429" s="1"/>
      <c r="H429" s="1"/>
    </row>
    <row r="430" spans="2:8" x14ac:dyDescent="0.3">
      <c r="B430" s="1"/>
      <c r="C430" s="1"/>
      <c r="D430" s="1"/>
      <c r="E430" s="1"/>
      <c r="F430" s="1"/>
      <c r="G430" s="1"/>
      <c r="H430" s="1"/>
    </row>
    <row r="431" spans="2:8" x14ac:dyDescent="0.3">
      <c r="B431" s="1"/>
      <c r="C431" s="1"/>
      <c r="D431" s="1"/>
      <c r="E431" s="1"/>
      <c r="F431" s="1"/>
      <c r="G431" s="1"/>
      <c r="H431" s="1"/>
    </row>
    <row r="432" spans="2:8" x14ac:dyDescent="0.3">
      <c r="B432" s="1"/>
      <c r="C432" s="1"/>
      <c r="D432" s="1"/>
      <c r="E432" s="1"/>
      <c r="F432" s="1"/>
      <c r="G432" s="1"/>
      <c r="H432" s="1"/>
    </row>
    <row r="433" spans="2:8" x14ac:dyDescent="0.3">
      <c r="B433" s="1"/>
      <c r="C433" s="1"/>
      <c r="D433" s="1"/>
      <c r="E433" s="1"/>
      <c r="F433" s="1"/>
      <c r="G433" s="1"/>
      <c r="H433" s="1"/>
    </row>
    <row r="434" spans="2:8" x14ac:dyDescent="0.3">
      <c r="B434" s="1"/>
      <c r="C434" s="1"/>
      <c r="D434" s="1"/>
      <c r="E434" s="1"/>
      <c r="F434" s="1"/>
      <c r="G434" s="1"/>
      <c r="H434" s="1"/>
    </row>
  </sheetData>
  <mergeCells count="3">
    <mergeCell ref="C2:H2"/>
    <mergeCell ref="B1:C1"/>
    <mergeCell ref="D49:H49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9C971-A60A-4E09-8ADD-B5C8969DBE9A}">
  <dimension ref="A1:L41"/>
  <sheetViews>
    <sheetView workbookViewId="0">
      <selection activeCell="D15" sqref="D15"/>
    </sheetView>
  </sheetViews>
  <sheetFormatPr defaultRowHeight="14.4" x14ac:dyDescent="0.3"/>
  <cols>
    <col min="1" max="1" width="2.44140625" customWidth="1"/>
    <col min="2" max="2" width="50.6640625" bestFit="1" customWidth="1"/>
    <col min="4" max="7" width="14.33203125" bestFit="1" customWidth="1"/>
  </cols>
  <sheetData>
    <row r="1" spans="1:12" ht="27" customHeight="1" x14ac:dyDescent="0.5">
      <c r="A1" s="288"/>
      <c r="B1" s="289" t="s">
        <v>402</v>
      </c>
      <c r="C1" s="290"/>
      <c r="D1" s="291"/>
      <c r="E1" s="291"/>
      <c r="F1" s="291"/>
      <c r="G1" s="292"/>
    </row>
    <row r="2" spans="1:12" x14ac:dyDescent="0.3">
      <c r="A2" s="293"/>
      <c r="B2" s="286"/>
      <c r="C2" s="64"/>
      <c r="D2" s="447" t="s">
        <v>163</v>
      </c>
      <c r="E2" s="447"/>
      <c r="F2" s="447"/>
      <c r="G2" s="448"/>
    </row>
    <row r="3" spans="1:12" ht="18" customHeight="1" x14ac:dyDescent="0.3">
      <c r="A3" s="294"/>
      <c r="B3" s="287"/>
      <c r="C3" s="143" t="s">
        <v>1</v>
      </c>
      <c r="D3" s="130">
        <v>42735</v>
      </c>
      <c r="E3" s="130">
        <v>43100</v>
      </c>
      <c r="F3" s="130">
        <v>43465</v>
      </c>
      <c r="G3" s="295">
        <v>43830</v>
      </c>
    </row>
    <row r="4" spans="1:12" x14ac:dyDescent="0.3">
      <c r="A4" s="296"/>
      <c r="B4" s="5"/>
      <c r="C4" s="5"/>
      <c r="D4" s="31"/>
      <c r="E4" s="29"/>
      <c r="F4" s="29"/>
      <c r="G4" s="297"/>
    </row>
    <row r="5" spans="1:12" x14ac:dyDescent="0.3">
      <c r="A5" s="296"/>
      <c r="B5" s="8" t="s">
        <v>303</v>
      </c>
      <c r="C5" s="5"/>
      <c r="D5" s="216">
        <v>443</v>
      </c>
      <c r="E5" s="217">
        <v>710</v>
      </c>
      <c r="F5" s="217">
        <v>588</v>
      </c>
      <c r="G5" s="298">
        <v>687</v>
      </c>
    </row>
    <row r="6" spans="1:12" x14ac:dyDescent="0.3">
      <c r="A6" s="296"/>
      <c r="B6" s="5" t="s">
        <v>403</v>
      </c>
      <c r="C6" s="5"/>
      <c r="D6" s="218">
        <v>-122</v>
      </c>
      <c r="E6" s="219">
        <v>-192</v>
      </c>
      <c r="F6" s="219">
        <v>-157</v>
      </c>
      <c r="G6" s="299">
        <v>-189</v>
      </c>
    </row>
    <row r="7" spans="1:12" x14ac:dyDescent="0.3">
      <c r="A7" s="296"/>
      <c r="B7" s="5" t="s">
        <v>432</v>
      </c>
      <c r="C7" s="5"/>
      <c r="D7" s="284">
        <f>-'Reorganised Statements'!E99*('Reorganised Statements'!E109/'Reorganised Statements'!E101)</f>
        <v>-39.814371257485028</v>
      </c>
      <c r="E7" s="285">
        <f>-'Reorganised Statements'!F99*('Reorganised Statements'!F109/'Reorganised Statements'!F101)</f>
        <v>-44.666666666666664</v>
      </c>
      <c r="F7" s="285">
        <f>-'Reorganised Statements'!G99*('Reorganised Statements'!G109/'Reorganised Statements'!G101)</f>
        <v>-31.400000000000002</v>
      </c>
      <c r="G7" s="300">
        <f>-'Reorganised Statements'!H99*('Reorganised Statements'!H109/'Reorganised Statements'!H101)</f>
        <v>-34.481927710843372</v>
      </c>
    </row>
    <row r="8" spans="1:12" x14ac:dyDescent="0.3">
      <c r="A8" s="296"/>
      <c r="B8" s="24" t="s">
        <v>404</v>
      </c>
      <c r="C8" s="25"/>
      <c r="D8" s="220">
        <f>SUM(D5:D7)</f>
        <v>281.18562874251495</v>
      </c>
      <c r="E8" s="221">
        <f t="shared" ref="E8:G8" si="0">SUM(E5:E7)</f>
        <v>473.33333333333331</v>
      </c>
      <c r="F8" s="221">
        <f t="shared" si="0"/>
        <v>399.6</v>
      </c>
      <c r="G8" s="301">
        <f t="shared" si="0"/>
        <v>463.51807228915663</v>
      </c>
    </row>
    <row r="9" spans="1:12" x14ac:dyDescent="0.3">
      <c r="A9" s="296"/>
      <c r="B9" s="5"/>
      <c r="C9" s="5"/>
      <c r="D9" s="218"/>
      <c r="E9" s="219"/>
      <c r="F9" s="219"/>
      <c r="G9" s="299"/>
    </row>
    <row r="10" spans="1:12" x14ac:dyDescent="0.3">
      <c r="A10" s="296"/>
      <c r="B10" s="5" t="s">
        <v>426</v>
      </c>
      <c r="C10" s="5"/>
      <c r="D10" s="218">
        <f>'Reorganised Statements'!D10-'Reorganised Statements'!E10</f>
        <v>25</v>
      </c>
      <c r="E10" s="219">
        <f>'Reorganised Statements'!E10-'Reorganised Statements'!F10</f>
        <v>12</v>
      </c>
      <c r="F10" s="219">
        <f>'Reorganised Statements'!F10-'Reorganised Statements'!G10</f>
        <v>-40</v>
      </c>
      <c r="G10" s="299">
        <f>'Reorganised Statements'!G10-'Reorganised Statements'!H10</f>
        <v>3</v>
      </c>
    </row>
    <row r="11" spans="1:12" x14ac:dyDescent="0.3">
      <c r="A11" s="296"/>
      <c r="B11" s="5" t="s">
        <v>405</v>
      </c>
      <c r="C11" s="5"/>
      <c r="D11" s="218">
        <f>'Reorganised Statements'!D11-'Reorganised Statements'!E11</f>
        <v>-336</v>
      </c>
      <c r="E11" s="219">
        <f>'Reorganised Statements'!E11-'Reorganised Statements'!F11</f>
        <v>150</v>
      </c>
      <c r="F11" s="219">
        <f>'Reorganised Statements'!F11-'Reorganised Statements'!G11</f>
        <v>-110</v>
      </c>
      <c r="G11" s="299">
        <f>'Reorganised Statements'!G11-'Reorganised Statements'!H11</f>
        <v>-71</v>
      </c>
    </row>
    <row r="12" spans="1:12" x14ac:dyDescent="0.3">
      <c r="A12" s="296"/>
      <c r="B12" s="5" t="s">
        <v>425</v>
      </c>
      <c r="C12" s="5"/>
      <c r="D12" s="218">
        <f>'Reorganised Statements'!D12-'Reorganised Statements'!E12</f>
        <v>214</v>
      </c>
      <c r="E12" s="219">
        <f>'Reorganised Statements'!E12-'Reorganised Statements'!F12</f>
        <v>-3</v>
      </c>
      <c r="F12" s="219">
        <f>'Reorganised Statements'!F12-'Reorganised Statements'!G12</f>
        <v>32</v>
      </c>
      <c r="G12" s="299">
        <f>'Reorganised Statements'!G12-'Reorganised Statements'!H12</f>
        <v>68</v>
      </c>
    </row>
    <row r="13" spans="1:12" x14ac:dyDescent="0.3">
      <c r="A13" s="296"/>
      <c r="B13" s="24" t="s">
        <v>427</v>
      </c>
      <c r="C13" s="25"/>
      <c r="D13" s="220">
        <f>SUM(D10:D12)</f>
        <v>-97</v>
      </c>
      <c r="E13" s="221">
        <f t="shared" ref="E13:F13" si="1">SUM(E10:E12)</f>
        <v>159</v>
      </c>
      <c r="F13" s="221">
        <f t="shared" si="1"/>
        <v>-118</v>
      </c>
      <c r="G13" s="301">
        <f>SUM(G10:G12)</f>
        <v>0</v>
      </c>
      <c r="H13" s="283"/>
      <c r="I13" s="283"/>
      <c r="J13" s="283"/>
      <c r="K13" s="283"/>
      <c r="L13" s="283"/>
    </row>
    <row r="14" spans="1:12" x14ac:dyDescent="0.3">
      <c r="A14" s="296"/>
      <c r="B14" s="5"/>
      <c r="C14" s="5"/>
      <c r="D14" s="218"/>
      <c r="E14" s="219"/>
      <c r="F14" s="219"/>
      <c r="G14" s="299"/>
    </row>
    <row r="15" spans="1:12" x14ac:dyDescent="0.3">
      <c r="A15" s="296"/>
      <c r="B15" s="5" t="s">
        <v>406</v>
      </c>
      <c r="C15" s="5"/>
      <c r="D15" s="218">
        <f>'Reorganised Statements'!D15-'Reorganised Statements'!E15</f>
        <v>-59</v>
      </c>
      <c r="E15" s="219">
        <f>'Reorganised Statements'!E15-'Reorganised Statements'!F15</f>
        <v>132</v>
      </c>
      <c r="F15" s="219">
        <f>'Reorganised Statements'!F15-'Reorganised Statements'!G15</f>
        <v>53</v>
      </c>
      <c r="G15" s="299">
        <f>'Reorganised Statements'!G15-'Reorganised Statements'!H15</f>
        <v>-155</v>
      </c>
    </row>
    <row r="16" spans="1:12" x14ac:dyDescent="0.3">
      <c r="A16" s="296"/>
      <c r="B16" s="5" t="s">
        <v>407</v>
      </c>
      <c r="C16" s="5"/>
      <c r="D16" s="218">
        <f>'Reorganised Statements'!D21-'Reorganised Statements'!E21</f>
        <v>210</v>
      </c>
      <c r="E16" s="219">
        <f>'Reorganised Statements'!E21-'Reorganised Statements'!F21</f>
        <v>-220</v>
      </c>
      <c r="F16" s="219">
        <f>'Reorganised Statements'!F21-'Reorganised Statements'!G21</f>
        <v>90</v>
      </c>
      <c r="G16" s="299">
        <f>'Reorganised Statements'!G21-'Reorganised Statements'!H21</f>
        <v>236</v>
      </c>
    </row>
    <row r="17" spans="1:8" x14ac:dyDescent="0.3">
      <c r="A17" s="296"/>
      <c r="B17" s="24" t="s">
        <v>428</v>
      </c>
      <c r="C17" s="25"/>
      <c r="D17" s="220">
        <f>SUM(D13,D15:D16)</f>
        <v>54</v>
      </c>
      <c r="E17" s="221">
        <f t="shared" ref="E17:G17" si="2">SUM(E13,E15:E16)</f>
        <v>71</v>
      </c>
      <c r="F17" s="221">
        <f t="shared" si="2"/>
        <v>25</v>
      </c>
      <c r="G17" s="301">
        <f t="shared" si="2"/>
        <v>81</v>
      </c>
    </row>
    <row r="18" spans="1:8" x14ac:dyDescent="0.3">
      <c r="A18" s="296"/>
      <c r="B18" s="5"/>
      <c r="C18" s="5"/>
      <c r="D18" s="218"/>
      <c r="E18" s="219"/>
      <c r="F18" s="219"/>
      <c r="G18" s="299"/>
    </row>
    <row r="19" spans="1:8" x14ac:dyDescent="0.3">
      <c r="A19" s="296"/>
      <c r="B19" s="5" t="s">
        <v>408</v>
      </c>
      <c r="C19" s="5"/>
      <c r="D19" s="218">
        <f>('Reorganised Statements'!D5+'Reorganised Statements'!D6)-('Reorganised Statements'!E5+'Reorganised Statements'!E6)+'Reorganised Statements'!E72</f>
        <v>-1066</v>
      </c>
      <c r="E19" s="219">
        <f>('Reorganised Statements'!E5+'Reorganised Statements'!E6)-('Reorganised Statements'!F5+'Reorganised Statements'!F6)+'Reorganised Statements'!F72</f>
        <v>-80</v>
      </c>
      <c r="F19" s="219">
        <f>('Reorganised Statements'!F5+'Reorganised Statements'!F6)-('Reorganised Statements'!G5+'Reorganised Statements'!G6)+'Reorganised Statements'!G72</f>
        <v>-1076</v>
      </c>
      <c r="G19" s="299">
        <f>('Reorganised Statements'!G5+'Reorganised Statements'!G6)-('Reorganised Statements'!H5+'Reorganised Statements'!H6)+'Reorganised Statements'!H72</f>
        <v>-837</v>
      </c>
    </row>
    <row r="20" spans="1:8" x14ac:dyDescent="0.3">
      <c r="A20" s="296"/>
      <c r="B20" s="5" t="s">
        <v>409</v>
      </c>
      <c r="C20" s="5"/>
      <c r="D20" s="218">
        <v>648</v>
      </c>
      <c r="E20" s="219">
        <v>444</v>
      </c>
      <c r="F20" s="219">
        <v>623</v>
      </c>
      <c r="G20" s="299">
        <v>511</v>
      </c>
    </row>
    <row r="21" spans="1:8" x14ac:dyDescent="0.3">
      <c r="A21" s="296"/>
      <c r="B21" s="5" t="s">
        <v>410</v>
      </c>
      <c r="C21" s="5"/>
      <c r="D21" s="218">
        <f>'Reorganised Statements'!D30-'Reorganised Statements'!E30</f>
        <v>95</v>
      </c>
      <c r="E21" s="218">
        <f>'Reorganised Statements'!E30-'Reorganised Statements'!F30</f>
        <v>-46</v>
      </c>
      <c r="F21" s="218">
        <f>'Reorganised Statements'!F30-'Reorganised Statements'!G30</f>
        <v>17</v>
      </c>
      <c r="G21" s="302">
        <f>'Reorganised Statements'!G30-'Reorganised Statements'!H30</f>
        <v>34</v>
      </c>
      <c r="H21" s="283"/>
    </row>
    <row r="22" spans="1:8" x14ac:dyDescent="0.3">
      <c r="A22" s="296"/>
      <c r="B22" s="5" t="s">
        <v>411</v>
      </c>
      <c r="C22" s="5"/>
      <c r="D22" s="218">
        <f>'Reorganised Statements'!D29-'Reorganised Statements'!E29</f>
        <v>33</v>
      </c>
      <c r="E22" s="218">
        <f>'Reorganised Statements'!E29-'Reorganised Statements'!F29</f>
        <v>-46</v>
      </c>
      <c r="F22" s="218">
        <f>'Reorganised Statements'!F29-'Reorganised Statements'!G29</f>
        <v>-5</v>
      </c>
      <c r="G22" s="302">
        <f>'Reorganised Statements'!G29-'Reorganised Statements'!H29</f>
        <v>-7</v>
      </c>
      <c r="H22" s="283"/>
    </row>
    <row r="23" spans="1:8" x14ac:dyDescent="0.3">
      <c r="A23" s="296"/>
      <c r="B23" s="5" t="s">
        <v>424</v>
      </c>
      <c r="C23" s="5"/>
      <c r="D23" s="218">
        <f>'Reorganised Statements'!D28-'Reorganised Statements'!E28</f>
        <v>-33</v>
      </c>
      <c r="E23" s="218">
        <f>'Reorganised Statements'!E28-'Reorganised Statements'!F28</f>
        <v>40</v>
      </c>
      <c r="F23" s="218">
        <f>'Reorganised Statements'!F28-'Reorganised Statements'!G28</f>
        <v>37</v>
      </c>
      <c r="G23" s="302">
        <f>'Reorganised Statements'!G28-'Reorganised Statements'!H28</f>
        <v>-13</v>
      </c>
    </row>
    <row r="24" spans="1:8" x14ac:dyDescent="0.3">
      <c r="A24" s="296"/>
      <c r="B24" s="5" t="s">
        <v>412</v>
      </c>
      <c r="C24" s="5"/>
      <c r="D24" s="218">
        <v>20</v>
      </c>
      <c r="E24" s="219">
        <v>-91</v>
      </c>
      <c r="F24" s="219">
        <v>11</v>
      </c>
      <c r="G24" s="299">
        <v>-3</v>
      </c>
    </row>
    <row r="25" spans="1:8" x14ac:dyDescent="0.3">
      <c r="A25" s="296"/>
      <c r="B25" s="18" t="s">
        <v>413</v>
      </c>
      <c r="C25" s="20"/>
      <c r="D25" s="222">
        <f>D8+D17+SUM(D19:D24)</f>
        <v>32.18562874251495</v>
      </c>
      <c r="E25" s="222">
        <f t="shared" ref="E25:G25" si="3">E8+E17+SUM(E19:E24)</f>
        <v>765.33333333333326</v>
      </c>
      <c r="F25" s="222">
        <f t="shared" si="3"/>
        <v>31.600000000000023</v>
      </c>
      <c r="G25" s="303">
        <f t="shared" si="3"/>
        <v>229.51807228915663</v>
      </c>
    </row>
    <row r="26" spans="1:8" x14ac:dyDescent="0.3">
      <c r="A26" s="296"/>
      <c r="B26" s="5" t="s">
        <v>414</v>
      </c>
      <c r="C26" s="5"/>
      <c r="D26" s="226">
        <f>-D25/D5</f>
        <v>-7.2653789486489734E-2</v>
      </c>
      <c r="E26" s="226">
        <f t="shared" ref="E26:G26" si="4">E25/E5</f>
        <v>1.0779342723004695</v>
      </c>
      <c r="F26" s="226">
        <f t="shared" si="4"/>
        <v>5.3741496598639492E-2</v>
      </c>
      <c r="G26" s="304">
        <f t="shared" si="4"/>
        <v>0.33408744146893249</v>
      </c>
    </row>
    <row r="27" spans="1:8" x14ac:dyDescent="0.3">
      <c r="A27" s="296"/>
      <c r="B27" s="5"/>
      <c r="C27" s="5"/>
      <c r="D27" s="218"/>
      <c r="E27" s="219"/>
      <c r="F27" s="219"/>
      <c r="G27" s="299"/>
    </row>
    <row r="28" spans="1:8" x14ac:dyDescent="0.3">
      <c r="A28" s="296"/>
      <c r="B28" s="5" t="s">
        <v>415</v>
      </c>
      <c r="C28" s="5"/>
      <c r="D28" s="218">
        <f>('Reorganised Statements'!D7-'Reorganised Statements'!E7)+'Reorganised Statements'!E99</f>
        <v>-108</v>
      </c>
      <c r="E28" s="218">
        <f>('Reorganised Statements'!E7-'Reorganised Statements'!F7)+'Reorganised Statements'!F99</f>
        <v>-105</v>
      </c>
      <c r="F28" s="218">
        <f>('Reorganised Statements'!F7-'Reorganised Statements'!G7)+'Reorganised Statements'!G99</f>
        <v>-36</v>
      </c>
      <c r="G28" s="218">
        <f>('Reorganised Statements'!G7-'Reorganised Statements'!H7)+'Reorganised Statements'!H99</f>
        <v>-126</v>
      </c>
    </row>
    <row r="29" spans="1:8" x14ac:dyDescent="0.3">
      <c r="A29" s="296"/>
      <c r="B29" s="5" t="s">
        <v>416</v>
      </c>
      <c r="C29" s="5"/>
      <c r="D29" s="218">
        <f>'Reorganised Statements'!D39-'Reorganised Statements'!E39</f>
        <v>14</v>
      </c>
      <c r="E29" s="218">
        <f>'Reorganised Statements'!E39-'Reorganised Statements'!F39</f>
        <v>143</v>
      </c>
      <c r="F29" s="218">
        <f>'Reorganised Statements'!F39-'Reorganised Statements'!G39</f>
        <v>-260</v>
      </c>
      <c r="G29" s="302">
        <f>'Reorganised Statements'!G39-'Reorganised Statements'!H39</f>
        <v>-67</v>
      </c>
    </row>
    <row r="30" spans="1:8" x14ac:dyDescent="0.3">
      <c r="A30" s="296"/>
      <c r="B30" s="5" t="s">
        <v>433</v>
      </c>
      <c r="C30" s="5"/>
      <c r="D30" s="218">
        <f>-D7</f>
        <v>39.814371257485028</v>
      </c>
      <c r="E30" s="218">
        <f t="shared" ref="E30:G30" si="5">-E7</f>
        <v>44.666666666666664</v>
      </c>
      <c r="F30" s="218">
        <f t="shared" si="5"/>
        <v>31.400000000000002</v>
      </c>
      <c r="G30" s="302">
        <f t="shared" si="5"/>
        <v>34.481927710843372</v>
      </c>
    </row>
    <row r="31" spans="1:8" x14ac:dyDescent="0.3">
      <c r="A31" s="296"/>
      <c r="B31" s="18" t="s">
        <v>417</v>
      </c>
      <c r="C31" s="20"/>
      <c r="D31" s="222">
        <f>D25+D28+D29+D30</f>
        <v>-22.000000000000021</v>
      </c>
      <c r="E31" s="223">
        <f t="shared" ref="E31:G31" si="6">E25+E28+E29+E30</f>
        <v>847.99999999999989</v>
      </c>
      <c r="F31" s="223">
        <f t="shared" si="6"/>
        <v>-232.99999999999997</v>
      </c>
      <c r="G31" s="305">
        <f t="shared" si="6"/>
        <v>71</v>
      </c>
    </row>
    <row r="32" spans="1:8" x14ac:dyDescent="0.3">
      <c r="A32" s="296"/>
      <c r="B32" s="5" t="s">
        <v>418</v>
      </c>
      <c r="C32" s="5"/>
      <c r="D32" s="218"/>
      <c r="E32" s="219"/>
      <c r="F32" s="219"/>
      <c r="G32" s="299"/>
    </row>
    <row r="33" spans="1:8" x14ac:dyDescent="0.3">
      <c r="A33" s="296"/>
      <c r="B33" s="5"/>
      <c r="C33" s="5"/>
      <c r="D33" s="224"/>
      <c r="E33" s="225"/>
      <c r="F33" s="225"/>
      <c r="G33" s="306"/>
    </row>
    <row r="34" spans="1:8" x14ac:dyDescent="0.3">
      <c r="A34" s="296"/>
      <c r="B34" s="5" t="s">
        <v>419</v>
      </c>
      <c r="C34" s="5"/>
      <c r="D34" s="225">
        <f>('Reorganised Statements'!D35-'Reorganised Statements'!E35)-'Reorganised Statements'!E114</f>
        <v>-212</v>
      </c>
      <c r="E34" s="225">
        <f>('Reorganised Statements'!E35-'Reorganised Statements'!F35)-'Reorganised Statements'!F114</f>
        <v>-559</v>
      </c>
      <c r="F34" s="225">
        <f>('Reorganised Statements'!F35-'Reorganised Statements'!G35)-'Reorganised Statements'!G114</f>
        <v>166</v>
      </c>
      <c r="G34" s="306">
        <f>('Reorganised Statements'!G35-'Reorganised Statements'!H35)-'Reorganised Statements'!H114</f>
        <v>-261</v>
      </c>
    </row>
    <row r="35" spans="1:8" x14ac:dyDescent="0.3">
      <c r="A35" s="296"/>
      <c r="B35" s="8" t="s">
        <v>420</v>
      </c>
      <c r="C35" s="5"/>
      <c r="D35" s="224">
        <f>D31+D34</f>
        <v>-234.00000000000003</v>
      </c>
      <c r="E35" s="224">
        <f t="shared" ref="E35:G35" si="7">E31+E34</f>
        <v>288.99999999999989</v>
      </c>
      <c r="F35" s="224">
        <f t="shared" si="7"/>
        <v>-66.999999999999972</v>
      </c>
      <c r="G35" s="307">
        <f t="shared" si="7"/>
        <v>-190</v>
      </c>
    </row>
    <row r="36" spans="1:8" x14ac:dyDescent="0.3">
      <c r="A36" s="296"/>
      <c r="B36" s="5"/>
      <c r="C36" s="5"/>
      <c r="D36" s="224"/>
      <c r="E36" s="225"/>
      <c r="F36" s="225"/>
      <c r="G36" s="306"/>
    </row>
    <row r="37" spans="1:8" x14ac:dyDescent="0.3">
      <c r="A37" s="296"/>
      <c r="B37" s="213" t="s">
        <v>421</v>
      </c>
      <c r="C37" s="5"/>
      <c r="D37" s="224">
        <v>636</v>
      </c>
      <c r="E37" s="225">
        <v>402</v>
      </c>
      <c r="F37" s="225">
        <v>691</v>
      </c>
      <c r="G37" s="306">
        <v>624</v>
      </c>
      <c r="H37" s="283"/>
    </row>
    <row r="38" spans="1:8" x14ac:dyDescent="0.3">
      <c r="A38" s="296"/>
      <c r="B38" s="213" t="s">
        <v>422</v>
      </c>
      <c r="C38" s="5"/>
      <c r="D38" s="224">
        <v>402</v>
      </c>
      <c r="E38" s="225">
        <v>691</v>
      </c>
      <c r="F38" s="225">
        <v>624</v>
      </c>
      <c r="G38" s="306">
        <v>434</v>
      </c>
      <c r="H38" s="283"/>
    </row>
    <row r="39" spans="1:8" ht="15" thickBot="1" x14ac:dyDescent="0.35">
      <c r="A39" s="308"/>
      <c r="B39" s="309" t="s">
        <v>423</v>
      </c>
      <c r="C39" s="309"/>
      <c r="D39" s="310">
        <f>D38-D37</f>
        <v>-234</v>
      </c>
      <c r="E39" s="310">
        <f t="shared" ref="E39:G39" si="8">E38-E37</f>
        <v>289</v>
      </c>
      <c r="F39" s="310">
        <f t="shared" si="8"/>
        <v>-67</v>
      </c>
      <c r="G39" s="311">
        <f t="shared" si="8"/>
        <v>-190</v>
      </c>
      <c r="H39" s="283"/>
    </row>
    <row r="40" spans="1:8" ht="15" thickBot="1" x14ac:dyDescent="0.35">
      <c r="A40" s="1"/>
      <c r="B40" s="1"/>
      <c r="C40" s="1"/>
      <c r="D40" s="1"/>
      <c r="E40" s="1"/>
      <c r="F40" s="1"/>
      <c r="G40" s="1"/>
    </row>
    <row r="41" spans="1:8" ht="15" thickBot="1" x14ac:dyDescent="0.35">
      <c r="A41" s="1"/>
      <c r="B41" s="313" t="s">
        <v>434</v>
      </c>
      <c r="C41" s="314"/>
      <c r="D41" s="314" t="str">
        <f>IF(D35=D39,"Correct","Incorrect")</f>
        <v>Correct</v>
      </c>
      <c r="E41" s="314" t="str">
        <f t="shared" ref="E41:G41" si="9">IF(E35=E39,"Correct","Incorrect")</f>
        <v>Correct</v>
      </c>
      <c r="F41" s="314" t="str">
        <f t="shared" si="9"/>
        <v>Correct</v>
      </c>
      <c r="G41" s="315" t="str">
        <f t="shared" si="9"/>
        <v>Correct</v>
      </c>
    </row>
  </sheetData>
  <mergeCells count="1">
    <mergeCell ref="D2:G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8519F-90E1-4FDA-9AEB-E44D11AA75F5}">
  <dimension ref="A1:V153"/>
  <sheetViews>
    <sheetView tabSelected="1" topLeftCell="A118" workbookViewId="0">
      <selection activeCell="C52" sqref="C52"/>
    </sheetView>
  </sheetViews>
  <sheetFormatPr defaultRowHeight="14.4" x14ac:dyDescent="0.3"/>
  <cols>
    <col min="1" max="1" width="61.109375" customWidth="1"/>
    <col min="2" max="2" width="9.21875" customWidth="1"/>
    <col min="3" max="3" width="21.77734375" customWidth="1"/>
    <col min="4" max="4" width="19" customWidth="1"/>
    <col min="5" max="5" width="15.6640625" customWidth="1"/>
    <col min="6" max="6" width="14.33203125" customWidth="1"/>
    <col min="7" max="8" width="15.77734375" customWidth="1"/>
    <col min="9" max="9" width="14.109375" customWidth="1"/>
  </cols>
  <sheetData>
    <row r="1" spans="1:20" ht="25.8" x14ac:dyDescent="0.5">
      <c r="A1" s="449" t="s">
        <v>515</v>
      </c>
      <c r="B1" s="450"/>
      <c r="C1" s="148"/>
      <c r="D1" s="148"/>
      <c r="E1" s="148"/>
      <c r="F1" s="148"/>
      <c r="G1" s="388"/>
    </row>
    <row r="2" spans="1:20" x14ac:dyDescent="0.3">
      <c r="A2" s="389"/>
      <c r="B2" s="444" t="s">
        <v>158</v>
      </c>
      <c r="C2" s="444"/>
      <c r="D2" s="444"/>
      <c r="E2" s="444"/>
      <c r="F2" s="444"/>
      <c r="G2" s="451"/>
    </row>
    <row r="3" spans="1:20" x14ac:dyDescent="0.3">
      <c r="A3" s="294"/>
      <c r="B3" s="144" t="s">
        <v>1</v>
      </c>
      <c r="C3" s="147" t="s">
        <v>516</v>
      </c>
      <c r="D3" s="147" t="s">
        <v>506</v>
      </c>
      <c r="E3" s="147" t="s">
        <v>507</v>
      </c>
      <c r="F3" s="147" t="s">
        <v>508</v>
      </c>
      <c r="G3" s="390" t="s">
        <v>509</v>
      </c>
    </row>
    <row r="4" spans="1:20" x14ac:dyDescent="0.3">
      <c r="A4" s="391"/>
      <c r="B4" s="5"/>
      <c r="C4" s="31"/>
      <c r="D4" s="29"/>
      <c r="E4" s="29"/>
      <c r="F4" s="29"/>
      <c r="G4" s="297"/>
    </row>
    <row r="5" spans="1:20" x14ac:dyDescent="0.3">
      <c r="A5" s="392" t="s">
        <v>381</v>
      </c>
      <c r="B5" s="162"/>
      <c r="C5" s="172">
        <f>'Reorganised Statements'!D5+(5022-5579)</f>
        <v>4510</v>
      </c>
      <c r="D5" s="172">
        <f>'Reorganised Statements'!E5+(5026-5022)</f>
        <v>5133</v>
      </c>
      <c r="E5" s="172">
        <f>'Reorganised Statements'!F5+(4592-5026)</f>
        <v>4172</v>
      </c>
      <c r="F5" s="172">
        <f>'Reorganised Statements'!G5 + (4703-4592)</f>
        <v>4731</v>
      </c>
      <c r="G5" s="393">
        <f>'Reorganised Statements'!H5 + (4917-4703)</f>
        <v>5083</v>
      </c>
    </row>
    <row r="6" spans="1:20" x14ac:dyDescent="0.3">
      <c r="A6" s="392" t="s">
        <v>382</v>
      </c>
      <c r="B6" s="162"/>
      <c r="C6" s="172">
        <f>'Reorganised Statements'!D6+(1360-1320)</f>
        <v>1388</v>
      </c>
      <c r="D6" s="172">
        <f>'Reorganised Statements'!E6+(1756-1360)</f>
        <v>2100</v>
      </c>
      <c r="E6" s="172">
        <f>'Reorganised Statements'!F6+(1902-1756)</f>
        <v>2009</v>
      </c>
      <c r="F6" s="172">
        <f>'Reorganised Statements'!G6+ (2344-1902)</f>
        <v>2744</v>
      </c>
      <c r="G6" s="393">
        <f>'Reorganised Statements'!H6+(2429-2344)</f>
        <v>2464</v>
      </c>
    </row>
    <row r="7" spans="1:20" x14ac:dyDescent="0.3">
      <c r="A7" s="392" t="s">
        <v>377</v>
      </c>
      <c r="B7" s="162"/>
      <c r="C7" s="172">
        <f>'Reorganised Statements'!D7+(70+76-75-74)</f>
        <v>134</v>
      </c>
      <c r="D7" s="172">
        <f>'Reorganised Statements'!E7+(62+78-70-76)</f>
        <v>130</v>
      </c>
      <c r="E7" s="172">
        <f>'Reorganised Statements'!F7+(63+42-62-78)</f>
        <v>72</v>
      </c>
      <c r="F7" s="172">
        <f>'Reorganised Statements'!G7+(18+26-63-42)</f>
        <v>-16</v>
      </c>
      <c r="G7" s="393">
        <f>'Reorganised Statements'!H7+(24+71-18-26)</f>
        <v>116</v>
      </c>
    </row>
    <row r="8" spans="1:20" x14ac:dyDescent="0.3">
      <c r="A8" s="394" t="s">
        <v>383</v>
      </c>
      <c r="B8" s="395"/>
      <c r="C8" s="182">
        <f>SUM(C5:C7)</f>
        <v>6032</v>
      </c>
      <c r="D8" s="182">
        <f>SUM(D5:D7)</f>
        <v>7363</v>
      </c>
      <c r="E8" s="182">
        <f>E5+E6+E7</f>
        <v>6253</v>
      </c>
      <c r="F8" s="182">
        <f>F5+F6+F7</f>
        <v>7459</v>
      </c>
      <c r="G8" s="396">
        <f>SUM(G5:G7)</f>
        <v>7663</v>
      </c>
    </row>
    <row r="9" spans="1:20" x14ac:dyDescent="0.3">
      <c r="A9" s="392"/>
      <c r="B9" s="162"/>
      <c r="C9" s="172"/>
      <c r="D9" s="172"/>
      <c r="E9" s="172"/>
      <c r="F9" s="172"/>
      <c r="G9" s="393"/>
    </row>
    <row r="10" spans="1:20" x14ac:dyDescent="0.3">
      <c r="A10" s="392" t="s">
        <v>372</v>
      </c>
      <c r="B10" s="162"/>
      <c r="C10" s="172">
        <f>'Reorganised Statements'!D10+(98-180)</f>
        <v>102</v>
      </c>
      <c r="D10" s="172">
        <f>'Reorganised Statements'!E10+(118-98)</f>
        <v>179</v>
      </c>
      <c r="E10" s="172">
        <f>'Reorganised Statements'!F10+(80-118)</f>
        <v>109</v>
      </c>
      <c r="F10" s="172">
        <f>'Reorganised Statements'!G10+(119-80)</f>
        <v>226</v>
      </c>
      <c r="G10" s="393">
        <f>'Reorganised Statements'!H10+104-119</f>
        <v>169</v>
      </c>
    </row>
    <row r="11" spans="1:20" x14ac:dyDescent="0.3">
      <c r="A11" s="392" t="s">
        <v>373</v>
      </c>
      <c r="B11" s="162"/>
      <c r="C11" s="172">
        <f>'Reorganised Statements'!D11+(1547-1671)</f>
        <v>1361</v>
      </c>
      <c r="D11" s="172">
        <f>'Reorganised Statements'!E11+(1878-1547)</f>
        <v>2152</v>
      </c>
      <c r="E11" s="172">
        <f>'Reorganised Statements'!F11+(1826-1878)</f>
        <v>1619</v>
      </c>
      <c r="F11" s="172">
        <f>'Reorganised Statements'!G11+(2077-1826)</f>
        <v>2032</v>
      </c>
      <c r="G11" s="393">
        <f>'Reorganised Statements'!H11+2056-2077</f>
        <v>1831</v>
      </c>
    </row>
    <row r="12" spans="1:20" x14ac:dyDescent="0.3">
      <c r="A12" s="392" t="s">
        <v>378</v>
      </c>
      <c r="B12" s="162"/>
      <c r="C12" s="172">
        <f>'Reorganised Statements'!D12-(1012-1080)</f>
        <v>-1102</v>
      </c>
      <c r="D12" s="172">
        <f>'Reorganised Statements'!E12-(1151-1012)</f>
        <v>-1523</v>
      </c>
      <c r="E12" s="172">
        <f>'Reorganised Statements'!F12-(1150-1151)</f>
        <v>-1380</v>
      </c>
      <c r="F12" s="172">
        <f>'Reorganised Statements'!G12-(1321-1150)</f>
        <v>-1584</v>
      </c>
      <c r="G12" s="393">
        <f>'Reorganised Statements'!H12-(1323-1321)</f>
        <v>-1483</v>
      </c>
    </row>
    <row r="13" spans="1:20" x14ac:dyDescent="0.3">
      <c r="A13" s="397" t="s">
        <v>384</v>
      </c>
      <c r="B13" s="398"/>
      <c r="C13" s="187">
        <f>SUM(C10:C12)</f>
        <v>361</v>
      </c>
      <c r="D13" s="187">
        <f>SUM(D10:D12)</f>
        <v>808</v>
      </c>
      <c r="E13" s="187">
        <f>E10+E11+E12</f>
        <v>348</v>
      </c>
      <c r="F13" s="187">
        <f>F10+F11+F12</f>
        <v>674</v>
      </c>
      <c r="G13" s="399">
        <f>G10+G11+G12</f>
        <v>517</v>
      </c>
    </row>
    <row r="14" spans="1:20" x14ac:dyDescent="0.3">
      <c r="A14" s="400"/>
      <c r="B14" s="161"/>
      <c r="C14" s="172"/>
      <c r="D14" s="172"/>
      <c r="E14" s="172"/>
      <c r="F14" s="172"/>
      <c r="G14" s="401"/>
    </row>
    <row r="15" spans="1:20" x14ac:dyDescent="0.3">
      <c r="A15" s="402" t="s">
        <v>517</v>
      </c>
      <c r="B15" s="162"/>
      <c r="C15" s="172"/>
      <c r="D15" s="172"/>
      <c r="E15" s="172"/>
      <c r="F15" s="172"/>
      <c r="G15" s="393"/>
      <c r="H15" s="381"/>
      <c r="I15" s="381"/>
      <c r="J15" s="55"/>
      <c r="K15" s="381"/>
      <c r="L15" s="381"/>
      <c r="M15" s="55"/>
    </row>
    <row r="16" spans="1:20" x14ac:dyDescent="0.3">
      <c r="A16" s="392" t="s">
        <v>374</v>
      </c>
      <c r="B16" s="162"/>
      <c r="C16" s="172">
        <f>'Reorganised Statements'!D16+(335-231)</f>
        <v>287</v>
      </c>
      <c r="D16" s="172">
        <f>'Reorganised Statements'!E16+(248-335)</f>
        <v>302</v>
      </c>
      <c r="E16" s="172">
        <f>'Reorganised Statements'!F16+(201-248)</f>
        <v>169</v>
      </c>
      <c r="F16" s="172">
        <f>'Reorganised Statements'!G16+(391-201)</f>
        <v>503</v>
      </c>
      <c r="G16" s="393">
        <f>'Reorganised Statements'!H16+946-391</f>
        <v>1122</v>
      </c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</row>
    <row r="17" spans="1:20" x14ac:dyDescent="0.3">
      <c r="A17" s="392" t="s">
        <v>375</v>
      </c>
      <c r="B17" s="162"/>
      <c r="C17" s="172">
        <f>'Reorganised Statements'!D17+(233-131)</f>
        <v>273</v>
      </c>
      <c r="D17" s="172">
        <f>'Reorganised Statements'!E17+(200-233)</f>
        <v>185</v>
      </c>
      <c r="E17" s="172">
        <f>'Reorganised Statements'!F17+(7-200)</f>
        <v>-185</v>
      </c>
      <c r="F17" s="172">
        <f>'Reorganised Statements'!G17+(11-7)</f>
        <v>20</v>
      </c>
      <c r="G17" s="393">
        <f>'Reorganised Statements'!H17+13-11</f>
        <v>12</v>
      </c>
      <c r="H17" s="55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</row>
    <row r="18" spans="1:20" ht="12.6" customHeight="1" x14ac:dyDescent="0.3">
      <c r="A18" s="403" t="s">
        <v>31</v>
      </c>
      <c r="B18" s="175"/>
      <c r="C18" s="172">
        <f>'Reorganised Statements'!D18+(6-39)</f>
        <v>-27</v>
      </c>
      <c r="D18" s="172">
        <f>'Reorganised Statements'!E18+(22-6)</f>
        <v>28</v>
      </c>
      <c r="E18" s="172">
        <f>'Reorganised Statements'!F18+(8-22)</f>
        <v>-6</v>
      </c>
      <c r="F18" s="172">
        <f>'Reorganised Statements'!G18+(22-8)</f>
        <v>34</v>
      </c>
      <c r="G18" s="393">
        <f>'Reorganised Statements'!H18+28-22</f>
        <v>31</v>
      </c>
      <c r="H18" s="55"/>
      <c r="I18" s="55"/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</row>
    <row r="19" spans="1:20" x14ac:dyDescent="0.3">
      <c r="A19" s="392" t="s">
        <v>75</v>
      </c>
      <c r="B19" s="162"/>
      <c r="C19" s="172">
        <f>'Reorganised Statements'!D19+(69-62)</f>
        <v>78</v>
      </c>
      <c r="D19" s="172">
        <f>'Reorganised Statements'!E19+(70-69)</f>
        <v>71</v>
      </c>
      <c r="E19" s="172">
        <f>'Reorganised Statements'!F19+(67-70)</f>
        <v>104</v>
      </c>
      <c r="F19" s="172">
        <f>'Reorganised Statements'!G19+(49-67)</f>
        <v>31</v>
      </c>
      <c r="G19" s="401">
        <f>'Reorganised Statements'!H19+51-49</f>
        <v>65</v>
      </c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</row>
    <row r="20" spans="1:20" ht="15" customHeight="1" x14ac:dyDescent="0.3">
      <c r="A20" s="403" t="s">
        <v>376</v>
      </c>
      <c r="B20" s="162"/>
      <c r="C20" s="172">
        <f>'Reorganised Statements'!D20+(2-0)</f>
        <v>207</v>
      </c>
      <c r="D20" s="172">
        <f>'Reorganised Statements'!E20+(2-2)</f>
        <v>6</v>
      </c>
      <c r="E20" s="172">
        <f>'Reorganised Statements'!F20+(226-2)</f>
        <v>448</v>
      </c>
      <c r="F20" s="172">
        <f>'Reorganised Statements'!G20+(110-226)</f>
        <v>-4</v>
      </c>
      <c r="G20" s="393">
        <f>'Reorganised Statements'!H20+0-110</f>
        <v>-110</v>
      </c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</row>
    <row r="21" spans="1:20" x14ac:dyDescent="0.3">
      <c r="A21" s="402" t="s">
        <v>397</v>
      </c>
      <c r="B21" s="162"/>
      <c r="C21" s="172"/>
      <c r="D21" s="172"/>
      <c r="E21" s="172"/>
      <c r="F21" s="172"/>
      <c r="G21" s="404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</row>
    <row r="22" spans="1:20" x14ac:dyDescent="0.3">
      <c r="A22" s="392" t="s">
        <v>120</v>
      </c>
      <c r="B22" s="162"/>
      <c r="C22" s="172">
        <f>'Reorganised Statements'!D22-(95-374)</f>
        <v>180</v>
      </c>
      <c r="D22" s="172">
        <f>'Reorganised Statements'!E22-(109-95)</f>
        <v>-123</v>
      </c>
      <c r="E22" s="172">
        <f>'Reorganised Statements'!F22-(154-109)</f>
        <v>-193</v>
      </c>
      <c r="F22" s="172">
        <f>'Reorganised Statements'!G22-(151-154)</f>
        <v>-145</v>
      </c>
      <c r="G22" s="393">
        <f>'Reorganised Statements'!H22-(154-151)</f>
        <v>-152</v>
      </c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</row>
    <row r="23" spans="1:20" x14ac:dyDescent="0.3">
      <c r="A23" s="392" t="s">
        <v>153</v>
      </c>
      <c r="B23" s="162"/>
      <c r="C23" s="172">
        <f>'Reorganised Statements'!D23-(85-23)</f>
        <v>-105</v>
      </c>
      <c r="D23" s="172">
        <f>'Reorganised Statements'!E23-(103-85)</f>
        <v>-51</v>
      </c>
      <c r="E23" s="172">
        <f>'Reorganised Statements'!F23-(41-103)</f>
        <v>58</v>
      </c>
      <c r="F23" s="172">
        <f>'Reorganised Statements'!G23-(91-41)</f>
        <v>-84</v>
      </c>
      <c r="G23" s="393">
        <f>'Reorganised Statements'!H23-(53-91)</f>
        <v>32</v>
      </c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</row>
    <row r="24" spans="1:20" x14ac:dyDescent="0.3">
      <c r="A24" s="392" t="s">
        <v>379</v>
      </c>
      <c r="B24" s="162"/>
      <c r="C24" s="172">
        <f>'Reorganised Statements'!D24-(707-563)</f>
        <v>-665</v>
      </c>
      <c r="D24" s="172">
        <f>'Reorganised Statements'!E24-(681-707)</f>
        <v>-718</v>
      </c>
      <c r="E24" s="172">
        <f>'Reorganised Statements'!F24-(632-681)</f>
        <v>-472</v>
      </c>
      <c r="F24" s="172">
        <f>'Reorganised Statements'!G24-(882-632)</f>
        <v>-831</v>
      </c>
      <c r="G24" s="393">
        <f>'Reorganised Statements'!H24-(1352-882)</f>
        <v>-1314</v>
      </c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</row>
    <row r="25" spans="1:20" x14ac:dyDescent="0.3">
      <c r="A25" s="392" t="s">
        <v>431</v>
      </c>
      <c r="B25" s="162"/>
      <c r="C25" s="172">
        <f>'Reorganised Statements'!D25-(0-0)</f>
        <v>-20</v>
      </c>
      <c r="D25" s="172">
        <f>'Reorganised Statements'!E25-(2-0)</f>
        <v>-9</v>
      </c>
      <c r="E25" s="172">
        <f>'Reorganised Statements'!F25-(0-2)</f>
        <v>2</v>
      </c>
      <c r="F25" s="172">
        <f>'Reorganised Statements'!G25</f>
        <v>0</v>
      </c>
      <c r="G25" s="393">
        <f>'Reorganised Statements'!H25-(0-0)</f>
        <v>0</v>
      </c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</row>
    <row r="26" spans="1:20" x14ac:dyDescent="0.3">
      <c r="A26" s="394" t="s">
        <v>385</v>
      </c>
      <c r="B26" s="395"/>
      <c r="C26" s="182">
        <f>C13+SUM(C16:C25)</f>
        <v>569</v>
      </c>
      <c r="D26" s="182">
        <f>D13+SUM(D16:D25)</f>
        <v>499</v>
      </c>
      <c r="E26" s="182">
        <f>E13+E16+E17+E18+E19+E20+E22+E23+E24+E25</f>
        <v>273</v>
      </c>
      <c r="F26" s="182">
        <f>F13+F16+F17+F18+F19+F20+F22+F23+F24</f>
        <v>198</v>
      </c>
      <c r="G26" s="405">
        <f>G13+G16+G17+G18+G19+G20+G22+G23+G24+G25</f>
        <v>203</v>
      </c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</row>
    <row r="27" spans="1:20" x14ac:dyDescent="0.3">
      <c r="A27" s="392"/>
      <c r="B27" s="162"/>
      <c r="C27" s="172"/>
      <c r="D27" s="172"/>
      <c r="E27" s="172"/>
      <c r="F27" s="172"/>
      <c r="G27" s="393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</row>
    <row r="28" spans="1:20" x14ac:dyDescent="0.3">
      <c r="A28" s="392" t="s">
        <v>430</v>
      </c>
      <c r="B28" s="162"/>
      <c r="C28" s="172">
        <f>'Reorganised Statements'!D28+(305-307)</f>
        <v>306</v>
      </c>
      <c r="D28" s="172">
        <f>'Reorganised Statements'!E28+(357-305)</f>
        <v>393</v>
      </c>
      <c r="E28" s="172">
        <f>'Reorganised Statements'!F28+(295-357)</f>
        <v>239</v>
      </c>
      <c r="F28" s="172">
        <f>'Reorganised Statements'!G28+(274-295)</f>
        <v>243</v>
      </c>
      <c r="G28" s="393">
        <f>'Reorganised Statements'!H28+(286-274)</f>
        <v>289</v>
      </c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</row>
    <row r="29" spans="1:20" x14ac:dyDescent="0.3">
      <c r="A29" s="392" t="s">
        <v>113</v>
      </c>
      <c r="B29" s="162"/>
      <c r="C29" s="172">
        <f>'Reorganised Statements'!D29-(327-363)</f>
        <v>-296</v>
      </c>
      <c r="D29" s="172">
        <f>'Reorganised Statements'!E29-(359-327)</f>
        <v>-397</v>
      </c>
      <c r="E29" s="172">
        <f>'Reorganised Statements'!F29-(315-359)</f>
        <v>-275</v>
      </c>
      <c r="F29" s="172">
        <f>'Reorganised Statements'!G29-(311-315)</f>
        <v>-310</v>
      </c>
      <c r="G29" s="393">
        <f>'Reorganised Statements'!H29-(300-311)</f>
        <v>-296</v>
      </c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</row>
    <row r="30" spans="1:20" x14ac:dyDescent="0.3">
      <c r="A30" s="392" t="s">
        <v>380</v>
      </c>
      <c r="B30" s="162"/>
      <c r="C30" s="172">
        <f>'Reorganised Statements'!D30-(604-498)</f>
        <v>-682</v>
      </c>
      <c r="D30" s="172">
        <f>'Reorganised Statements'!E30-(666-604)</f>
        <v>-733</v>
      </c>
      <c r="E30" s="172">
        <f>'Reorganised Statements'!F30-(626-666)</f>
        <v>-585</v>
      </c>
      <c r="F30" s="172">
        <f>'Reorganised Statements'!G30-(637-626)</f>
        <v>-653</v>
      </c>
      <c r="G30" s="393">
        <f>'Reorganised Statements'!H30-(668-637)</f>
        <v>-707</v>
      </c>
    </row>
    <row r="31" spans="1:20" x14ac:dyDescent="0.3">
      <c r="A31" s="406" t="s">
        <v>386</v>
      </c>
      <c r="B31" s="407"/>
      <c r="C31" s="180">
        <f>C8+C26+SUM(C28:C30)</f>
        <v>5929</v>
      </c>
      <c r="D31" s="180">
        <f>D8+D26+D28+D29+D30</f>
        <v>7125</v>
      </c>
      <c r="E31" s="180">
        <f>E8+E26+E28+E29+E30</f>
        <v>5905</v>
      </c>
      <c r="F31" s="180">
        <f>F8+F26+F28+F29+F30</f>
        <v>6937</v>
      </c>
      <c r="G31" s="408">
        <f>G8+G26+G28+G29+G30</f>
        <v>7152</v>
      </c>
    </row>
    <row r="32" spans="1:20" x14ac:dyDescent="0.3">
      <c r="A32" s="392"/>
      <c r="B32" s="162"/>
      <c r="C32" s="172"/>
      <c r="D32" s="164"/>
      <c r="E32" s="164"/>
      <c r="F32" s="164"/>
      <c r="G32" s="393"/>
    </row>
    <row r="33" spans="1:22" x14ac:dyDescent="0.3">
      <c r="A33" s="392"/>
      <c r="B33" s="162"/>
      <c r="C33" s="172"/>
      <c r="D33" s="164"/>
      <c r="E33" s="164"/>
      <c r="F33" s="164"/>
      <c r="G33" s="393"/>
    </row>
    <row r="34" spans="1:22" x14ac:dyDescent="0.3">
      <c r="A34" s="392"/>
      <c r="B34" s="162"/>
      <c r="C34" s="172"/>
      <c r="D34" s="164"/>
      <c r="E34" s="164"/>
      <c r="F34" s="164"/>
      <c r="G34" s="393"/>
    </row>
    <row r="35" spans="1:22" x14ac:dyDescent="0.3">
      <c r="A35" s="409" t="s">
        <v>394</v>
      </c>
      <c r="B35" s="410"/>
      <c r="C35" s="182">
        <f>'Reorganised Statements'!D35-(3132-3307)</f>
        <v>-3084</v>
      </c>
      <c r="D35" s="182">
        <f>'Reorganised Statements'!E35-(3462-3132)</f>
        <v>-3609</v>
      </c>
      <c r="E35" s="182">
        <f>'Reorganised Statements'!F35-(3191-3462)</f>
        <v>-2742</v>
      </c>
      <c r="F35" s="182">
        <f>'Reorganised Statements'!G35-(3614-3191)</f>
        <v>-3946</v>
      </c>
      <c r="G35" s="396">
        <f>'Reorganised Statements'!H35-(3746-3614)</f>
        <v>-3783</v>
      </c>
    </row>
    <row r="36" spans="1:22" x14ac:dyDescent="0.3">
      <c r="A36" s="392"/>
      <c r="B36" s="162"/>
      <c r="C36" s="172"/>
      <c r="D36" s="172"/>
      <c r="E36" s="172"/>
      <c r="F36" s="172"/>
      <c r="G36" s="393"/>
    </row>
    <row r="37" spans="1:22" x14ac:dyDescent="0.3">
      <c r="A37" s="392" t="s">
        <v>105</v>
      </c>
      <c r="B37" s="162"/>
      <c r="C37" s="172">
        <f>'Reorganised Statements'!D37-(3090-3938)</f>
        <v>-2241</v>
      </c>
      <c r="D37" s="172">
        <f>'Reorganised Statements'!E37-(3730-3090)</f>
        <v>-4076</v>
      </c>
      <c r="E37" s="172">
        <f>'Reorganised Statements'!F37-(3515-3730)</f>
        <v>-3286</v>
      </c>
      <c r="F37" s="172">
        <f>'Reorganised Statements'!G37-(3074-3515)</f>
        <v>-2543</v>
      </c>
      <c r="G37" s="393">
        <f>'Reorganised Statements'!H37-(3052-3074)</f>
        <v>-3285</v>
      </c>
    </row>
    <row r="38" spans="1:22" x14ac:dyDescent="0.3">
      <c r="A38" s="392" t="s">
        <v>150</v>
      </c>
      <c r="B38" s="162"/>
      <c r="C38" s="172">
        <f>'Reorganised Statements'!D38-(630-122)</f>
        <v>-1200</v>
      </c>
      <c r="D38" s="172">
        <f>'Reorganised Statements'!E38-(243-630)</f>
        <v>28</v>
      </c>
      <c r="E38" s="172">
        <f>'Reorganised Statements'!F38-(411-243)</f>
        <v>-605</v>
      </c>
      <c r="F38" s="172">
        <f>'Reorganised Statements'!G38-(667-411)</f>
        <v>-950</v>
      </c>
      <c r="G38" s="393">
        <f>'Reorganised Statements'!H38-(584-667)</f>
        <v>-221</v>
      </c>
    </row>
    <row r="39" spans="1:22" x14ac:dyDescent="0.3">
      <c r="A39" s="411" t="s">
        <v>393</v>
      </c>
      <c r="B39" s="412"/>
      <c r="C39" s="187">
        <f>C37+C38</f>
        <v>-3441</v>
      </c>
      <c r="D39" s="187">
        <f>D37+D38</f>
        <v>-4048</v>
      </c>
      <c r="E39" s="187">
        <f>E37+E38</f>
        <v>-3891</v>
      </c>
      <c r="F39" s="187">
        <f>F37+F38</f>
        <v>-3493</v>
      </c>
      <c r="G39" s="413">
        <f>G37+G38</f>
        <v>-3506</v>
      </c>
    </row>
    <row r="40" spans="1:22" x14ac:dyDescent="0.3">
      <c r="A40" s="402"/>
      <c r="B40" s="163"/>
      <c r="C40" s="172"/>
      <c r="D40" s="172"/>
      <c r="E40" s="172"/>
      <c r="F40" s="172"/>
      <c r="G40" s="414"/>
    </row>
    <row r="41" spans="1:22" x14ac:dyDescent="0.3">
      <c r="A41" s="392" t="s">
        <v>77</v>
      </c>
      <c r="B41" s="162"/>
      <c r="C41" s="172">
        <f>'Reorganised Statements'!D41+(559-599)</f>
        <v>596</v>
      </c>
      <c r="D41" s="172">
        <f>'Reorganised Statements'!E41+(689-559)</f>
        <v>532</v>
      </c>
      <c r="E41" s="172">
        <f>'Reorganised Statements'!F41+(726-689)</f>
        <v>728</v>
      </c>
      <c r="F41" s="172">
        <f>'Reorganised Statements'!G41+(604-726)</f>
        <v>502</v>
      </c>
      <c r="G41" s="393">
        <f>'Reorganised Statements'!H41+(307-604)</f>
        <v>137</v>
      </c>
    </row>
    <row r="42" spans="1:22" x14ac:dyDescent="0.3">
      <c r="A42" s="394" t="s">
        <v>387</v>
      </c>
      <c r="B42" s="395"/>
      <c r="C42" s="182">
        <f>C39+C41</f>
        <v>-2845</v>
      </c>
      <c r="D42" s="182">
        <f>D39+D41</f>
        <v>-3516</v>
      </c>
      <c r="E42" s="182">
        <f>E39+E41</f>
        <v>-3163</v>
      </c>
      <c r="F42" s="182">
        <f>F39+F41</f>
        <v>-2991</v>
      </c>
      <c r="G42" s="396">
        <f>G39+G41</f>
        <v>-3369</v>
      </c>
    </row>
    <row r="43" spans="1:22" x14ac:dyDescent="0.3">
      <c r="A43" s="392"/>
      <c r="B43" s="162"/>
      <c r="C43" s="172"/>
      <c r="D43" s="172"/>
      <c r="E43" s="172"/>
      <c r="F43" s="172"/>
      <c r="G43" s="393"/>
      <c r="O43" s="283"/>
      <c r="P43" s="283"/>
      <c r="Q43" s="283"/>
    </row>
    <row r="44" spans="1:22" ht="15" thickBot="1" x14ac:dyDescent="0.35">
      <c r="A44" s="415" t="s">
        <v>386</v>
      </c>
      <c r="B44" s="416"/>
      <c r="C44" s="417">
        <f>C35+C42</f>
        <v>-5929</v>
      </c>
      <c r="D44" s="417">
        <f>D35+D42</f>
        <v>-7125</v>
      </c>
      <c r="E44" s="417">
        <f>E35+E42</f>
        <v>-5905</v>
      </c>
      <c r="F44" s="417">
        <f>F35+F42</f>
        <v>-6937</v>
      </c>
      <c r="G44" s="418">
        <f>G35+G42</f>
        <v>-7152</v>
      </c>
      <c r="L44" s="283"/>
      <c r="M44" s="283"/>
      <c r="O44" s="283"/>
      <c r="P44" s="283"/>
      <c r="Q44" s="283"/>
    </row>
    <row r="45" spans="1:22" x14ac:dyDescent="0.3">
      <c r="L45" s="283"/>
      <c r="M45" s="283"/>
      <c r="O45" s="283"/>
      <c r="P45" s="283"/>
      <c r="Q45" s="283"/>
    </row>
    <row r="46" spans="1:22" x14ac:dyDescent="0.3">
      <c r="A46" s="387" t="s">
        <v>518</v>
      </c>
      <c r="B46" s="387"/>
      <c r="C46" s="387" t="str">
        <f t="shared" ref="C46:F46" si="0">IF(C31+C44=0,"Correct","Incorrect")</f>
        <v>Correct</v>
      </c>
      <c r="D46" s="387" t="str">
        <f t="shared" si="0"/>
        <v>Correct</v>
      </c>
      <c r="E46" s="387" t="str">
        <f t="shared" si="0"/>
        <v>Correct</v>
      </c>
      <c r="F46" s="387" t="str">
        <f t="shared" si="0"/>
        <v>Correct</v>
      </c>
      <c r="G46" s="387" t="str">
        <f>IF(G31+G44=0,"Correct","Incorrect")</f>
        <v>Correct</v>
      </c>
      <c r="L46" s="283"/>
      <c r="M46" s="283"/>
      <c r="O46" s="283"/>
      <c r="P46" s="283"/>
      <c r="Q46" s="283"/>
    </row>
    <row r="47" spans="1:22" ht="15" thickBot="1" x14ac:dyDescent="0.35">
      <c r="L47" s="283"/>
      <c r="M47" s="283"/>
      <c r="O47" s="283"/>
      <c r="P47" s="283"/>
      <c r="Q47" s="283"/>
    </row>
    <row r="48" spans="1:22" ht="24.6" x14ac:dyDescent="0.5">
      <c r="A48" s="419" t="s">
        <v>502</v>
      </c>
      <c r="B48" s="420"/>
      <c r="C48" s="420"/>
      <c r="D48" s="420"/>
      <c r="E48" s="420"/>
      <c r="F48" s="420"/>
      <c r="G48" s="421"/>
      <c r="H48" s="326"/>
      <c r="I48" s="326"/>
      <c r="J48" s="326"/>
      <c r="K48" s="326"/>
      <c r="L48" s="326"/>
      <c r="M48" s="326"/>
      <c r="N48" s="326"/>
      <c r="O48" s="326"/>
      <c r="P48" s="326"/>
      <c r="Q48" s="326"/>
      <c r="R48" s="326"/>
      <c r="S48" s="326"/>
      <c r="T48" s="326"/>
      <c r="U48" s="326"/>
      <c r="V48" s="326"/>
    </row>
    <row r="49" spans="1:22" x14ac:dyDescent="0.3">
      <c r="A49" s="422"/>
      <c r="B49" s="129"/>
      <c r="C49" s="446" t="s">
        <v>163</v>
      </c>
      <c r="D49" s="446"/>
      <c r="E49" s="446"/>
      <c r="F49" s="446"/>
      <c r="G49" s="452"/>
      <c r="H49" s="326"/>
      <c r="I49" s="326"/>
      <c r="J49" s="326"/>
      <c r="K49" s="326"/>
      <c r="L49" s="326"/>
      <c r="M49" s="326"/>
      <c r="N49" s="326"/>
      <c r="O49" s="326"/>
      <c r="P49" s="326"/>
      <c r="Q49" s="326"/>
      <c r="R49" s="326"/>
      <c r="S49" s="326"/>
      <c r="T49" s="326"/>
      <c r="U49" s="326"/>
      <c r="V49" s="326"/>
    </row>
    <row r="50" spans="1:22" x14ac:dyDescent="0.3">
      <c r="A50" s="423"/>
      <c r="B50" s="143" t="s">
        <v>1</v>
      </c>
      <c r="C50" s="130" t="s">
        <v>505</v>
      </c>
      <c r="D50" s="382" t="s">
        <v>506</v>
      </c>
      <c r="E50" s="382" t="s">
        <v>507</v>
      </c>
      <c r="F50" s="382" t="s">
        <v>508</v>
      </c>
      <c r="G50" s="424" t="s">
        <v>509</v>
      </c>
      <c r="H50" s="326"/>
      <c r="I50" s="326"/>
      <c r="J50" s="326"/>
      <c r="K50" s="326"/>
      <c r="L50" s="326"/>
      <c r="M50" s="326"/>
      <c r="N50" s="326"/>
      <c r="O50" s="326"/>
      <c r="P50" s="326"/>
      <c r="Q50" s="326"/>
      <c r="R50" s="326"/>
      <c r="S50" s="326"/>
      <c r="T50" s="326"/>
      <c r="U50" s="326"/>
      <c r="V50" s="326"/>
    </row>
    <row r="51" spans="1:22" x14ac:dyDescent="0.3">
      <c r="A51" s="425"/>
      <c r="B51" s="202"/>
      <c r="C51" s="210"/>
      <c r="D51" s="211"/>
      <c r="E51" s="211"/>
      <c r="F51" s="211"/>
      <c r="G51" s="426"/>
      <c r="H51" s="326"/>
      <c r="I51" s="326"/>
      <c r="J51" s="326"/>
      <c r="K51" s="326"/>
      <c r="L51" s="326"/>
      <c r="M51" s="326"/>
      <c r="N51" s="326"/>
      <c r="O51" s="326"/>
      <c r="P51" s="326"/>
      <c r="Q51" s="326"/>
      <c r="R51" s="326"/>
      <c r="S51" s="326"/>
      <c r="T51" s="326"/>
      <c r="U51" s="326"/>
      <c r="V51" s="326"/>
    </row>
    <row r="52" spans="1:22" x14ac:dyDescent="0.3">
      <c r="A52" s="391" t="s">
        <v>399</v>
      </c>
      <c r="B52" s="202"/>
      <c r="C52" s="171">
        <v>4829</v>
      </c>
      <c r="D52" s="166">
        <v>5195</v>
      </c>
      <c r="E52" s="166">
        <v>5986</v>
      </c>
      <c r="F52" s="166">
        <v>6792</v>
      </c>
      <c r="G52" s="401">
        <v>6921</v>
      </c>
      <c r="H52" s="386"/>
      <c r="I52" s="326"/>
      <c r="J52" s="386"/>
      <c r="K52" s="386"/>
      <c r="L52" s="326"/>
      <c r="M52" s="386"/>
      <c r="N52" s="386"/>
      <c r="O52" s="326"/>
      <c r="P52" s="386"/>
      <c r="Q52" s="386"/>
      <c r="R52" s="326"/>
      <c r="S52" s="386"/>
      <c r="T52" s="386"/>
      <c r="U52" s="326"/>
      <c r="V52" s="326"/>
    </row>
    <row r="53" spans="1:22" x14ac:dyDescent="0.3">
      <c r="A53" s="213" t="s">
        <v>503</v>
      </c>
      <c r="B53" s="202"/>
      <c r="C53" s="172">
        <v>-3176</v>
      </c>
      <c r="D53" s="172">
        <v>-3354</v>
      </c>
      <c r="E53" s="164">
        <v>-4132</v>
      </c>
      <c r="F53" s="164">
        <v>-4964</v>
      </c>
      <c r="G53" s="393">
        <v>-4981</v>
      </c>
      <c r="H53" s="326"/>
      <c r="I53" s="326"/>
      <c r="J53" s="326"/>
      <c r="K53" s="326"/>
      <c r="L53" s="326"/>
      <c r="M53" s="326"/>
      <c r="N53" s="326"/>
      <c r="O53" s="326"/>
      <c r="P53" s="326"/>
      <c r="Q53" s="326"/>
      <c r="R53" s="326"/>
      <c r="S53" s="326"/>
      <c r="T53" s="326"/>
      <c r="U53" s="326"/>
      <c r="V53" s="326"/>
    </row>
    <row r="54" spans="1:22" x14ac:dyDescent="0.3">
      <c r="A54" s="213" t="s">
        <v>504</v>
      </c>
      <c r="B54" s="202"/>
      <c r="C54" s="172">
        <v>-628</v>
      </c>
      <c r="D54" s="172">
        <v>-600</v>
      </c>
      <c r="E54" s="164">
        <v>-640</v>
      </c>
      <c r="F54" s="164">
        <v>-677</v>
      </c>
      <c r="G54" s="393">
        <v>-703</v>
      </c>
      <c r="H54" s="326"/>
      <c r="I54" s="326"/>
      <c r="J54" s="326"/>
      <c r="K54" s="326"/>
      <c r="L54" s="326"/>
      <c r="M54" s="326"/>
      <c r="N54" s="326"/>
      <c r="O54" s="326"/>
      <c r="P54" s="326"/>
      <c r="Q54" s="326"/>
      <c r="R54" s="326"/>
      <c r="S54" s="326"/>
      <c r="T54" s="326"/>
      <c r="U54" s="326"/>
      <c r="V54" s="326"/>
    </row>
    <row r="55" spans="1:22" x14ac:dyDescent="0.3">
      <c r="A55" s="391"/>
      <c r="B55" s="202"/>
      <c r="C55" s="172"/>
      <c r="D55" s="172"/>
      <c r="E55" s="164"/>
      <c r="F55" s="164"/>
      <c r="G55" s="393"/>
      <c r="H55" s="326"/>
      <c r="I55" s="326"/>
      <c r="J55" s="326"/>
      <c r="K55" s="326"/>
      <c r="L55" s="326"/>
      <c r="M55" s="326"/>
      <c r="N55" s="326"/>
      <c r="O55" s="326"/>
      <c r="P55" s="326"/>
      <c r="Q55" s="326"/>
      <c r="R55" s="326"/>
      <c r="S55" s="326"/>
      <c r="T55" s="326"/>
      <c r="U55" s="326"/>
      <c r="V55" s="326"/>
    </row>
    <row r="56" spans="1:22" x14ac:dyDescent="0.3">
      <c r="A56" s="427" t="s">
        <v>324</v>
      </c>
      <c r="B56" s="207"/>
      <c r="C56" s="167">
        <f>C52+C54+C53</f>
        <v>1025</v>
      </c>
      <c r="D56" s="167">
        <f>D52+D54+D53</f>
        <v>1241</v>
      </c>
      <c r="E56" s="167">
        <f>E52+E54+E53</f>
        <v>1214</v>
      </c>
      <c r="F56" s="167">
        <f>F52+F53+F54</f>
        <v>1151</v>
      </c>
      <c r="G56" s="396">
        <f>G52+G53+G54</f>
        <v>1237</v>
      </c>
      <c r="H56" s="326"/>
      <c r="I56" s="326"/>
      <c r="J56" s="326"/>
      <c r="K56" s="326"/>
      <c r="L56" s="326"/>
      <c r="M56" s="326"/>
      <c r="N56" s="326"/>
      <c r="O56" s="326"/>
      <c r="P56" s="326"/>
      <c r="Q56" s="326"/>
      <c r="R56" s="326"/>
      <c r="S56" s="326"/>
      <c r="T56" s="326"/>
      <c r="U56" s="326"/>
      <c r="V56" s="326"/>
    </row>
    <row r="57" spans="1:22" x14ac:dyDescent="0.3">
      <c r="A57" s="213" t="s">
        <v>510</v>
      </c>
      <c r="B57" s="202"/>
      <c r="C57" s="171">
        <v>-842</v>
      </c>
      <c r="D57" s="172">
        <v>-711</v>
      </c>
      <c r="E57" s="166">
        <v>-500</v>
      </c>
      <c r="F57" s="166">
        <v>-653</v>
      </c>
      <c r="G57" s="393">
        <v>-551</v>
      </c>
      <c r="H57" s="326"/>
      <c r="I57" s="326"/>
      <c r="J57" s="326"/>
      <c r="K57" s="326"/>
      <c r="L57" s="326"/>
      <c r="M57" s="326"/>
      <c r="N57" s="326"/>
      <c r="O57" s="326"/>
      <c r="P57" s="326"/>
      <c r="Q57" s="326"/>
      <c r="R57" s="326"/>
      <c r="S57" s="326"/>
      <c r="T57" s="326"/>
      <c r="U57" s="326"/>
      <c r="V57" s="326"/>
    </row>
    <row r="58" spans="1:22" x14ac:dyDescent="0.3">
      <c r="A58" s="391"/>
      <c r="B58" s="202"/>
      <c r="C58" s="171"/>
      <c r="D58" s="172"/>
      <c r="E58" s="166"/>
      <c r="F58" s="166"/>
      <c r="G58" s="401"/>
      <c r="H58" s="326"/>
      <c r="I58" s="326"/>
      <c r="J58" s="326"/>
      <c r="K58" s="326"/>
      <c r="L58" s="326"/>
      <c r="M58" s="326"/>
      <c r="N58" s="326"/>
      <c r="O58" s="326"/>
      <c r="P58" s="326"/>
      <c r="Q58" s="326"/>
      <c r="R58" s="326"/>
      <c r="S58" s="326"/>
      <c r="T58" s="326"/>
      <c r="U58" s="326"/>
      <c r="V58" s="326"/>
    </row>
    <row r="59" spans="1:22" x14ac:dyDescent="0.3">
      <c r="A59" s="427" t="s">
        <v>303</v>
      </c>
      <c r="B59" s="207"/>
      <c r="C59" s="167">
        <f>C56+C57</f>
        <v>183</v>
      </c>
      <c r="D59" s="167">
        <f>D56+D57</f>
        <v>530</v>
      </c>
      <c r="E59" s="167">
        <f>E56+E57</f>
        <v>714</v>
      </c>
      <c r="F59" s="167">
        <f>F56+F57</f>
        <v>498</v>
      </c>
      <c r="G59" s="396">
        <f>G56+G57</f>
        <v>686</v>
      </c>
      <c r="H59" s="326"/>
      <c r="I59" s="326"/>
      <c r="J59" s="326"/>
      <c r="K59" s="326"/>
      <c r="L59" s="326"/>
      <c r="M59" s="326"/>
      <c r="N59" s="326"/>
      <c r="O59" s="326"/>
      <c r="P59" s="326"/>
      <c r="Q59" s="326"/>
      <c r="R59" s="326"/>
      <c r="S59" s="326"/>
      <c r="T59" s="326"/>
      <c r="U59" s="326"/>
      <c r="V59" s="326"/>
    </row>
    <row r="60" spans="1:22" x14ac:dyDescent="0.3">
      <c r="A60" s="213" t="s">
        <v>511</v>
      </c>
      <c r="B60" s="202"/>
      <c r="C60" s="172">
        <v>51</v>
      </c>
      <c r="D60" s="172">
        <v>0</v>
      </c>
      <c r="E60" s="164">
        <v>0</v>
      </c>
      <c r="F60" s="164">
        <v>14</v>
      </c>
      <c r="G60" s="393">
        <v>4</v>
      </c>
      <c r="H60" s="326"/>
      <c r="I60" s="326"/>
      <c r="J60" s="326"/>
      <c r="K60" s="326"/>
      <c r="L60" s="326"/>
      <c r="M60" s="326"/>
      <c r="N60" s="326"/>
      <c r="O60" s="326"/>
      <c r="P60" s="326"/>
      <c r="Q60" s="326"/>
      <c r="R60" s="326"/>
      <c r="S60" s="326"/>
      <c r="T60" s="326"/>
      <c r="U60" s="326"/>
      <c r="V60" s="326"/>
    </row>
    <row r="61" spans="1:22" x14ac:dyDescent="0.3">
      <c r="A61" s="213" t="s">
        <v>499</v>
      </c>
      <c r="B61" s="381"/>
      <c r="C61" s="385">
        <v>-127</v>
      </c>
      <c r="D61" s="385">
        <v>-156</v>
      </c>
      <c r="E61" s="385">
        <v>-138</v>
      </c>
      <c r="F61" s="385">
        <v>-107</v>
      </c>
      <c r="G61" s="302">
        <v>-104</v>
      </c>
      <c r="H61" s="326"/>
      <c r="I61" s="326"/>
      <c r="J61" s="326"/>
      <c r="K61" s="326"/>
      <c r="L61" s="326"/>
      <c r="M61" s="326"/>
      <c r="N61" s="326"/>
      <c r="O61" s="326"/>
      <c r="P61" s="326"/>
      <c r="Q61" s="326"/>
      <c r="R61" s="326"/>
      <c r="S61" s="326"/>
      <c r="T61" s="326"/>
      <c r="U61" s="326"/>
      <c r="V61" s="326"/>
    </row>
    <row r="62" spans="1:22" x14ac:dyDescent="0.3">
      <c r="A62" s="428" t="s">
        <v>415</v>
      </c>
      <c r="B62" s="202"/>
      <c r="C62" s="277">
        <f>C60+C61</f>
        <v>-76</v>
      </c>
      <c r="D62" s="277">
        <f t="shared" ref="D62:G62" si="1">D60+D61</f>
        <v>-156</v>
      </c>
      <c r="E62" s="277">
        <f t="shared" si="1"/>
        <v>-138</v>
      </c>
      <c r="F62" s="277">
        <f t="shared" si="1"/>
        <v>-93</v>
      </c>
      <c r="G62" s="277">
        <f t="shared" si="1"/>
        <v>-100</v>
      </c>
      <c r="H62" s="326"/>
      <c r="I62" s="326"/>
      <c r="J62" s="326"/>
      <c r="K62" s="326"/>
      <c r="L62" s="326"/>
      <c r="M62" s="326"/>
      <c r="N62" s="326"/>
      <c r="O62" s="326"/>
      <c r="P62" s="326"/>
      <c r="Q62" s="326"/>
      <c r="R62" s="326"/>
      <c r="S62" s="326"/>
      <c r="T62" s="326"/>
      <c r="U62" s="326"/>
      <c r="V62" s="326"/>
    </row>
    <row r="63" spans="1:22" x14ac:dyDescent="0.3">
      <c r="A63" s="427" t="s">
        <v>304</v>
      </c>
      <c r="B63" s="207"/>
      <c r="C63" s="167">
        <f>C59+C60+C61</f>
        <v>107</v>
      </c>
      <c r="D63" s="167">
        <f>D59+D60+D61</f>
        <v>374</v>
      </c>
      <c r="E63" s="167">
        <f>E59+E60+E61</f>
        <v>576</v>
      </c>
      <c r="F63" s="167">
        <f>F59+F60+F61</f>
        <v>405</v>
      </c>
      <c r="G63" s="396">
        <f>G59+G60+G61</f>
        <v>586</v>
      </c>
      <c r="H63" s="326"/>
      <c r="I63" s="326"/>
      <c r="J63" s="326"/>
      <c r="K63" s="326"/>
      <c r="L63" s="326"/>
      <c r="M63" s="326"/>
      <c r="N63" s="326"/>
      <c r="O63" s="326"/>
      <c r="P63" s="326"/>
      <c r="Q63" s="326"/>
      <c r="R63" s="326"/>
      <c r="S63" s="326"/>
      <c r="T63" s="326"/>
      <c r="U63" s="326"/>
      <c r="V63" s="326"/>
    </row>
    <row r="64" spans="1:22" x14ac:dyDescent="0.3">
      <c r="A64" s="429" t="s">
        <v>512</v>
      </c>
      <c r="B64" s="202"/>
      <c r="C64" s="277">
        <v>-125</v>
      </c>
      <c r="D64" s="277">
        <v>-148</v>
      </c>
      <c r="E64" s="208">
        <v>-197</v>
      </c>
      <c r="F64" s="208">
        <v>-133</v>
      </c>
      <c r="G64" s="430">
        <v>-188</v>
      </c>
      <c r="H64" s="326"/>
      <c r="I64" s="326"/>
      <c r="J64" s="326"/>
      <c r="K64" s="326"/>
      <c r="L64" s="326"/>
      <c r="M64" s="326"/>
      <c r="N64" s="326"/>
      <c r="O64" s="326"/>
      <c r="P64" s="326"/>
      <c r="Q64" s="326"/>
      <c r="R64" s="326"/>
      <c r="S64" s="326"/>
      <c r="T64" s="326"/>
      <c r="U64" s="326"/>
      <c r="V64" s="326"/>
    </row>
    <row r="65" spans="1:22" x14ac:dyDescent="0.3">
      <c r="A65" s="431" t="s">
        <v>500</v>
      </c>
      <c r="B65" s="383"/>
      <c r="C65" s="384">
        <f>C63+C64</f>
        <v>-18</v>
      </c>
      <c r="D65" s="384">
        <f>D63+D64</f>
        <v>226</v>
      </c>
      <c r="E65" s="384">
        <f>E63+E64</f>
        <v>379</v>
      </c>
      <c r="F65" s="384">
        <f>F63+F64</f>
        <v>272</v>
      </c>
      <c r="G65" s="432">
        <f>G63+G64</f>
        <v>398</v>
      </c>
      <c r="H65" s="326"/>
      <c r="I65" s="326"/>
      <c r="J65" s="326"/>
      <c r="K65" s="326"/>
      <c r="L65" s="326"/>
      <c r="M65" s="326"/>
      <c r="N65" s="326"/>
      <c r="O65" s="326"/>
      <c r="P65" s="326"/>
      <c r="Q65" s="326"/>
      <c r="R65" s="326"/>
      <c r="S65" s="326"/>
      <c r="T65" s="326"/>
      <c r="U65" s="326"/>
      <c r="V65" s="326"/>
    </row>
    <row r="66" spans="1:22" x14ac:dyDescent="0.3">
      <c r="A66" s="213" t="s">
        <v>501</v>
      </c>
      <c r="B66" s="202"/>
      <c r="C66" s="172">
        <v>0</v>
      </c>
      <c r="D66" s="172">
        <v>23</v>
      </c>
      <c r="E66" s="164">
        <v>-87</v>
      </c>
      <c r="F66" s="164">
        <v>19</v>
      </c>
      <c r="G66" s="393">
        <v>1</v>
      </c>
      <c r="H66" s="326"/>
      <c r="I66" s="326"/>
      <c r="J66" s="326"/>
      <c r="K66" s="326"/>
      <c r="L66" s="326"/>
      <c r="M66" s="326"/>
      <c r="N66" s="326"/>
      <c r="O66" s="326"/>
      <c r="P66" s="326"/>
      <c r="Q66" s="326"/>
      <c r="R66" s="326"/>
      <c r="S66" s="326"/>
      <c r="T66" s="326"/>
      <c r="U66" s="326"/>
      <c r="V66" s="326"/>
    </row>
    <row r="67" spans="1:22" x14ac:dyDescent="0.3">
      <c r="A67" s="213"/>
      <c r="B67" s="202"/>
      <c r="C67" s="172"/>
      <c r="D67" s="172"/>
      <c r="E67" s="164"/>
      <c r="F67" s="164"/>
      <c r="G67" s="393"/>
      <c r="H67" s="326"/>
      <c r="I67" s="326"/>
      <c r="J67" s="326"/>
      <c r="K67" s="326"/>
      <c r="L67" s="326"/>
      <c r="M67" s="326"/>
      <c r="N67" s="326"/>
      <c r="O67" s="326"/>
      <c r="P67" s="326"/>
      <c r="Q67" s="326"/>
      <c r="R67" s="326"/>
      <c r="S67" s="326"/>
      <c r="T67" s="326"/>
      <c r="U67" s="326"/>
      <c r="V67" s="326"/>
    </row>
    <row r="68" spans="1:22" x14ac:dyDescent="0.3">
      <c r="A68" s="427" t="s">
        <v>513</v>
      </c>
      <c r="B68" s="207"/>
      <c r="C68" s="185">
        <f>C65+C66</f>
        <v>-18</v>
      </c>
      <c r="D68" s="185">
        <f>D65+D66</f>
        <v>249</v>
      </c>
      <c r="E68" s="185">
        <f>E65+E66</f>
        <v>292</v>
      </c>
      <c r="F68" s="185">
        <f>F65+F66</f>
        <v>291</v>
      </c>
      <c r="G68" s="433">
        <f>G65+G66</f>
        <v>399</v>
      </c>
      <c r="H68" s="326"/>
      <c r="I68" s="326"/>
      <c r="J68" s="326"/>
      <c r="K68" s="326"/>
      <c r="L68" s="326"/>
      <c r="M68" s="326"/>
      <c r="N68" s="326"/>
      <c r="O68" s="326"/>
      <c r="P68" s="326"/>
      <c r="Q68" s="326"/>
      <c r="R68" s="326"/>
      <c r="S68" s="326"/>
      <c r="T68" s="326"/>
      <c r="U68" s="326"/>
      <c r="V68" s="326"/>
    </row>
    <row r="69" spans="1:22" x14ac:dyDescent="0.3">
      <c r="A69" s="213" t="s">
        <v>514</v>
      </c>
      <c r="B69" s="202"/>
      <c r="C69" s="172">
        <v>132</v>
      </c>
      <c r="D69" s="172">
        <v>5</v>
      </c>
      <c r="E69" s="164">
        <v>-6</v>
      </c>
      <c r="F69" s="164">
        <v>-16</v>
      </c>
      <c r="G69" s="393">
        <v>-2</v>
      </c>
      <c r="H69" s="326"/>
      <c r="I69" s="326"/>
      <c r="J69" s="326"/>
      <c r="K69" s="326"/>
      <c r="L69" s="326"/>
      <c r="M69" s="326"/>
      <c r="N69" s="326"/>
      <c r="O69" s="326"/>
      <c r="P69" s="326"/>
      <c r="Q69" s="326"/>
      <c r="R69" s="326"/>
      <c r="S69" s="326"/>
      <c r="T69" s="326"/>
      <c r="U69" s="326"/>
      <c r="V69" s="326"/>
    </row>
    <row r="70" spans="1:22" x14ac:dyDescent="0.3">
      <c r="A70" s="213"/>
      <c r="B70" s="202"/>
      <c r="C70" s="172"/>
      <c r="D70" s="172"/>
      <c r="E70" s="164"/>
      <c r="F70" s="164"/>
      <c r="G70" s="393"/>
    </row>
    <row r="71" spans="1:22" ht="15" thickBot="1" x14ac:dyDescent="0.35">
      <c r="A71" s="434" t="s">
        <v>392</v>
      </c>
      <c r="B71" s="435"/>
      <c r="C71" s="436">
        <f>C68+C69</f>
        <v>114</v>
      </c>
      <c r="D71" s="436">
        <f>D68+D69</f>
        <v>254</v>
      </c>
      <c r="E71" s="436">
        <f>E68+E69</f>
        <v>286</v>
      </c>
      <c r="F71" s="436">
        <f>F68+F69</f>
        <v>275</v>
      </c>
      <c r="G71" s="418">
        <f>G68+G69</f>
        <v>397</v>
      </c>
    </row>
    <row r="72" spans="1:22" x14ac:dyDescent="0.3">
      <c r="A72" s="55"/>
      <c r="B72" s="55"/>
      <c r="C72" s="55"/>
      <c r="D72" s="55"/>
      <c r="E72" s="55"/>
      <c r="F72" s="55"/>
      <c r="G72" s="55"/>
    </row>
    <row r="73" spans="1:22" x14ac:dyDescent="0.3">
      <c r="A73" s="55"/>
      <c r="B73" s="55"/>
      <c r="C73" s="55"/>
      <c r="D73" s="55"/>
      <c r="E73" s="55"/>
      <c r="F73" s="55"/>
      <c r="G73" s="55"/>
    </row>
    <row r="74" spans="1:22" x14ac:dyDescent="0.3">
      <c r="A74" s="55"/>
      <c r="B74" s="55"/>
      <c r="C74" s="55"/>
      <c r="D74" s="55"/>
      <c r="E74" s="55"/>
      <c r="F74" s="55"/>
      <c r="G74" s="55"/>
    </row>
    <row r="75" spans="1:22" x14ac:dyDescent="0.3">
      <c r="A75" s="55"/>
      <c r="B75" s="55"/>
      <c r="C75" s="55"/>
      <c r="D75" s="55"/>
      <c r="E75" s="55"/>
      <c r="F75" s="55"/>
      <c r="G75" s="55"/>
    </row>
    <row r="82" spans="1:22" ht="15" thickBot="1" x14ac:dyDescent="0.35"/>
    <row r="83" spans="1:22" ht="24.6" x14ac:dyDescent="0.5">
      <c r="A83" s="438" t="s">
        <v>402</v>
      </c>
      <c r="B83" s="290"/>
      <c r="C83" s="291"/>
      <c r="D83" s="291"/>
      <c r="E83" s="291"/>
      <c r="F83" s="292"/>
    </row>
    <row r="84" spans="1:22" x14ac:dyDescent="0.3">
      <c r="A84" s="293"/>
      <c r="B84" s="64"/>
      <c r="C84" s="447" t="s">
        <v>163</v>
      </c>
      <c r="D84" s="447"/>
      <c r="E84" s="447"/>
      <c r="F84" s="448"/>
    </row>
    <row r="85" spans="1:22" x14ac:dyDescent="0.3">
      <c r="A85" s="294"/>
      <c r="B85" s="143" t="s">
        <v>1</v>
      </c>
      <c r="C85" s="382" t="s">
        <v>506</v>
      </c>
      <c r="D85" s="382" t="s">
        <v>507</v>
      </c>
      <c r="E85" s="382" t="s">
        <v>508</v>
      </c>
      <c r="F85" s="424" t="s">
        <v>509</v>
      </c>
    </row>
    <row r="86" spans="1:22" x14ac:dyDescent="0.3">
      <c r="A86" s="213"/>
      <c r="B86" s="5"/>
      <c r="C86" s="31"/>
      <c r="D86" s="29"/>
      <c r="E86" s="29"/>
      <c r="F86" s="297"/>
    </row>
    <row r="87" spans="1:22" x14ac:dyDescent="0.3">
      <c r="A87" s="391" t="s">
        <v>303</v>
      </c>
      <c r="B87" s="5"/>
      <c r="C87" s="216">
        <v>530</v>
      </c>
      <c r="D87" s="217">
        <v>714</v>
      </c>
      <c r="E87" s="217">
        <v>498</v>
      </c>
      <c r="F87" s="298">
        <v>686</v>
      </c>
    </row>
    <row r="88" spans="1:22" x14ac:dyDescent="0.3">
      <c r="A88" s="213" t="s">
        <v>403</v>
      </c>
      <c r="B88" s="5"/>
      <c r="C88" s="218">
        <v>-148</v>
      </c>
      <c r="D88" s="219">
        <v>-197</v>
      </c>
      <c r="E88" s="219">
        <v>-133</v>
      </c>
      <c r="F88" s="299">
        <v>-188</v>
      </c>
    </row>
    <row r="89" spans="1:22" x14ac:dyDescent="0.3">
      <c r="A89" s="213" t="s">
        <v>432</v>
      </c>
      <c r="B89" s="5"/>
      <c r="C89" s="300">
        <f>-(D64/D63)*(D62)</f>
        <v>-61.732620320855617</v>
      </c>
      <c r="D89" s="300">
        <f t="shared" ref="D89:F89" si="2">-(E64/E63)*(E62)</f>
        <v>-47.197916666666664</v>
      </c>
      <c r="E89" s="300">
        <f t="shared" si="2"/>
        <v>-30.540740740740741</v>
      </c>
      <c r="F89" s="300">
        <f t="shared" si="2"/>
        <v>-32.081911262798634</v>
      </c>
    </row>
    <row r="90" spans="1:22" x14ac:dyDescent="0.3">
      <c r="A90" s="427" t="s">
        <v>404</v>
      </c>
      <c r="B90" s="25"/>
      <c r="C90" s="301">
        <f t="shared" ref="C90:E90" si="3">C87+C88+C89</f>
        <v>320.26737967914437</v>
      </c>
      <c r="D90" s="301">
        <f t="shared" si="3"/>
        <v>469.80208333333331</v>
      </c>
      <c r="E90" s="301">
        <f t="shared" si="3"/>
        <v>334.45925925925928</v>
      </c>
      <c r="F90" s="301">
        <f>F87+F88+F89</f>
        <v>465.91808873720134</v>
      </c>
    </row>
    <row r="91" spans="1:22" x14ac:dyDescent="0.3">
      <c r="A91" s="213"/>
      <c r="B91" s="5"/>
      <c r="C91" s="218"/>
      <c r="D91" s="219"/>
      <c r="E91" s="219"/>
      <c r="F91" s="299"/>
    </row>
    <row r="92" spans="1:22" x14ac:dyDescent="0.3">
      <c r="A92" s="213" t="s">
        <v>426</v>
      </c>
      <c r="B92" s="5"/>
      <c r="C92" s="218">
        <f>C10-D10</f>
        <v>-77</v>
      </c>
      <c r="D92" s="218">
        <f t="shared" ref="D92:F92" si="4">D10-E10</f>
        <v>70</v>
      </c>
      <c r="E92" s="218">
        <f t="shared" si="4"/>
        <v>-117</v>
      </c>
      <c r="F92" s="218">
        <f t="shared" si="4"/>
        <v>57</v>
      </c>
      <c r="G92" s="126"/>
      <c r="H92" s="126"/>
      <c r="I92" s="126"/>
      <c r="J92" s="126"/>
      <c r="K92" s="126"/>
      <c r="L92" s="126"/>
      <c r="M92" s="126"/>
      <c r="N92" s="126"/>
      <c r="O92" s="126"/>
      <c r="P92" s="126"/>
      <c r="Q92" s="126"/>
      <c r="R92" s="126"/>
      <c r="S92" s="126"/>
      <c r="T92" s="126"/>
      <c r="U92" s="126"/>
    </row>
    <row r="93" spans="1:22" x14ac:dyDescent="0.3">
      <c r="A93" s="213" t="s">
        <v>405</v>
      </c>
      <c r="B93" s="5"/>
      <c r="C93" s="218">
        <f>C11-D11</f>
        <v>-791</v>
      </c>
      <c r="D93" s="218">
        <f t="shared" ref="D93:F93" si="5">D11-E11</f>
        <v>533</v>
      </c>
      <c r="E93" s="218">
        <f t="shared" si="5"/>
        <v>-413</v>
      </c>
      <c r="F93" s="218">
        <f t="shared" si="5"/>
        <v>201</v>
      </c>
      <c r="G93" s="326"/>
      <c r="H93" s="326"/>
      <c r="I93" s="326"/>
      <c r="J93" s="326"/>
      <c r="K93" s="326"/>
      <c r="L93" s="326"/>
      <c r="M93" s="326"/>
      <c r="N93" s="326"/>
      <c r="O93" s="326"/>
      <c r="P93" s="326"/>
      <c r="Q93" s="326"/>
      <c r="R93" s="326"/>
      <c r="S93" s="326"/>
      <c r="T93" s="326"/>
      <c r="U93" s="326"/>
      <c r="V93" s="283"/>
    </row>
    <row r="94" spans="1:22" x14ac:dyDescent="0.3">
      <c r="A94" s="213" t="s">
        <v>425</v>
      </c>
      <c r="B94" s="5"/>
      <c r="C94" s="218">
        <f>C12-D12</f>
        <v>421</v>
      </c>
      <c r="D94" s="218">
        <f t="shared" ref="D94:F94" si="6">D12-E12</f>
        <v>-143</v>
      </c>
      <c r="E94" s="218">
        <f t="shared" si="6"/>
        <v>204</v>
      </c>
      <c r="F94" s="218">
        <f t="shared" si="6"/>
        <v>-101</v>
      </c>
      <c r="G94" s="326"/>
      <c r="H94" s="326"/>
      <c r="I94" s="326"/>
      <c r="J94" s="326"/>
      <c r="K94" s="326"/>
      <c r="L94" s="326"/>
      <c r="M94" s="326"/>
      <c r="N94" s="326"/>
      <c r="O94" s="326"/>
      <c r="P94" s="326"/>
      <c r="Q94" s="326"/>
      <c r="R94" s="326"/>
      <c r="S94" s="326"/>
      <c r="T94" s="326"/>
      <c r="U94" s="326"/>
      <c r="V94" s="283"/>
    </row>
    <row r="95" spans="1:22" x14ac:dyDescent="0.3">
      <c r="A95" s="427" t="s">
        <v>427</v>
      </c>
      <c r="B95" s="25"/>
      <c r="C95" s="220">
        <f>C92+C93+C94</f>
        <v>-447</v>
      </c>
      <c r="D95" s="220">
        <f t="shared" ref="D95:F95" si="7">D92+D93+D94</f>
        <v>460</v>
      </c>
      <c r="E95" s="220">
        <f t="shared" si="7"/>
        <v>-326</v>
      </c>
      <c r="F95" s="220">
        <f t="shared" si="7"/>
        <v>157</v>
      </c>
      <c r="G95" s="326"/>
      <c r="H95" s="326"/>
      <c r="I95" s="326"/>
      <c r="J95" s="326"/>
      <c r="K95" s="326"/>
      <c r="L95" s="326"/>
      <c r="M95" s="326"/>
      <c r="N95" s="326"/>
      <c r="O95" s="326"/>
      <c r="P95" s="326"/>
      <c r="Q95" s="326"/>
      <c r="R95" s="326"/>
      <c r="S95" s="326"/>
      <c r="T95" s="326"/>
      <c r="U95" s="326"/>
      <c r="V95" s="283"/>
    </row>
    <row r="96" spans="1:22" x14ac:dyDescent="0.3">
      <c r="A96" s="213"/>
      <c r="B96" s="5"/>
      <c r="C96" s="218"/>
      <c r="D96" s="219"/>
      <c r="E96" s="219"/>
      <c r="F96" s="299"/>
      <c r="G96" s="437"/>
      <c r="H96" s="386"/>
      <c r="I96" s="326"/>
      <c r="J96" s="386"/>
      <c r="K96" s="386"/>
      <c r="L96" s="326"/>
      <c r="M96" s="386"/>
      <c r="N96" s="386"/>
      <c r="O96" s="326"/>
      <c r="P96" s="386"/>
      <c r="Q96" s="386"/>
      <c r="R96" s="326"/>
      <c r="S96" s="386"/>
      <c r="T96" s="386"/>
      <c r="U96" s="326"/>
      <c r="V96" s="283"/>
    </row>
    <row r="97" spans="1:22" x14ac:dyDescent="0.3">
      <c r="A97" s="213" t="s">
        <v>406</v>
      </c>
      <c r="B97" s="5"/>
      <c r="C97" s="218">
        <f>SUM(C16:C20)-SUM(D16:D20)</f>
        <v>226</v>
      </c>
      <c r="D97" s="218">
        <f t="shared" ref="D97:F97" si="8">SUM(D16:D20)-SUM(E16:E20)</f>
        <v>62</v>
      </c>
      <c r="E97" s="218">
        <f t="shared" si="8"/>
        <v>-54</v>
      </c>
      <c r="F97" s="218">
        <f t="shared" si="8"/>
        <v>-536</v>
      </c>
      <c r="G97" s="326"/>
      <c r="H97" s="326"/>
      <c r="I97" s="326"/>
      <c r="J97" s="326"/>
      <c r="K97" s="326"/>
      <c r="L97" s="326"/>
      <c r="M97" s="326"/>
      <c r="N97" s="326"/>
      <c r="O97" s="326"/>
      <c r="P97" s="326"/>
      <c r="Q97" s="326"/>
      <c r="R97" s="326"/>
      <c r="S97" s="326"/>
      <c r="T97" s="326"/>
      <c r="U97" s="326"/>
      <c r="V97" s="283"/>
    </row>
    <row r="98" spans="1:22" x14ac:dyDescent="0.3">
      <c r="A98" s="213" t="s">
        <v>407</v>
      </c>
      <c r="B98" s="5"/>
      <c r="C98" s="218">
        <f>SUM(C22:C25)-SUM(D22:D25)</f>
        <v>291</v>
      </c>
      <c r="D98" s="218">
        <f t="shared" ref="D98:F98" si="9">SUM(D22:D25)-SUM(E22:E25)</f>
        <v>-296</v>
      </c>
      <c r="E98" s="218">
        <f t="shared" si="9"/>
        <v>455</v>
      </c>
      <c r="F98" s="218">
        <f t="shared" si="9"/>
        <v>374</v>
      </c>
      <c r="G98" s="326"/>
      <c r="H98" s="326"/>
      <c r="I98" s="326"/>
      <c r="J98" s="326"/>
      <c r="K98" s="326"/>
      <c r="L98" s="326"/>
      <c r="M98" s="326"/>
      <c r="N98" s="326"/>
      <c r="O98" s="326"/>
      <c r="P98" s="326"/>
      <c r="Q98" s="326"/>
      <c r="R98" s="326"/>
      <c r="S98" s="326"/>
      <c r="T98" s="326"/>
      <c r="U98" s="326"/>
      <c r="V98" s="283"/>
    </row>
    <row r="99" spans="1:22" x14ac:dyDescent="0.3">
      <c r="A99" s="427" t="s">
        <v>428</v>
      </c>
      <c r="B99" s="25"/>
      <c r="C99" s="220">
        <f>C95+C97+C98</f>
        <v>70</v>
      </c>
      <c r="D99" s="220">
        <f t="shared" ref="D99:F99" si="10">D95+D97+D98</f>
        <v>226</v>
      </c>
      <c r="E99" s="220">
        <f t="shared" si="10"/>
        <v>75</v>
      </c>
      <c r="F99" s="220">
        <f t="shared" si="10"/>
        <v>-5</v>
      </c>
      <c r="G99" s="326"/>
      <c r="H99" s="326"/>
      <c r="I99" s="326"/>
      <c r="J99" s="326"/>
      <c r="K99" s="326"/>
      <c r="L99" s="326"/>
      <c r="M99" s="326"/>
      <c r="N99" s="326"/>
      <c r="O99" s="326"/>
      <c r="P99" s="326"/>
      <c r="Q99" s="326"/>
      <c r="R99" s="326"/>
      <c r="S99" s="326"/>
      <c r="T99" s="326"/>
      <c r="U99" s="326"/>
      <c r="V99" s="283"/>
    </row>
    <row r="100" spans="1:22" x14ac:dyDescent="0.3">
      <c r="A100" s="213"/>
      <c r="B100" s="5"/>
      <c r="C100" s="218"/>
      <c r="D100" s="219"/>
      <c r="E100" s="219"/>
      <c r="F100" s="299"/>
      <c r="G100" s="326"/>
      <c r="H100" s="326"/>
      <c r="I100" s="326"/>
      <c r="J100" s="326"/>
      <c r="K100" s="326"/>
      <c r="L100" s="326"/>
      <c r="M100" s="326"/>
      <c r="N100" s="326"/>
      <c r="O100" s="326"/>
      <c r="P100" s="326"/>
      <c r="Q100" s="326"/>
      <c r="R100" s="326"/>
      <c r="S100" s="326"/>
      <c r="T100" s="326"/>
      <c r="U100" s="326"/>
      <c r="V100" s="283"/>
    </row>
    <row r="101" spans="1:22" x14ac:dyDescent="0.3">
      <c r="A101" s="213" t="s">
        <v>408</v>
      </c>
      <c r="B101" s="5"/>
      <c r="C101" s="218">
        <f>C5+C6-D5-D6+D57</f>
        <v>-2046</v>
      </c>
      <c r="D101" s="218">
        <f t="shared" ref="D101:F101" si="11">D5+D6-E5-E6+E57</f>
        <v>552</v>
      </c>
      <c r="E101" s="218">
        <f t="shared" si="11"/>
        <v>-1947</v>
      </c>
      <c r="F101" s="218">
        <f t="shared" si="11"/>
        <v>-623</v>
      </c>
      <c r="G101" s="326"/>
      <c r="H101" s="326"/>
      <c r="I101" s="326"/>
      <c r="J101" s="326"/>
      <c r="K101" s="326"/>
      <c r="L101" s="326"/>
      <c r="M101" s="326"/>
      <c r="N101" s="326"/>
      <c r="O101" s="326"/>
      <c r="P101" s="326"/>
      <c r="Q101" s="326"/>
      <c r="R101" s="326"/>
      <c r="S101" s="326"/>
      <c r="T101" s="326"/>
      <c r="U101" s="326"/>
      <c r="V101" s="283"/>
    </row>
    <row r="102" spans="1:22" x14ac:dyDescent="0.3">
      <c r="A102" s="213" t="s">
        <v>409</v>
      </c>
      <c r="B102" s="5"/>
      <c r="C102" s="218">
        <f>-D57</f>
        <v>711</v>
      </c>
      <c r="D102" s="218">
        <f t="shared" ref="D102:F102" si="12">-E57</f>
        <v>500</v>
      </c>
      <c r="E102" s="218">
        <f t="shared" si="12"/>
        <v>653</v>
      </c>
      <c r="F102" s="218">
        <f t="shared" si="12"/>
        <v>551</v>
      </c>
      <c r="G102" s="326"/>
      <c r="H102" s="326"/>
      <c r="I102" s="326"/>
      <c r="J102" s="326"/>
      <c r="K102" s="326"/>
      <c r="L102" s="326"/>
      <c r="M102" s="326"/>
      <c r="N102" s="326"/>
      <c r="O102" s="326"/>
      <c r="P102" s="326"/>
      <c r="Q102" s="326"/>
      <c r="R102" s="326"/>
      <c r="S102" s="326"/>
      <c r="T102" s="326"/>
      <c r="U102" s="326"/>
      <c r="V102" s="283"/>
    </row>
    <row r="103" spans="1:22" x14ac:dyDescent="0.3">
      <c r="A103" s="213" t="s">
        <v>410</v>
      </c>
      <c r="B103" s="5"/>
      <c r="C103" s="218">
        <f>C30-D30</f>
        <v>51</v>
      </c>
      <c r="D103" s="218">
        <f t="shared" ref="D103:F103" si="13">D30-E30</f>
        <v>-148</v>
      </c>
      <c r="E103" s="218">
        <f t="shared" si="13"/>
        <v>68</v>
      </c>
      <c r="F103" s="218">
        <f t="shared" si="13"/>
        <v>54</v>
      </c>
      <c r="G103" s="326"/>
      <c r="H103" s="326"/>
      <c r="I103" s="326"/>
      <c r="J103" s="326"/>
      <c r="K103" s="326"/>
      <c r="L103" s="326"/>
      <c r="M103" s="326"/>
      <c r="N103" s="326"/>
      <c r="O103" s="326"/>
      <c r="P103" s="326"/>
      <c r="Q103" s="326"/>
      <c r="R103" s="326"/>
      <c r="S103" s="326"/>
      <c r="T103" s="326"/>
      <c r="U103" s="326"/>
      <c r="V103" s="283"/>
    </row>
    <row r="104" spans="1:22" x14ac:dyDescent="0.3">
      <c r="A104" s="213" t="s">
        <v>411</v>
      </c>
      <c r="B104" s="5"/>
      <c r="C104" s="218">
        <f>C29-D29</f>
        <v>101</v>
      </c>
      <c r="D104" s="218">
        <f t="shared" ref="D104:F104" si="14">D29-E29</f>
        <v>-122</v>
      </c>
      <c r="E104" s="218">
        <f t="shared" si="14"/>
        <v>35</v>
      </c>
      <c r="F104" s="218">
        <f t="shared" si="14"/>
        <v>-14</v>
      </c>
      <c r="G104" s="326"/>
      <c r="H104" s="326"/>
      <c r="I104" s="326"/>
      <c r="J104" s="326"/>
      <c r="K104" s="326"/>
      <c r="L104" s="326"/>
      <c r="M104" s="326"/>
      <c r="N104" s="326"/>
      <c r="O104" s="326"/>
      <c r="P104" s="326"/>
      <c r="Q104" s="326"/>
      <c r="R104" s="326"/>
      <c r="S104" s="326"/>
      <c r="T104" s="326"/>
      <c r="U104" s="326"/>
      <c r="V104" s="283"/>
    </row>
    <row r="105" spans="1:22" x14ac:dyDescent="0.3">
      <c r="A105" s="213" t="s">
        <v>424</v>
      </c>
      <c r="B105" s="5"/>
      <c r="C105" s="218">
        <f>C28-D28</f>
        <v>-87</v>
      </c>
      <c r="D105" s="218">
        <f t="shared" ref="D105:F105" si="15">D28-E28</f>
        <v>154</v>
      </c>
      <c r="E105" s="218">
        <f t="shared" si="15"/>
        <v>-4</v>
      </c>
      <c r="F105" s="218">
        <f t="shared" si="15"/>
        <v>-46</v>
      </c>
      <c r="G105" s="326"/>
      <c r="H105" s="326"/>
      <c r="I105" s="326"/>
      <c r="J105" s="326"/>
      <c r="K105" s="326"/>
      <c r="L105" s="326"/>
      <c r="M105" s="326"/>
      <c r="N105" s="326"/>
      <c r="O105" s="326"/>
      <c r="P105" s="326"/>
      <c r="Q105" s="326"/>
      <c r="R105" s="326"/>
      <c r="S105" s="326"/>
      <c r="T105" s="326"/>
      <c r="U105" s="326"/>
      <c r="V105" s="283"/>
    </row>
    <row r="106" spans="1:22" x14ac:dyDescent="0.3">
      <c r="A106" s="213" t="s">
        <v>412</v>
      </c>
      <c r="B106" s="5"/>
      <c r="C106" s="218">
        <f>'Trailing 12-months'!C69</f>
        <v>132</v>
      </c>
      <c r="D106" s="218">
        <f>'Trailing 12-months'!D69</f>
        <v>5</v>
      </c>
      <c r="E106" s="218">
        <f>'Trailing 12-months'!E69</f>
        <v>-6</v>
      </c>
      <c r="F106" s="218">
        <f>'Trailing 12-months'!F69</f>
        <v>-16</v>
      </c>
      <c r="G106" s="326"/>
      <c r="H106" s="326"/>
      <c r="I106" s="326"/>
      <c r="J106" s="326"/>
      <c r="K106" s="326"/>
      <c r="L106" s="326"/>
      <c r="M106" s="326"/>
      <c r="N106" s="326"/>
      <c r="O106" s="326"/>
      <c r="P106" s="326"/>
      <c r="Q106" s="326"/>
      <c r="R106" s="326"/>
      <c r="S106" s="326"/>
      <c r="T106" s="326"/>
      <c r="U106" s="326"/>
      <c r="V106" s="283"/>
    </row>
    <row r="107" spans="1:22" x14ac:dyDescent="0.3">
      <c r="A107" s="439" t="s">
        <v>413</v>
      </c>
      <c r="B107" s="20"/>
      <c r="C107" s="222">
        <f>C90+C99+SUM(C101:C106)</f>
        <v>-747.73262032085563</v>
      </c>
      <c r="D107" s="222">
        <f t="shared" ref="D107:F107" si="16">D90+D99+SUM(D101:D106)</f>
        <v>1636.8020833333333</v>
      </c>
      <c r="E107" s="222">
        <f t="shared" si="16"/>
        <v>-791.54074074074072</v>
      </c>
      <c r="F107" s="222">
        <f t="shared" si="16"/>
        <v>366.91808873720134</v>
      </c>
      <c r="G107" s="326"/>
      <c r="H107" s="326"/>
      <c r="I107" s="326"/>
      <c r="J107" s="326"/>
      <c r="K107" s="326"/>
      <c r="L107" s="326"/>
      <c r="M107" s="326"/>
      <c r="N107" s="326"/>
      <c r="O107" s="326"/>
      <c r="P107" s="326"/>
      <c r="Q107" s="326"/>
      <c r="R107" s="326"/>
      <c r="S107" s="326"/>
      <c r="T107" s="326"/>
      <c r="U107" s="326"/>
      <c r="V107" s="283"/>
    </row>
    <row r="108" spans="1:22" x14ac:dyDescent="0.3">
      <c r="A108" s="213" t="s">
        <v>414</v>
      </c>
      <c r="B108" s="5"/>
      <c r="C108" s="226"/>
      <c r="D108" s="226"/>
      <c r="E108" s="226"/>
      <c r="F108" s="304"/>
      <c r="G108" s="326"/>
      <c r="H108" s="326"/>
      <c r="I108" s="326"/>
      <c r="J108" s="326"/>
      <c r="K108" s="326"/>
      <c r="L108" s="326"/>
      <c r="M108" s="326"/>
      <c r="N108" s="326"/>
      <c r="O108" s="326"/>
      <c r="P108" s="326"/>
      <c r="Q108" s="326"/>
      <c r="R108" s="326"/>
      <c r="S108" s="326"/>
      <c r="T108" s="326"/>
      <c r="U108" s="326"/>
      <c r="V108" s="283"/>
    </row>
    <row r="109" spans="1:22" x14ac:dyDescent="0.3">
      <c r="A109" s="213"/>
      <c r="B109" s="5"/>
      <c r="C109" s="218"/>
      <c r="D109" s="219"/>
      <c r="E109" s="219"/>
      <c r="F109" s="299"/>
      <c r="G109" s="326"/>
      <c r="H109" s="326"/>
      <c r="I109" s="326"/>
      <c r="J109" s="326"/>
      <c r="K109" s="326"/>
      <c r="L109" s="326"/>
      <c r="M109" s="326"/>
      <c r="N109" s="326"/>
      <c r="O109" s="326"/>
      <c r="P109" s="326"/>
      <c r="Q109" s="326"/>
      <c r="R109" s="326"/>
      <c r="S109" s="326"/>
      <c r="T109" s="326"/>
      <c r="U109" s="326"/>
      <c r="V109" s="283"/>
    </row>
    <row r="110" spans="1:22" x14ac:dyDescent="0.3">
      <c r="A110" s="213" t="s">
        <v>415</v>
      </c>
      <c r="B110" s="5"/>
      <c r="C110" s="218">
        <f>C7-D7+D62</f>
        <v>-152</v>
      </c>
      <c r="D110" s="218">
        <f t="shared" ref="D110:F110" si="17">D7-E7+E62</f>
        <v>-80</v>
      </c>
      <c r="E110" s="218">
        <f t="shared" si="17"/>
        <v>-5</v>
      </c>
      <c r="F110" s="218">
        <f t="shared" si="17"/>
        <v>-232</v>
      </c>
      <c r="G110" s="326"/>
      <c r="H110" s="326"/>
      <c r="I110" s="326"/>
      <c r="J110" s="326"/>
      <c r="K110" s="326"/>
      <c r="L110" s="326"/>
      <c r="M110" s="326"/>
      <c r="N110" s="326"/>
      <c r="O110" s="326"/>
      <c r="P110" s="326"/>
      <c r="Q110" s="326"/>
      <c r="R110" s="326"/>
      <c r="S110" s="326"/>
      <c r="T110" s="326"/>
      <c r="U110" s="326"/>
      <c r="V110" s="283"/>
    </row>
    <row r="111" spans="1:22" x14ac:dyDescent="0.3">
      <c r="A111" s="213" t="s">
        <v>416</v>
      </c>
      <c r="B111" s="5"/>
      <c r="C111" s="218">
        <f>C39-D39</f>
        <v>607</v>
      </c>
      <c r="D111" s="218">
        <f t="shared" ref="D111:F111" si="18">D39-E39</f>
        <v>-157</v>
      </c>
      <c r="E111" s="218">
        <f t="shared" si="18"/>
        <v>-398</v>
      </c>
      <c r="F111" s="218">
        <f t="shared" si="18"/>
        <v>13</v>
      </c>
      <c r="G111" s="326"/>
      <c r="H111" s="326"/>
      <c r="I111" s="326"/>
      <c r="J111" s="326"/>
      <c r="K111" s="326"/>
      <c r="L111" s="326"/>
      <c r="M111" s="326"/>
      <c r="N111" s="326"/>
      <c r="O111" s="326"/>
      <c r="P111" s="326"/>
      <c r="Q111" s="326"/>
      <c r="R111" s="326"/>
      <c r="S111" s="326"/>
      <c r="T111" s="326"/>
      <c r="U111" s="326"/>
      <c r="V111" s="283"/>
    </row>
    <row r="112" spans="1:22" x14ac:dyDescent="0.3">
      <c r="A112" s="213" t="s">
        <v>433</v>
      </c>
      <c r="B112" s="5"/>
      <c r="C112" s="284">
        <f>-C89</f>
        <v>61.732620320855617</v>
      </c>
      <c r="D112" s="284">
        <f t="shared" ref="D112:F112" si="19">-D89</f>
        <v>47.197916666666664</v>
      </c>
      <c r="E112" s="284">
        <f t="shared" si="19"/>
        <v>30.540740740740741</v>
      </c>
      <c r="F112" s="284">
        <f t="shared" si="19"/>
        <v>32.081911262798634</v>
      </c>
      <c r="G112" s="326"/>
      <c r="H112" s="326"/>
      <c r="I112" s="326"/>
      <c r="J112" s="326"/>
      <c r="K112" s="326"/>
      <c r="L112" s="326"/>
      <c r="M112" s="326"/>
      <c r="N112" s="326"/>
      <c r="O112" s="326"/>
      <c r="P112" s="326"/>
      <c r="Q112" s="326"/>
      <c r="R112" s="326"/>
      <c r="S112" s="326"/>
      <c r="T112" s="326"/>
      <c r="U112" s="326"/>
      <c r="V112" s="283"/>
    </row>
    <row r="113" spans="1:22" x14ac:dyDescent="0.3">
      <c r="A113" s="439" t="s">
        <v>417</v>
      </c>
      <c r="B113" s="20"/>
      <c r="C113" s="222">
        <f>C107+C110+C111+C112</f>
        <v>-231</v>
      </c>
      <c r="D113" s="222">
        <f t="shared" ref="D113:F113" si="20">D107+D110+D111+D112</f>
        <v>1447</v>
      </c>
      <c r="E113" s="222">
        <f t="shared" si="20"/>
        <v>-1163.9999999999998</v>
      </c>
      <c r="F113" s="222">
        <f t="shared" si="20"/>
        <v>179.99999999999997</v>
      </c>
      <c r="G113" s="326"/>
      <c r="H113" s="326"/>
      <c r="I113" s="326"/>
      <c r="J113" s="326"/>
      <c r="K113" s="326"/>
      <c r="L113" s="326"/>
      <c r="M113" s="326"/>
      <c r="N113" s="326"/>
      <c r="O113" s="326"/>
      <c r="P113" s="326"/>
      <c r="Q113" s="326"/>
      <c r="R113" s="326"/>
      <c r="S113" s="326"/>
      <c r="T113" s="326"/>
      <c r="U113" s="326"/>
      <c r="V113" s="283"/>
    </row>
    <row r="114" spans="1:22" x14ac:dyDescent="0.3">
      <c r="A114" s="213" t="s">
        <v>418</v>
      </c>
      <c r="B114" s="5"/>
      <c r="C114" s="218"/>
      <c r="D114" s="219"/>
      <c r="E114" s="219"/>
      <c r="F114" s="299"/>
      <c r="G114" s="326"/>
      <c r="H114" s="326"/>
      <c r="I114" s="326"/>
      <c r="J114" s="326"/>
      <c r="K114" s="326"/>
      <c r="L114" s="326"/>
      <c r="M114" s="326"/>
      <c r="N114" s="326"/>
      <c r="O114" s="326"/>
      <c r="P114" s="326"/>
      <c r="Q114" s="326"/>
      <c r="R114" s="326"/>
      <c r="S114" s="326"/>
      <c r="T114" s="326"/>
      <c r="U114" s="326"/>
      <c r="V114" s="283"/>
    </row>
    <row r="115" spans="1:22" x14ac:dyDescent="0.3">
      <c r="A115" s="213"/>
      <c r="B115" s="5"/>
      <c r="C115" s="224"/>
      <c r="D115" s="225"/>
      <c r="E115" s="225"/>
      <c r="F115" s="306"/>
      <c r="G115" s="326"/>
      <c r="H115" s="326"/>
      <c r="I115" s="326"/>
      <c r="J115" s="326"/>
      <c r="K115" s="326"/>
      <c r="L115" s="326"/>
      <c r="M115" s="326"/>
      <c r="N115" s="326"/>
      <c r="O115" s="326"/>
      <c r="P115" s="326"/>
      <c r="Q115" s="326"/>
      <c r="R115" s="326"/>
      <c r="S115" s="326"/>
      <c r="T115" s="326"/>
      <c r="U115" s="326"/>
      <c r="V115" s="283"/>
    </row>
    <row r="116" spans="1:22" x14ac:dyDescent="0.3">
      <c r="A116" s="213" t="s">
        <v>419</v>
      </c>
      <c r="B116" s="5"/>
      <c r="C116" s="225">
        <f>C35-D35-D71</f>
        <v>271</v>
      </c>
      <c r="D116" s="225">
        <f t="shared" ref="D116:F116" si="21">D35-E35-E71</f>
        <v>-1153</v>
      </c>
      <c r="E116" s="225">
        <f t="shared" si="21"/>
        <v>929</v>
      </c>
      <c r="F116" s="225">
        <f t="shared" si="21"/>
        <v>-560</v>
      </c>
      <c r="G116" s="326"/>
      <c r="H116" s="326"/>
      <c r="I116" s="326"/>
      <c r="J116" s="326"/>
      <c r="K116" s="326"/>
      <c r="L116" s="326"/>
      <c r="M116" s="326"/>
      <c r="N116" s="326"/>
      <c r="O116" s="326"/>
      <c r="P116" s="326"/>
      <c r="Q116" s="326"/>
      <c r="R116" s="326"/>
      <c r="S116" s="326"/>
      <c r="T116" s="326"/>
      <c r="U116" s="326"/>
      <c r="V116" s="283"/>
    </row>
    <row r="117" spans="1:22" x14ac:dyDescent="0.3">
      <c r="A117" s="391" t="s">
        <v>420</v>
      </c>
      <c r="B117" s="5"/>
      <c r="C117" s="307">
        <f t="shared" ref="C117" si="22">C113+C116</f>
        <v>40</v>
      </c>
      <c r="D117" s="307">
        <f t="shared" ref="D117" si="23">D113+D116</f>
        <v>294</v>
      </c>
      <c r="E117" s="307">
        <f t="shared" ref="E117" si="24">E113+E116</f>
        <v>-234.99999999999977</v>
      </c>
      <c r="F117" s="307">
        <f t="shared" ref="F117" si="25">F113+F116</f>
        <v>-380</v>
      </c>
      <c r="G117" s="326"/>
      <c r="H117" s="326"/>
      <c r="I117" s="326"/>
      <c r="J117" s="326"/>
      <c r="K117" s="326"/>
      <c r="L117" s="326"/>
      <c r="M117" s="326"/>
      <c r="N117" s="326"/>
      <c r="O117" s="326"/>
      <c r="P117" s="326"/>
      <c r="Q117" s="326"/>
      <c r="R117" s="326"/>
      <c r="S117" s="326"/>
      <c r="T117" s="326"/>
      <c r="U117" s="326"/>
      <c r="V117" s="283"/>
    </row>
    <row r="118" spans="1:22" x14ac:dyDescent="0.3">
      <c r="A118" s="213"/>
      <c r="B118" s="5"/>
      <c r="C118" s="224"/>
      <c r="D118" s="225"/>
      <c r="E118" s="225"/>
      <c r="F118" s="306"/>
      <c r="G118" s="283"/>
      <c r="H118" s="283"/>
      <c r="I118" s="283"/>
      <c r="J118" s="283"/>
      <c r="K118" s="283"/>
      <c r="L118" s="283"/>
      <c r="M118" s="283"/>
      <c r="N118" s="283"/>
      <c r="O118" s="283"/>
      <c r="P118" s="283"/>
      <c r="Q118" s="283"/>
      <c r="R118" s="283"/>
      <c r="S118" s="283"/>
      <c r="T118" s="283"/>
      <c r="U118" s="283"/>
      <c r="V118" s="283"/>
    </row>
    <row r="119" spans="1:22" x14ac:dyDescent="0.3">
      <c r="A119" s="213" t="s">
        <v>421</v>
      </c>
      <c r="B119" s="5"/>
      <c r="C119" s="224">
        <f>C41</f>
        <v>596</v>
      </c>
      <c r="D119" s="224">
        <f t="shared" ref="D119:F119" si="26">D41</f>
        <v>532</v>
      </c>
      <c r="E119" s="224">
        <f t="shared" si="26"/>
        <v>728</v>
      </c>
      <c r="F119" s="224">
        <f t="shared" si="26"/>
        <v>502</v>
      </c>
      <c r="G119" s="283"/>
      <c r="H119" s="283"/>
      <c r="I119" s="283"/>
      <c r="J119" s="283"/>
      <c r="K119" s="283"/>
      <c r="L119" s="283"/>
      <c r="M119" s="283"/>
      <c r="N119" s="283"/>
      <c r="O119" s="283"/>
      <c r="P119" s="283"/>
      <c r="Q119" s="283"/>
      <c r="R119" s="283"/>
      <c r="S119" s="283"/>
      <c r="T119" s="283"/>
      <c r="U119" s="283"/>
      <c r="V119" s="283"/>
    </row>
    <row r="120" spans="1:22" x14ac:dyDescent="0.3">
      <c r="A120" s="213" t="s">
        <v>422</v>
      </c>
      <c r="B120" s="5"/>
      <c r="C120" s="224">
        <f>D41</f>
        <v>532</v>
      </c>
      <c r="D120" s="224">
        <f t="shared" ref="D120:F120" si="27">E41</f>
        <v>728</v>
      </c>
      <c r="E120" s="224">
        <f t="shared" si="27"/>
        <v>502</v>
      </c>
      <c r="F120" s="224">
        <f t="shared" si="27"/>
        <v>137</v>
      </c>
      <c r="G120" s="283"/>
      <c r="H120" s="283"/>
      <c r="I120" s="283"/>
      <c r="J120" s="283"/>
      <c r="K120" s="283"/>
      <c r="L120" s="283"/>
      <c r="M120" s="283"/>
      <c r="N120" s="283"/>
      <c r="O120" s="283"/>
      <c r="P120" s="283"/>
      <c r="Q120" s="283"/>
      <c r="R120" s="283"/>
      <c r="S120" s="283"/>
      <c r="T120" s="283"/>
      <c r="U120" s="283"/>
      <c r="V120" s="283"/>
    </row>
    <row r="121" spans="1:22" ht="15" thickBot="1" x14ac:dyDescent="0.35">
      <c r="A121" s="440" t="s">
        <v>423</v>
      </c>
      <c r="B121" s="309"/>
      <c r="C121" s="310">
        <f>C120-C119</f>
        <v>-64</v>
      </c>
      <c r="D121" s="310">
        <f t="shared" ref="D121:F121" si="28">D120-D119</f>
        <v>196</v>
      </c>
      <c r="E121" s="310">
        <f t="shared" si="28"/>
        <v>-226</v>
      </c>
      <c r="F121" s="310">
        <f t="shared" si="28"/>
        <v>-365</v>
      </c>
      <c r="G121" s="283"/>
      <c r="H121" s="283"/>
      <c r="I121" s="283"/>
      <c r="J121" s="283"/>
      <c r="K121" s="283"/>
      <c r="L121" s="283"/>
      <c r="M121" s="283"/>
      <c r="N121" s="283"/>
      <c r="O121" s="283"/>
      <c r="P121" s="283"/>
      <c r="Q121" s="283"/>
      <c r="R121" s="283"/>
      <c r="S121" s="283"/>
      <c r="T121" s="283"/>
      <c r="U121" s="283"/>
      <c r="V121" s="283"/>
    </row>
    <row r="122" spans="1:22" ht="15" thickBot="1" x14ac:dyDescent="0.35">
      <c r="A122" s="296"/>
      <c r="B122" s="55"/>
      <c r="C122" s="55"/>
      <c r="D122" s="55"/>
      <c r="E122" s="55"/>
      <c r="F122" s="343"/>
    </row>
    <row r="123" spans="1:22" ht="15" thickBot="1" x14ac:dyDescent="0.35">
      <c r="A123" s="313" t="s">
        <v>434</v>
      </c>
      <c r="B123" s="314"/>
      <c r="C123" s="314" t="str">
        <f>IF(C117=C121,"Correct","Incorrect")</f>
        <v>Incorrect</v>
      </c>
      <c r="D123" s="314" t="str">
        <f t="shared" ref="D123:F123" si="29">IF(D117=D121,"Correct","Incorrect")</f>
        <v>Incorrect</v>
      </c>
      <c r="E123" s="314" t="str">
        <f t="shared" si="29"/>
        <v>Incorrect</v>
      </c>
      <c r="F123" s="315" t="str">
        <f t="shared" si="29"/>
        <v>Incorrect</v>
      </c>
    </row>
    <row r="125" spans="1:22" x14ac:dyDescent="0.3">
      <c r="C125" s="442" t="s">
        <v>519</v>
      </c>
    </row>
    <row r="126" spans="1:22" x14ac:dyDescent="0.3">
      <c r="C126" s="442"/>
    </row>
    <row r="127" spans="1:22" x14ac:dyDescent="0.3">
      <c r="C127" s="442" t="s">
        <v>520</v>
      </c>
    </row>
    <row r="128" spans="1:22" x14ac:dyDescent="0.3">
      <c r="C128" s="442" t="s">
        <v>521</v>
      </c>
    </row>
    <row r="129" spans="2:22" x14ac:dyDescent="0.3">
      <c r="C129" s="442" t="s">
        <v>522</v>
      </c>
    </row>
    <row r="130" spans="2:22" x14ac:dyDescent="0.3">
      <c r="C130" s="442" t="s">
        <v>523</v>
      </c>
    </row>
    <row r="131" spans="2:22" x14ac:dyDescent="0.3">
      <c r="C131" s="441"/>
    </row>
    <row r="132" spans="2:22" x14ac:dyDescent="0.3">
      <c r="C132" s="441"/>
    </row>
    <row r="133" spans="2:22" x14ac:dyDescent="0.3">
      <c r="C133" s="153"/>
    </row>
    <row r="134" spans="2:22" x14ac:dyDescent="0.3">
      <c r="B134" s="326"/>
      <c r="C134" s="326"/>
      <c r="D134" s="326"/>
      <c r="E134" s="326"/>
      <c r="F134" s="326"/>
      <c r="G134" s="326"/>
      <c r="H134" s="326"/>
      <c r="I134" s="326"/>
      <c r="J134" s="326"/>
      <c r="K134" s="326"/>
      <c r="L134" s="326"/>
      <c r="M134" s="326"/>
      <c r="N134" s="326"/>
      <c r="O134" s="326"/>
      <c r="P134" s="326"/>
      <c r="Q134" s="326"/>
      <c r="R134" s="326"/>
      <c r="S134" s="326"/>
      <c r="T134" s="326"/>
      <c r="U134" s="326"/>
      <c r="V134" s="326"/>
    </row>
    <row r="135" spans="2:22" ht="15.6" x14ac:dyDescent="0.3">
      <c r="B135" s="454"/>
      <c r="C135" s="326"/>
      <c r="D135" s="326"/>
      <c r="E135" s="326"/>
      <c r="F135" s="326"/>
      <c r="G135" s="326"/>
      <c r="H135" s="326"/>
      <c r="I135" s="326"/>
      <c r="J135" s="326"/>
      <c r="K135" s="326"/>
      <c r="L135" s="326"/>
      <c r="M135" s="326"/>
      <c r="N135" s="326"/>
      <c r="O135" s="326"/>
      <c r="P135" s="326"/>
      <c r="Q135" s="326"/>
      <c r="R135" s="326"/>
      <c r="S135" s="326"/>
      <c r="T135" s="326"/>
      <c r="U135" s="326"/>
      <c r="V135" s="326"/>
    </row>
    <row r="136" spans="2:22" x14ac:dyDescent="0.3">
      <c r="B136" s="326"/>
      <c r="C136" s="326"/>
      <c r="D136" s="326"/>
      <c r="E136" s="326"/>
      <c r="F136" s="326"/>
      <c r="G136" s="326"/>
      <c r="H136" s="326"/>
      <c r="I136" s="326"/>
      <c r="J136" s="326"/>
      <c r="K136" s="326"/>
      <c r="L136" s="326"/>
      <c r="M136" s="326"/>
      <c r="N136" s="326"/>
      <c r="O136" s="326"/>
      <c r="P136" s="326"/>
      <c r="Q136" s="326"/>
      <c r="R136" s="326"/>
      <c r="S136" s="326"/>
      <c r="T136" s="326"/>
      <c r="U136" s="326"/>
      <c r="V136" s="326"/>
    </row>
    <row r="137" spans="2:22" x14ac:dyDescent="0.3">
      <c r="B137" s="326"/>
      <c r="C137" s="326"/>
      <c r="D137" s="455"/>
      <c r="E137" s="455"/>
      <c r="F137" s="437"/>
      <c r="G137" s="437"/>
      <c r="H137" s="386"/>
      <c r="I137" s="326"/>
      <c r="J137" s="386"/>
      <c r="K137" s="386"/>
      <c r="L137" s="326"/>
      <c r="M137" s="386"/>
      <c r="N137" s="386"/>
      <c r="O137" s="326"/>
      <c r="P137" s="386"/>
      <c r="Q137" s="386"/>
      <c r="R137" s="326"/>
      <c r="S137" s="386"/>
      <c r="T137" s="386"/>
      <c r="U137" s="326"/>
      <c r="V137" s="326"/>
    </row>
    <row r="138" spans="2:22" x14ac:dyDescent="0.3">
      <c r="B138" s="326"/>
      <c r="C138" s="326"/>
      <c r="D138" s="326"/>
      <c r="E138" s="453"/>
      <c r="F138" s="326"/>
      <c r="G138" s="326"/>
      <c r="H138" s="326"/>
      <c r="I138" s="326"/>
      <c r="J138" s="326"/>
      <c r="K138" s="326"/>
      <c r="L138" s="326"/>
      <c r="M138" s="326"/>
      <c r="N138" s="326"/>
      <c r="O138" s="326"/>
      <c r="P138" s="326"/>
      <c r="Q138" s="326"/>
      <c r="R138" s="326"/>
      <c r="S138" s="326"/>
      <c r="T138" s="326"/>
      <c r="U138" s="326"/>
      <c r="V138" s="326"/>
    </row>
    <row r="139" spans="2:22" x14ac:dyDescent="0.3">
      <c r="B139" s="326"/>
      <c r="C139" s="326"/>
      <c r="D139" s="326"/>
      <c r="E139" s="453"/>
      <c r="F139" s="326"/>
      <c r="G139" s="326"/>
      <c r="H139" s="326"/>
      <c r="I139" s="326"/>
      <c r="J139" s="326"/>
      <c r="K139" s="326"/>
      <c r="L139" s="326"/>
      <c r="M139" s="326"/>
      <c r="N139" s="326"/>
      <c r="O139" s="326"/>
      <c r="P139" s="326"/>
      <c r="Q139" s="326"/>
      <c r="R139" s="326"/>
      <c r="S139" s="326"/>
      <c r="T139" s="326"/>
      <c r="U139" s="326"/>
      <c r="V139" s="326"/>
    </row>
    <row r="140" spans="2:22" x14ac:dyDescent="0.3">
      <c r="B140" s="326"/>
      <c r="C140" s="326"/>
      <c r="D140" s="326"/>
      <c r="E140" s="453"/>
      <c r="F140" s="326"/>
      <c r="G140" s="326"/>
      <c r="H140" s="326"/>
      <c r="I140" s="326"/>
      <c r="J140" s="326"/>
      <c r="K140" s="326"/>
      <c r="L140" s="326"/>
      <c r="M140" s="326"/>
      <c r="N140" s="326"/>
      <c r="O140" s="326"/>
      <c r="P140" s="326"/>
      <c r="Q140" s="326"/>
      <c r="R140" s="326"/>
      <c r="S140" s="326"/>
      <c r="T140" s="326"/>
      <c r="U140" s="326"/>
      <c r="V140" s="326"/>
    </row>
    <row r="141" spans="2:22" x14ac:dyDescent="0.3">
      <c r="B141" s="326"/>
      <c r="C141" s="326"/>
      <c r="D141" s="326"/>
      <c r="E141" s="453"/>
      <c r="F141" s="326"/>
      <c r="G141" s="326"/>
      <c r="H141" s="326"/>
      <c r="I141" s="326"/>
      <c r="J141" s="326"/>
      <c r="K141" s="326"/>
      <c r="L141" s="326"/>
      <c r="M141" s="326"/>
      <c r="N141" s="326"/>
      <c r="O141" s="326"/>
      <c r="P141" s="326"/>
      <c r="Q141" s="326"/>
      <c r="R141" s="326"/>
      <c r="S141" s="326"/>
      <c r="T141" s="326"/>
      <c r="U141" s="326"/>
      <c r="V141" s="326"/>
    </row>
    <row r="142" spans="2:22" x14ac:dyDescent="0.3">
      <c r="B142" s="326"/>
      <c r="C142" s="326"/>
      <c r="D142" s="326"/>
      <c r="E142" s="453"/>
      <c r="F142" s="326"/>
      <c r="G142" s="326"/>
      <c r="H142" s="326"/>
      <c r="I142" s="326"/>
      <c r="J142" s="326"/>
      <c r="K142" s="326"/>
      <c r="L142" s="326"/>
      <c r="M142" s="326"/>
      <c r="N142" s="326"/>
      <c r="O142" s="326"/>
      <c r="P142" s="326"/>
      <c r="Q142" s="326"/>
      <c r="R142" s="326"/>
      <c r="S142" s="326"/>
      <c r="T142" s="326"/>
      <c r="U142" s="326"/>
      <c r="V142" s="326"/>
    </row>
    <row r="143" spans="2:22" x14ac:dyDescent="0.3">
      <c r="B143" s="326"/>
      <c r="C143" s="326"/>
      <c r="D143" s="326"/>
      <c r="E143" s="453"/>
      <c r="F143" s="326"/>
      <c r="G143" s="326"/>
      <c r="H143" s="326"/>
      <c r="I143" s="326"/>
      <c r="J143" s="326"/>
      <c r="K143" s="326"/>
      <c r="L143" s="326"/>
      <c r="M143" s="326"/>
      <c r="N143" s="326"/>
      <c r="O143" s="326"/>
      <c r="P143" s="326"/>
      <c r="Q143" s="326"/>
      <c r="R143" s="326"/>
      <c r="S143" s="326"/>
      <c r="T143" s="326"/>
      <c r="U143" s="326"/>
      <c r="V143" s="326"/>
    </row>
    <row r="144" spans="2:22" x14ac:dyDescent="0.3">
      <c r="B144" s="326"/>
      <c r="C144" s="326"/>
      <c r="D144" s="326"/>
      <c r="E144" s="453"/>
      <c r="F144" s="326"/>
      <c r="G144" s="326"/>
      <c r="H144" s="326"/>
      <c r="I144" s="326"/>
      <c r="J144" s="326"/>
      <c r="K144" s="326"/>
      <c r="L144" s="326"/>
      <c r="M144" s="326"/>
      <c r="N144" s="326"/>
      <c r="O144" s="326"/>
      <c r="P144" s="326"/>
      <c r="Q144" s="326"/>
      <c r="R144" s="326"/>
      <c r="S144" s="326"/>
      <c r="T144" s="326"/>
      <c r="U144" s="326"/>
      <c r="V144" s="326"/>
    </row>
    <row r="145" spans="2:22" x14ac:dyDescent="0.3">
      <c r="B145" s="326"/>
      <c r="C145" s="326"/>
      <c r="D145" s="326"/>
      <c r="E145" s="453"/>
      <c r="F145" s="326"/>
      <c r="G145" s="326"/>
      <c r="H145" s="326"/>
      <c r="I145" s="326"/>
      <c r="J145" s="326"/>
      <c r="K145" s="326"/>
      <c r="L145" s="326"/>
      <c r="M145" s="326"/>
      <c r="N145" s="326"/>
      <c r="O145" s="326"/>
      <c r="P145" s="326"/>
      <c r="Q145" s="326"/>
      <c r="R145" s="326"/>
      <c r="S145" s="326"/>
      <c r="T145" s="326"/>
      <c r="U145" s="326"/>
      <c r="V145" s="326"/>
    </row>
    <row r="146" spans="2:22" x14ac:dyDescent="0.3">
      <c r="B146" s="326"/>
      <c r="C146" s="326"/>
      <c r="D146" s="326"/>
      <c r="E146" s="453"/>
      <c r="F146" s="326"/>
      <c r="G146" s="326"/>
      <c r="H146" s="326"/>
      <c r="I146" s="326"/>
      <c r="J146" s="326"/>
      <c r="K146" s="326"/>
      <c r="L146" s="326"/>
      <c r="M146" s="326"/>
      <c r="N146" s="326"/>
      <c r="O146" s="326"/>
      <c r="P146" s="326"/>
      <c r="Q146" s="326"/>
      <c r="R146" s="326"/>
      <c r="S146" s="326"/>
      <c r="T146" s="326"/>
      <c r="U146" s="326"/>
      <c r="V146" s="326"/>
    </row>
    <row r="147" spans="2:22" x14ac:dyDescent="0.3">
      <c r="B147" s="326"/>
      <c r="C147" s="326"/>
      <c r="D147" s="326"/>
      <c r="E147" s="453"/>
      <c r="F147" s="326"/>
      <c r="G147" s="326"/>
      <c r="H147" s="326"/>
      <c r="I147" s="326"/>
      <c r="J147" s="326"/>
      <c r="K147" s="326"/>
      <c r="L147" s="326"/>
      <c r="M147" s="326"/>
      <c r="N147" s="326"/>
      <c r="O147" s="326"/>
      <c r="P147" s="326"/>
      <c r="Q147" s="326"/>
      <c r="R147" s="326"/>
      <c r="S147" s="326"/>
      <c r="T147" s="326"/>
      <c r="U147" s="326"/>
      <c r="V147" s="326"/>
    </row>
    <row r="148" spans="2:22" x14ac:dyDescent="0.3">
      <c r="B148" s="326"/>
      <c r="C148" s="326"/>
      <c r="D148" s="326"/>
      <c r="E148" s="453"/>
      <c r="F148" s="326"/>
      <c r="G148" s="326"/>
      <c r="H148" s="326"/>
      <c r="I148" s="326"/>
      <c r="J148" s="326"/>
      <c r="K148" s="326"/>
      <c r="L148" s="326"/>
      <c r="M148" s="326"/>
      <c r="N148" s="326"/>
      <c r="O148" s="326"/>
      <c r="P148" s="326"/>
      <c r="Q148" s="326"/>
      <c r="R148" s="326"/>
      <c r="S148" s="326"/>
      <c r="T148" s="326"/>
      <c r="U148" s="326"/>
      <c r="V148" s="326"/>
    </row>
    <row r="149" spans="2:22" x14ac:dyDescent="0.3">
      <c r="B149" s="326"/>
      <c r="C149" s="326"/>
      <c r="D149" s="326"/>
      <c r="E149" s="453"/>
      <c r="F149" s="326"/>
      <c r="G149" s="326"/>
      <c r="H149" s="326"/>
      <c r="I149" s="326"/>
      <c r="J149" s="326"/>
      <c r="K149" s="326"/>
      <c r="L149" s="326"/>
      <c r="M149" s="326"/>
      <c r="N149" s="326"/>
      <c r="O149" s="326"/>
      <c r="P149" s="326"/>
      <c r="Q149" s="326"/>
      <c r="R149" s="326"/>
      <c r="S149" s="326"/>
      <c r="T149" s="326"/>
      <c r="U149" s="326"/>
      <c r="V149" s="326"/>
    </row>
    <row r="150" spans="2:22" x14ac:dyDescent="0.3">
      <c r="B150" s="326"/>
      <c r="C150" s="326"/>
      <c r="D150" s="326"/>
      <c r="E150" s="453"/>
      <c r="F150" s="326"/>
      <c r="G150" s="326"/>
      <c r="H150" s="326"/>
      <c r="I150" s="326"/>
      <c r="J150" s="326"/>
      <c r="K150" s="326"/>
      <c r="L150" s="326"/>
      <c r="M150" s="326"/>
      <c r="N150" s="326"/>
      <c r="O150" s="326"/>
      <c r="P150" s="326"/>
      <c r="Q150" s="326"/>
      <c r="R150" s="326"/>
      <c r="S150" s="326"/>
      <c r="T150" s="326"/>
      <c r="U150" s="326"/>
      <c r="V150" s="326"/>
    </row>
    <row r="151" spans="2:22" x14ac:dyDescent="0.3">
      <c r="B151" s="326"/>
      <c r="C151" s="326"/>
      <c r="D151" s="326"/>
      <c r="E151" s="453"/>
      <c r="F151" s="326"/>
      <c r="G151" s="326"/>
      <c r="H151" s="326"/>
      <c r="I151" s="326"/>
      <c r="J151" s="326"/>
      <c r="K151" s="326"/>
      <c r="L151" s="326"/>
      <c r="M151" s="326"/>
      <c r="N151" s="326"/>
      <c r="O151" s="326"/>
      <c r="P151" s="326"/>
      <c r="Q151" s="326"/>
      <c r="R151" s="326"/>
      <c r="S151" s="326"/>
      <c r="T151" s="326"/>
      <c r="U151" s="326"/>
      <c r="V151" s="326"/>
    </row>
    <row r="152" spans="2:22" x14ac:dyDescent="0.3">
      <c r="B152" s="326"/>
      <c r="C152" s="326"/>
      <c r="D152" s="326"/>
      <c r="E152" s="453"/>
      <c r="F152" s="326"/>
      <c r="G152" s="326"/>
      <c r="H152" s="326"/>
      <c r="I152" s="326"/>
      <c r="J152" s="326"/>
      <c r="K152" s="326"/>
      <c r="L152" s="326"/>
      <c r="M152" s="326"/>
      <c r="N152" s="326"/>
      <c r="O152" s="326"/>
      <c r="P152" s="326"/>
      <c r="Q152" s="326"/>
      <c r="R152" s="326"/>
      <c r="S152" s="326"/>
      <c r="T152" s="326"/>
      <c r="U152" s="326"/>
      <c r="V152" s="326"/>
    </row>
    <row r="153" spans="2:22" x14ac:dyDescent="0.3">
      <c r="B153" s="326"/>
      <c r="C153" s="326"/>
      <c r="D153" s="326"/>
      <c r="E153" s="326"/>
      <c r="F153" s="326"/>
      <c r="G153" s="326"/>
      <c r="H153" s="326"/>
      <c r="I153" s="326"/>
      <c r="J153" s="326"/>
      <c r="K153" s="326"/>
      <c r="L153" s="326"/>
      <c r="M153" s="326"/>
      <c r="N153" s="326"/>
      <c r="O153" s="326"/>
      <c r="P153" s="326"/>
      <c r="Q153" s="326"/>
      <c r="R153" s="326"/>
      <c r="S153" s="326"/>
      <c r="T153" s="326"/>
      <c r="U153" s="326"/>
      <c r="V153" s="326"/>
    </row>
  </sheetData>
  <mergeCells count="4">
    <mergeCell ref="A1:B1"/>
    <mergeCell ref="B2:G2"/>
    <mergeCell ref="C49:G49"/>
    <mergeCell ref="C84:F84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37427-164C-4835-9C1F-A956DD7B9DF4}">
  <dimension ref="A11:M54"/>
  <sheetViews>
    <sheetView topLeftCell="B1" workbookViewId="0">
      <selection activeCell="C27" sqref="C27"/>
    </sheetView>
  </sheetViews>
  <sheetFormatPr defaultRowHeight="14.4" x14ac:dyDescent="0.3"/>
  <cols>
    <col min="1" max="1" width="86.33203125" customWidth="1"/>
    <col min="2" max="2" width="42.33203125" bestFit="1" customWidth="1"/>
    <col min="3" max="3" width="31.6640625" customWidth="1"/>
    <col min="4" max="4" width="12" bestFit="1" customWidth="1"/>
    <col min="5" max="5" width="14" bestFit="1" customWidth="1"/>
    <col min="6" max="6" width="12" bestFit="1" customWidth="1"/>
    <col min="7" max="7" width="11.109375" bestFit="1" customWidth="1"/>
  </cols>
  <sheetData>
    <row r="11" spans="1:13" x14ac:dyDescent="0.3">
      <c r="A11" s="119" t="s">
        <v>335</v>
      </c>
      <c r="B11" s="116" t="s">
        <v>336</v>
      </c>
      <c r="C11" s="118">
        <f ca="1">#REF!*(1-0.279)/'Balance sheet'!F93</f>
        <v>1.5816243240485663E-2</v>
      </c>
      <c r="D11" s="118">
        <f ca="1">#REF!*(1-0.279)/'Balance sheet'!G93</f>
        <v>3.0750264754019443E-2</v>
      </c>
      <c r="E11" s="118">
        <f ca="1">#REF!*(1-0.279)/'Balance sheet'!H93</f>
        <v>5.1453412403256606E-2</v>
      </c>
      <c r="F11" s="118">
        <f ca="1">#REF!*(1-0.279)/'Balance sheet'!I93</f>
        <v>4.1028549308042193E-2</v>
      </c>
      <c r="G11" s="118">
        <f ca="1">#REF!*(1-0.279)/'Balance sheet'!J93</f>
        <v>4.6184335664335663E-2</v>
      </c>
      <c r="H11" s="117"/>
      <c r="I11" s="117"/>
      <c r="J11" s="117"/>
      <c r="K11" s="117"/>
      <c r="L11" s="117"/>
      <c r="M11" s="117"/>
    </row>
    <row r="13" spans="1:13" x14ac:dyDescent="0.3">
      <c r="A13" s="119" t="s">
        <v>338</v>
      </c>
      <c r="B13" t="s">
        <v>337</v>
      </c>
      <c r="C13" s="118">
        <f ca="1">('Income Statement'!E77+('Income Statement'!J48*(1-0.279)))/('Balance sheet'!F93)</f>
        <v>1.7747168656259565E-2</v>
      </c>
      <c r="D13" s="118">
        <f ca="1">('Income Statement'!F77+'Income Statement'!K48)*(1-0.279)/('Balance sheet'!G93)</f>
        <v>2.5405410609415612E-2</v>
      </c>
      <c r="E13" s="118">
        <f ca="1">('Income Statement'!G77+'Income Statement'!L48)*(1-0.279)/('Balance sheet'!H93)</f>
        <v>2.9422655543270681E-2</v>
      </c>
      <c r="F13" s="118">
        <f ca="1">('Income Statement'!H77+'Income Statement'!M48)*(1-0.279)/('Balance sheet'!I93)</f>
        <v>3.1538952869447398E-2</v>
      </c>
      <c r="G13" s="118">
        <f ca="1">('Income Statement'!I77+'Income Statement'!N48)*(1-0.279)/('Balance sheet'!J93)</f>
        <v>3.273911421911422E-2</v>
      </c>
      <c r="I13" t="s">
        <v>339</v>
      </c>
    </row>
    <row r="15" spans="1:13" x14ac:dyDescent="0.3">
      <c r="B15" s="116"/>
    </row>
    <row r="17" spans="1:13" x14ac:dyDescent="0.3">
      <c r="A17" t="s">
        <v>341</v>
      </c>
      <c r="B17" s="116" t="s">
        <v>340</v>
      </c>
      <c r="C17">
        <f>('Income Statement'!F39*(1-0.279))/('Balance sheet'!F110+'Balance sheet'!F119)</f>
        <v>5.0315532451165719E-2</v>
      </c>
      <c r="D17">
        <f>'Income Statement'!G39*(1-0.279)/('Balance sheet'!G110+'Balance sheet'!G119)</f>
        <v>7.6233804914370804E-2</v>
      </c>
      <c r="E17">
        <f>'Income Statement'!H39*(1-0.279)/('Balance sheet'!P100+'Balance sheet'!P109)</f>
        <v>-6815.3421254064751</v>
      </c>
      <c r="F17">
        <f>'Income Statement'!I39*(1-0.279)/('Balance sheet'!H110+'Balance sheet'!H119)</f>
        <v>7.6040374577832359E-2</v>
      </c>
      <c r="G17">
        <f>'Income Statement'!J38*(1-0.279)/('Balance sheet'!Q100+'Balance sheet'!Q109)</f>
        <v>0</v>
      </c>
      <c r="H17">
        <f>'Income Statement'!K38*(1-0.279)/('Balance sheet'!I110+'Balance sheet'!I119)</f>
        <v>0</v>
      </c>
      <c r="I17">
        <f>'Income Statement'!L38*(1-0.279)/('Balance sheet'!R100+'Balance sheet'!R109)</f>
        <v>0</v>
      </c>
      <c r="J17">
        <f>'Income Statement'!M38*(1-0.279)/('Balance sheet'!J110+'Balance sheet'!J119)</f>
        <v>0</v>
      </c>
      <c r="K17">
        <f>'Income Statement'!N38*(1-0.279)/('Balance sheet'!S100+'Balance sheet'!S109)</f>
        <v>0</v>
      </c>
      <c r="L17">
        <f>'Income Statement'!O38*(1-0.279)/('Balance sheet'!T100+'Balance sheet'!T109)</f>
        <v>0</v>
      </c>
      <c r="M17" t="e">
        <f>'Income Statement'!P38*(1-0.279)/('Balance sheet'!#REF!+'Balance sheet'!#REF!)</f>
        <v>#REF!</v>
      </c>
    </row>
    <row r="18" spans="1:13" x14ac:dyDescent="0.3">
      <c r="A18" t="s">
        <v>342</v>
      </c>
      <c r="B18" t="s">
        <v>343</v>
      </c>
      <c r="C18">
        <f>'Income Statement'!F39*(1-0.279)/(('Balance sheet'!F119+'Balance sheet'!G119)/2 + ('Balance sheet'!F110+'Balance sheet'!G110)/2)</f>
        <v>4.8901936767970597E-2</v>
      </c>
      <c r="D18">
        <f>'Income Statement'!G39*(1-0.279)/(('Balance sheet'!G119+'Balance sheet'!P109)/2 + ('Balance sheet'!G110+'Balance sheet'!P100)/2)</f>
        <v>0.15246902223790673</v>
      </c>
      <c r="E18">
        <f>'Income Statement'!H39*(1-0.279)/(('Balance sheet'!P109+'Balance sheet'!H119)/2 + ('Balance sheet'!P100+'Balance sheet'!H110)/2)</f>
        <v>0.13016642569783449</v>
      </c>
      <c r="F18">
        <f>'Income Statement'!I39*(1-0.279)/(('Balance sheet'!H119+'Balance sheet'!Q109)/2 + ('Balance sheet'!H110+'Balance sheet'!Q100)/2)</f>
        <v>0.15208024499779024</v>
      </c>
      <c r="G18">
        <f>'Income Statement'!J38*(1-0.279)/(('Balance sheet'!Q109+'Balance sheet'!I119)/2 + ('Balance sheet'!Q100+'Balance sheet'!I110)/2)</f>
        <v>0</v>
      </c>
      <c r="H18">
        <f>'Income Statement'!K38*(1-0.279)/(('Balance sheet'!I119+'Balance sheet'!R109)/2 + ('Balance sheet'!I110+'Balance sheet'!R100)/2)</f>
        <v>0</v>
      </c>
      <c r="I18">
        <f>'Income Statement'!L38*(1-0.279)/(('Balance sheet'!R109+'Balance sheet'!J119)/2 + ('Balance sheet'!R100+'Balance sheet'!J110)/2)</f>
        <v>0</v>
      </c>
      <c r="J18">
        <f>'Income Statement'!M38*(1-0.279)/(('Balance sheet'!J119+'Balance sheet'!S109)/2 + ('Balance sheet'!J110+'Balance sheet'!S100)/2)</f>
        <v>0</v>
      </c>
    </row>
    <row r="19" spans="1:13" x14ac:dyDescent="0.3">
      <c r="A19" t="s">
        <v>344</v>
      </c>
      <c r="B19" s="116" t="s">
        <v>345</v>
      </c>
      <c r="C19">
        <f>('Income Statement'!F39*(1-0.279)/'Income Statement'!E10) * ('Income Statement'!E10/('Balance sheet'!F110+'Balance sheet'!F119))</f>
        <v>5.0315532451165712E-2</v>
      </c>
      <c r="D19">
        <f>('Income Statement'!G39*(1-0.279)/'Income Statement'!F10) * ('Income Statement'!F10/('Balance sheet'!G110+'Balance sheet'!G119))</f>
        <v>7.6233804914370804E-2</v>
      </c>
      <c r="E19">
        <f>('Income Statement'!H39*(1-0.279)/'Income Statement'!G10) * ('Income Statement'!G10/('Balance sheet'!P100+'Balance sheet'!P109))</f>
        <v>-6815.3421254064751</v>
      </c>
      <c r="F19">
        <f>('Income Statement'!I39*(1-0.279)/'Income Statement'!H10) * ('Income Statement'!H10/('Balance sheet'!H110+'Balance sheet'!H119))</f>
        <v>7.6040374577832359E-2</v>
      </c>
      <c r="G19">
        <f>('Income Statement'!J38*(1-0.279)/'Income Statement'!I10) * ('Income Statement'!I10/('Balance sheet'!Q100+'Balance sheet'!Q109))</f>
        <v>0</v>
      </c>
      <c r="H19" t="e">
        <f>('Income Statement'!K38*(1-0.279)/'Income Statement'!J10) * ('Income Statement'!J10/('Balance sheet'!I110+'Balance sheet'!I119))</f>
        <v>#DIV/0!</v>
      </c>
      <c r="I19" t="e">
        <f>('Income Statement'!L38*(1-0.279)/'Income Statement'!K10) * ('Income Statement'!K10/('Balance sheet'!R100+'Balance sheet'!R109))</f>
        <v>#DIV/0!</v>
      </c>
    </row>
    <row r="20" spans="1:13" x14ac:dyDescent="0.3">
      <c r="B20" t="s">
        <v>346</v>
      </c>
    </row>
    <row r="22" spans="1:13" x14ac:dyDescent="0.3">
      <c r="A22" s="116" t="s">
        <v>347</v>
      </c>
      <c r="C22">
        <f>C19</f>
        <v>5.0315532451165712E-2</v>
      </c>
    </row>
    <row r="24" spans="1:13" x14ac:dyDescent="0.3">
      <c r="A24" s="116" t="s">
        <v>348</v>
      </c>
      <c r="B24" t="s">
        <v>349</v>
      </c>
      <c r="C24" s="118">
        <f>'Income Statement'!E77/'Balance sheet'!F108</f>
        <v>2.7588813303099018E-2</v>
      </c>
      <c r="D24" s="118">
        <f>'Income Statement'!F77/'Balance sheet'!G108</f>
        <v>8.5106382978723402E-2</v>
      </c>
      <c r="E24" s="118">
        <f>'Income Statement'!G77/'Balance sheet'!P98</f>
        <v>5254.7236842105258</v>
      </c>
      <c r="F24" s="118">
        <f>'Income Statement'!H77/'Balance sheet'!H108</f>
        <v>0.11952744961779013</v>
      </c>
      <c r="G24" s="118">
        <f>'Income Statement'!I77/'Balance sheet'!J108</f>
        <v>0.11827303131650958</v>
      </c>
      <c r="H24" s="118">
        <f>'Income Statement'!O76/'Balance sheet'!I108</f>
        <v>0</v>
      </c>
    </row>
    <row r="25" spans="1:13" x14ac:dyDescent="0.3">
      <c r="A25" t="s">
        <v>350</v>
      </c>
      <c r="C25" s="118">
        <f>'Income Statement'!E77/(('Balance sheet'!F110+'Balance sheet'!G110)/2)</f>
        <v>2.2330988069746101E-2</v>
      </c>
      <c r="D25" s="118">
        <f>'Income Statement'!F77/(('Balance sheet'!G110+'Balance sheet'!H110)/2)</f>
        <v>7.3744437380801012E-2</v>
      </c>
      <c r="E25" s="118">
        <f>'Income Statement'!G77/(('Balance sheet'!H110+'Balance sheet'!I110)/2)</f>
        <v>8.9657282741738065E-2</v>
      </c>
      <c r="F25" s="118">
        <f>'Income Statement'!H77/(('Balance sheet'!I110+'Balance sheet'!J110)/2)</f>
        <v>9.5901867856147197E-2</v>
      </c>
      <c r="G25" s="118">
        <f>'Income Statement'!I77/(('Balance sheet'!J110+'Balance sheet'!K107)/2)</f>
        <v>0.21309230347849903</v>
      </c>
      <c r="H25" s="118" t="e">
        <f>'Income Statement'!J77/(('Balance sheet'!K107+'Balance sheet'!L107)/2)</f>
        <v>#DIV/0!</v>
      </c>
      <c r="I25" s="118" t="e">
        <f>'Income Statement'!K77/(('Balance sheet'!L107+'Balance sheet'!M103)/2)</f>
        <v>#DIV/0!</v>
      </c>
    </row>
    <row r="27" spans="1:13" x14ac:dyDescent="0.3">
      <c r="A27" s="116" t="s">
        <v>351</v>
      </c>
      <c r="B27" t="s">
        <v>352</v>
      </c>
      <c r="C27" s="111">
        <f>C19+('Balance sheet'!F119/'Balance sheet'!F110)*(C19-('Income Statement'!J48/'Balance sheet'!F119)*(1-0.279))</f>
        <v>6.7033752684872633E-2</v>
      </c>
      <c r="D27" s="111">
        <f>D19+('Balance sheet'!G119/'Balance sheet'!G110)*(D19-('Income Statement'!K48/'Balance sheet'!G119)*(1-0.279))</f>
        <v>0.12665324794144556</v>
      </c>
      <c r="E27" s="111">
        <f>E19+('Balance sheet'!H119/'Balance sheet'!H110)*(E19-('Income Statement'!L48/'Balance sheet'!H119)*(1-0.279))</f>
        <v>-14734.556945867167</v>
      </c>
      <c r="F27" s="111">
        <f>F19+('Balance sheet'!I119/'Balance sheet'!I110)*(F19-('Income Statement'!M48/'Balance sheet'!I119)*(1-0.279))</f>
        <v>0.11834422860572102</v>
      </c>
      <c r="G27" s="111">
        <f>G19+('Balance sheet'!J119/'Balance sheet'!J110)*(G19-('Income Statement'!N48/'Balance sheet'!J119)*(1-0.279))</f>
        <v>-1.9353053957819777E-2</v>
      </c>
      <c r="H27" s="111" t="e">
        <f>H19+('Balance sheet'!K116/'Balance sheet'!K107)*(H19-('Income Statement'!O48/'Balance sheet'!K116)*(1-0.279))</f>
        <v>#DIV/0!</v>
      </c>
      <c r="I27" s="111" t="e">
        <f>I19+('Balance sheet'!L116/'Balance sheet'!L107)*(I19-('Income Statement'!P48/'Balance sheet'!L116)*(1-0.279))</f>
        <v>#DIV/0!</v>
      </c>
      <c r="J27" s="111" t="e">
        <f>J19+('Balance sheet'!M112/'Balance sheet'!M103)*(J19-('Income Statement'!Q48/'Balance sheet'!M112)*(1-0.279))</f>
        <v>#DIV/0!</v>
      </c>
    </row>
    <row r="29" spans="1:13" x14ac:dyDescent="0.3">
      <c r="C29">
        <f>('Balance sheet'!F119/'Balance sheet'!F110)</f>
        <v>0.94783675974225223</v>
      </c>
    </row>
    <row r="34" spans="1:11" x14ac:dyDescent="0.3">
      <c r="A34" t="s">
        <v>353</v>
      </c>
      <c r="D34">
        <f>('Balance sheet'!F89-'Balance sheet'!F87-'Balance sheet'!F85)/'Balance sheet'!F175</f>
        <v>1.0255564715581205</v>
      </c>
      <c r="E34">
        <f>('Balance sheet'!G89-'Balance sheet'!G87-'Balance sheet'!G85)/'Balance sheet'!G175</f>
        <v>1.0996031746031747</v>
      </c>
      <c r="F34">
        <f>('Balance sheet'!H89-'Balance sheet'!H87-'Balance sheet'!H85)/'Balance sheet'!H175</f>
        <v>1.1630388390951771</v>
      </c>
      <c r="G34">
        <f>('Balance sheet'!I89-'Balance sheet'!I87-'Balance sheet'!I85)/'Balance sheet'!I175</f>
        <v>1.0672299779573842</v>
      </c>
      <c r="H34">
        <f>('Balance sheet'!J89-'Balance sheet'!J87-'Balance sheet'!J85)/'Balance sheet'!J175</f>
        <v>1.152561669829222</v>
      </c>
      <c r="I34" t="e">
        <f>('Balance sheet'!#REF!-'Balance sheet'!#REF!-'Balance sheet'!K85)/'Balance sheet'!K172</f>
        <v>#REF!</v>
      </c>
    </row>
    <row r="35" spans="1:11" x14ac:dyDescent="0.3">
      <c r="C35" t="s">
        <v>355</v>
      </c>
      <c r="D35">
        <f>'Balance sheet'!F89/'Balance sheet'!F175</f>
        <v>1.1253091508656223</v>
      </c>
      <c r="E35">
        <f>'Balance sheet'!G89/'Balance sheet'!G175</f>
        <v>1.2138888888888888</v>
      </c>
      <c r="F35">
        <f>'Balance sheet'!H89/'Balance sheet'!H175</f>
        <v>1.2121212121212122</v>
      </c>
      <c r="G35">
        <f>'Balance sheet'!I89/'Balance sheet'!I175</f>
        <v>1.0911094783247612</v>
      </c>
      <c r="H35">
        <f>'Balance sheet'!J89/'Balance sheet'!J175</f>
        <v>1.1802656546489563</v>
      </c>
      <c r="I35" t="e">
        <f>'Balance sheet'!#REF!/'Balance sheet'!K172</f>
        <v>#REF!</v>
      </c>
    </row>
    <row r="37" spans="1:11" x14ac:dyDescent="0.3">
      <c r="A37" s="116" t="s">
        <v>354</v>
      </c>
      <c r="C37">
        <f>('Balance sheet'!F88+'Balance sheet'!F85)/'Balance sheet'!F175</f>
        <v>0.33264633140972794</v>
      </c>
      <c r="D37">
        <f>('Balance sheet'!G88+'Balance sheet'!G85)/'Balance sheet'!G175</f>
        <v>0.24603174603174602</v>
      </c>
      <c r="E37">
        <f>('Balance sheet'!H88+'Balance sheet'!H85)/'Balance sheet'!H175</f>
        <v>0.29833546734955185</v>
      </c>
      <c r="F37">
        <f>('Balance sheet'!I88+'Balance sheet'!I85)/'Balance sheet'!I175</f>
        <v>0.23512123438648053</v>
      </c>
      <c r="G37">
        <f>('Balance sheet'!J88+'Balance sheet'!J85)/'Balance sheet'!J175</f>
        <v>0.1685009487666034</v>
      </c>
      <c r="H37" t="e">
        <f>('Balance sheet'!#REF!+'Balance sheet'!K85)/'Balance sheet'!K172</f>
        <v>#REF!</v>
      </c>
      <c r="I37" t="e">
        <f>('Balance sheet'!#REF!+'Balance sheet'!L85)/'Balance sheet'!L172</f>
        <v>#REF!</v>
      </c>
      <c r="J37" t="e">
        <f>('Balance sheet'!M83+'Balance sheet'!M81)/'Balance sheet'!M168</f>
        <v>#DIV/0!</v>
      </c>
      <c r="K37" t="e">
        <f>('Balance sheet'!N80+'Balance sheet'!N78)/'Balance sheet'!N165</f>
        <v>#DIV/0!</v>
      </c>
    </row>
    <row r="40" spans="1:11" x14ac:dyDescent="0.3">
      <c r="A40" t="s">
        <v>356</v>
      </c>
    </row>
    <row r="44" spans="1:11" x14ac:dyDescent="0.3">
      <c r="A44" t="s">
        <v>357</v>
      </c>
      <c r="C44">
        <f>'Income Statement'!F39/'Income Statement'!J48</f>
        <v>3.1642857142857141</v>
      </c>
      <c r="D44">
        <f>'Income Statement'!G39/'Income Statement'!K48</f>
        <v>5.2985074626865671</v>
      </c>
      <c r="E44">
        <f>'Income Statement'!H39/'Income Statement'!L48</f>
        <v>5.2035398230088497</v>
      </c>
      <c r="F44">
        <f>'Income Statement'!I39/'Income Statement'!M48</f>
        <v>6.3611111111111107</v>
      </c>
      <c r="G44">
        <f>'Income Statement'!J39/'Income Statement'!N48</f>
        <v>0</v>
      </c>
      <c r="H44" t="e">
        <f>'Income Statement'!K39/'Income Statement'!O48</f>
        <v>#DIV/0!</v>
      </c>
      <c r="I44" t="e">
        <f>'Income Statement'!L39/'Income Statement'!P48</f>
        <v>#DIV/0!</v>
      </c>
      <c r="J44" t="e">
        <f>'Income Statement'!M39/'Income Statement'!Q48</f>
        <v>#DIV/0!</v>
      </c>
    </row>
    <row r="48" spans="1:11" x14ac:dyDescent="0.3">
      <c r="A48" s="116" t="s">
        <v>358</v>
      </c>
      <c r="C48">
        <f>'[1]CF S '!$C$22/'[2]FCFE Computation'!$D$11</f>
        <v>1.4864433811802233</v>
      </c>
    </row>
    <row r="53" spans="1:1" x14ac:dyDescent="0.3">
      <c r="A53" s="116" t="s">
        <v>359</v>
      </c>
    </row>
    <row r="54" spans="1:1" x14ac:dyDescent="0.3">
      <c r="A54" s="116" t="s">
        <v>360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59958-46D0-436F-824F-15C4AA54C7FC}">
  <dimension ref="A1:R71"/>
  <sheetViews>
    <sheetView topLeftCell="G40" workbookViewId="0">
      <selection activeCell="O35" sqref="O35:P36"/>
    </sheetView>
  </sheetViews>
  <sheetFormatPr defaultRowHeight="14.4" x14ac:dyDescent="0.3"/>
  <cols>
    <col min="1" max="1" width="37.33203125" customWidth="1"/>
    <col min="2" max="2" width="17.44140625" customWidth="1"/>
    <col min="3" max="3" width="25.21875" customWidth="1"/>
    <col min="4" max="4" width="17.77734375" customWidth="1"/>
    <col min="5" max="5" width="21.77734375" customWidth="1"/>
    <col min="6" max="6" width="22.21875" customWidth="1"/>
    <col min="7" max="7" width="8.77734375" customWidth="1"/>
    <col min="8" max="8" width="14.109375" customWidth="1"/>
    <col min="10" max="10" width="11.88671875" customWidth="1"/>
    <col min="11" max="11" width="13.109375" customWidth="1"/>
    <col min="12" max="12" width="19.109375" customWidth="1"/>
    <col min="13" max="13" width="31.6640625" customWidth="1"/>
    <col min="14" max="14" width="13.5546875" customWidth="1"/>
    <col min="15" max="17" width="21.6640625" customWidth="1"/>
    <col min="18" max="18" width="20.5546875" customWidth="1"/>
  </cols>
  <sheetData>
    <row r="1" spans="1:18" x14ac:dyDescent="0.3">
      <c r="A1" s="112" t="s">
        <v>435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113"/>
    </row>
    <row r="2" spans="1:18" x14ac:dyDescent="0.3">
      <c r="A2" s="106"/>
      <c r="B2" s="126"/>
      <c r="C2" s="126"/>
      <c r="D2" s="126"/>
      <c r="E2" s="126"/>
      <c r="F2" s="126"/>
      <c r="G2" s="126"/>
      <c r="H2" s="126"/>
      <c r="I2" s="126"/>
      <c r="J2" s="126"/>
      <c r="K2" s="126"/>
      <c r="L2" s="126"/>
      <c r="M2" s="126"/>
      <c r="N2" s="126"/>
      <c r="O2" s="126"/>
      <c r="P2" s="126"/>
      <c r="Q2" s="126"/>
      <c r="R2" s="107"/>
    </row>
    <row r="3" spans="1:18" x14ac:dyDescent="0.3">
      <c r="A3" s="106"/>
      <c r="B3" s="126"/>
      <c r="C3" s="126"/>
      <c r="D3" s="126"/>
      <c r="E3" s="126"/>
      <c r="F3" s="126"/>
      <c r="G3" s="126"/>
      <c r="H3" s="126"/>
      <c r="I3" s="126"/>
      <c r="J3" s="126"/>
      <c r="K3" s="126"/>
      <c r="L3" s="126"/>
      <c r="M3" s="126"/>
      <c r="N3" s="126"/>
      <c r="O3" s="126"/>
      <c r="P3" s="126"/>
      <c r="Q3" s="126"/>
      <c r="R3" s="107"/>
    </row>
    <row r="4" spans="1:18" x14ac:dyDescent="0.3">
      <c r="A4" s="106"/>
      <c r="B4" s="126"/>
      <c r="C4" s="126"/>
      <c r="D4" s="126"/>
      <c r="E4" s="126"/>
      <c r="F4" s="126"/>
      <c r="G4" s="126"/>
      <c r="H4" s="126"/>
      <c r="I4" s="126"/>
      <c r="J4" s="126"/>
      <c r="K4" s="126"/>
      <c r="L4" s="126"/>
      <c r="M4" s="126"/>
      <c r="N4" s="126"/>
      <c r="O4" s="126"/>
      <c r="P4" s="126"/>
      <c r="Q4" s="126"/>
      <c r="R4" s="107"/>
    </row>
    <row r="5" spans="1:18" x14ac:dyDescent="0.3">
      <c r="A5" s="106"/>
      <c r="B5" s="126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07"/>
    </row>
    <row r="6" spans="1:18" x14ac:dyDescent="0.3">
      <c r="A6" s="106"/>
      <c r="B6" s="126"/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6"/>
      <c r="P6" s="126"/>
      <c r="Q6" s="126"/>
      <c r="R6" s="107"/>
    </row>
    <row r="7" spans="1:18" x14ac:dyDescent="0.3">
      <c r="A7" s="106"/>
      <c r="B7" s="126"/>
      <c r="C7" s="126"/>
      <c r="D7" s="126"/>
      <c r="E7" s="126"/>
      <c r="F7" s="126"/>
      <c r="G7" s="126"/>
      <c r="H7" s="126"/>
      <c r="I7" s="126"/>
      <c r="J7" s="126"/>
      <c r="K7" s="126"/>
      <c r="L7" s="126"/>
      <c r="M7" s="126"/>
      <c r="N7" s="126"/>
      <c r="O7" s="126"/>
      <c r="P7" s="126"/>
      <c r="Q7" s="126"/>
      <c r="R7" s="107"/>
    </row>
    <row r="8" spans="1:18" x14ac:dyDescent="0.3">
      <c r="A8" s="106"/>
      <c r="B8" s="126"/>
      <c r="C8" s="126"/>
      <c r="D8" s="126"/>
      <c r="E8" s="126"/>
      <c r="F8" s="126"/>
      <c r="G8" s="126"/>
      <c r="H8" s="126"/>
      <c r="I8" s="126"/>
      <c r="J8" s="126"/>
      <c r="K8" s="126"/>
      <c r="L8" s="126"/>
      <c r="M8" s="126"/>
      <c r="N8" s="126"/>
      <c r="O8" s="126"/>
      <c r="P8" s="126"/>
      <c r="Q8" s="126"/>
      <c r="R8" s="107"/>
    </row>
    <row r="9" spans="1:18" x14ac:dyDescent="0.3">
      <c r="A9" s="106"/>
      <c r="B9" s="126"/>
      <c r="C9" s="126"/>
      <c r="D9" s="126"/>
      <c r="E9" s="126"/>
      <c r="F9" s="126"/>
      <c r="G9" s="126"/>
      <c r="H9" s="126"/>
      <c r="I9" s="126"/>
      <c r="J9" s="126"/>
      <c r="K9" s="126"/>
      <c r="L9" s="126"/>
      <c r="M9" s="126"/>
      <c r="N9" s="126"/>
      <c r="O9" s="126"/>
      <c r="P9" s="126"/>
      <c r="Q9" s="126"/>
      <c r="R9" s="107"/>
    </row>
    <row r="10" spans="1:18" x14ac:dyDescent="0.3">
      <c r="A10" s="106"/>
      <c r="B10" s="126"/>
      <c r="C10" s="126"/>
      <c r="D10" s="126"/>
      <c r="E10" s="126"/>
      <c r="F10" s="126"/>
      <c r="G10" s="126"/>
      <c r="H10" s="126"/>
      <c r="I10" s="126"/>
      <c r="J10" s="126"/>
      <c r="K10" s="126"/>
      <c r="L10" s="126"/>
      <c r="M10" s="126"/>
      <c r="N10" s="126"/>
      <c r="O10" s="126"/>
      <c r="P10" s="126"/>
      <c r="Q10" s="126"/>
      <c r="R10" s="107"/>
    </row>
    <row r="11" spans="1:18" ht="15" thickBot="1" x14ac:dyDescent="0.35">
      <c r="A11" s="108"/>
      <c r="B11" s="92"/>
      <c r="C11" s="92"/>
      <c r="D11" s="92"/>
      <c r="E11" s="92"/>
      <c r="F11" s="92"/>
      <c r="G11" s="92"/>
      <c r="H11" s="92"/>
      <c r="I11" s="92"/>
      <c r="J11" s="92"/>
      <c r="K11" s="92"/>
      <c r="L11" s="92"/>
      <c r="M11" s="92"/>
      <c r="N11" s="92"/>
      <c r="O11" s="92"/>
      <c r="P11" s="92"/>
      <c r="Q11" s="92"/>
      <c r="R11" s="109"/>
    </row>
    <row r="36" spans="1:18" ht="15" thickBot="1" x14ac:dyDescent="0.35"/>
    <row r="37" spans="1:18" ht="15" thickBot="1" x14ac:dyDescent="0.35">
      <c r="A37" s="333" t="s">
        <v>436</v>
      </c>
      <c r="B37" s="84"/>
      <c r="C37" s="84"/>
      <c r="D37" s="84"/>
      <c r="E37" s="84"/>
      <c r="F37" s="84"/>
      <c r="G37" s="84"/>
      <c r="H37" s="84"/>
      <c r="I37" s="84"/>
      <c r="J37" s="113"/>
      <c r="K37" s="367" t="s">
        <v>479</v>
      </c>
      <c r="L37" s="367"/>
      <c r="M37" s="364"/>
      <c r="N37" s="379" t="s">
        <v>460</v>
      </c>
      <c r="O37" s="312" t="s">
        <v>486</v>
      </c>
      <c r="P37" s="356"/>
      <c r="Q37" s="379" t="s">
        <v>460</v>
      </c>
      <c r="R37" s="356" t="s">
        <v>486</v>
      </c>
    </row>
    <row r="38" spans="1:18" ht="15" thickBot="1" x14ac:dyDescent="0.35">
      <c r="A38" s="351" t="s">
        <v>437</v>
      </c>
      <c r="B38" s="352"/>
      <c r="C38" s="351" t="s">
        <v>438</v>
      </c>
      <c r="D38" s="352"/>
      <c r="E38" s="351" t="s">
        <v>439</v>
      </c>
      <c r="F38" s="352"/>
      <c r="G38" s="326"/>
      <c r="H38" s="326"/>
      <c r="I38" s="326"/>
      <c r="J38" s="107"/>
      <c r="K38" s="296"/>
      <c r="L38" s="353" t="s">
        <v>461</v>
      </c>
      <c r="M38" s="312" t="s">
        <v>462</v>
      </c>
      <c r="N38" s="366">
        <f>'Balance sheet'!J110</f>
        <v>3651</v>
      </c>
      <c r="O38" s="366">
        <f>'Balance sheet'!J110</f>
        <v>3651</v>
      </c>
      <c r="P38" s="366" t="s">
        <v>482</v>
      </c>
      <c r="Q38" s="366">
        <f>N38/(N38+N40)</f>
        <v>0.50275406224180663</v>
      </c>
      <c r="R38" s="366">
        <f>O38/(O38+O40)</f>
        <v>0.50275406224180663</v>
      </c>
    </row>
    <row r="39" spans="1:18" ht="15" thickBot="1" x14ac:dyDescent="0.35">
      <c r="A39" s="296" t="s">
        <v>440</v>
      </c>
      <c r="B39" s="337">
        <v>-7.2081146095294803E-4</v>
      </c>
      <c r="C39" s="296" t="s">
        <v>441</v>
      </c>
      <c r="D39" s="341">
        <v>-7.2081146095294803E-4</v>
      </c>
      <c r="E39" s="296"/>
      <c r="F39" s="343"/>
      <c r="G39" s="326"/>
      <c r="H39" s="326"/>
      <c r="I39" s="326"/>
      <c r="J39" s="107"/>
      <c r="K39" s="296"/>
      <c r="L39" s="353" t="s">
        <v>463</v>
      </c>
      <c r="M39" s="312" t="s">
        <v>464</v>
      </c>
      <c r="N39" s="366">
        <f>PRODUCT(1.67,3109.183856)</f>
        <v>5192.33703952</v>
      </c>
      <c r="O39" s="366">
        <f>PRODUCT(1.12,3109.183856)</f>
        <v>3482.2859187200006</v>
      </c>
      <c r="P39" s="366" t="s">
        <v>483</v>
      </c>
      <c r="Q39" s="366">
        <f>N40/(N38+N40)</f>
        <v>0.49724593775819331</v>
      </c>
      <c r="R39" s="366">
        <f>O40/(O38+O40)</f>
        <v>0.49724593775819331</v>
      </c>
    </row>
    <row r="40" spans="1:18" ht="15" thickBot="1" x14ac:dyDescent="0.35">
      <c r="A40" s="338" t="s">
        <v>442</v>
      </c>
      <c r="B40" s="339">
        <v>1.4999999999999999E-2</v>
      </c>
      <c r="C40" s="338" t="s">
        <v>443</v>
      </c>
      <c r="D40" s="339">
        <v>1.4999999999999999E-2</v>
      </c>
      <c r="E40" s="345" t="s">
        <v>478</v>
      </c>
      <c r="F40" s="349">
        <f>M53</f>
        <v>1.8253033707865168E-2</v>
      </c>
      <c r="G40" s="326"/>
      <c r="H40" s="327"/>
      <c r="I40" s="327"/>
      <c r="J40" s="107"/>
      <c r="K40" s="296"/>
      <c r="L40" s="354" t="s">
        <v>465</v>
      </c>
      <c r="M40" s="312" t="s">
        <v>487</v>
      </c>
      <c r="N40" s="366">
        <f>-'Reorganised Statements'!H39</f>
        <v>3611</v>
      </c>
      <c r="O40" s="366">
        <f>-'Reorganised Statements'!H39</f>
        <v>3611</v>
      </c>
      <c r="P40" s="375"/>
      <c r="Q40" s="375"/>
      <c r="R40" s="343"/>
    </row>
    <row r="41" spans="1:18" ht="15" thickBot="1" x14ac:dyDescent="0.35">
      <c r="A41" s="340" t="s">
        <v>444</v>
      </c>
      <c r="B41" s="341">
        <f>SUM(B39:B40)</f>
        <v>1.4279188539047052E-2</v>
      </c>
      <c r="C41" s="347" t="s">
        <v>444</v>
      </c>
      <c r="D41" s="341">
        <f>SUM(D39:D40)</f>
        <v>1.4279188539047052E-2</v>
      </c>
      <c r="E41" s="296"/>
      <c r="F41" s="343"/>
      <c r="G41" s="326"/>
      <c r="H41" s="326"/>
      <c r="I41" s="326"/>
      <c r="J41" s="107"/>
      <c r="K41" s="296"/>
      <c r="L41" s="355" t="s">
        <v>466</v>
      </c>
      <c r="M41" s="356"/>
      <c r="N41" s="365">
        <f>(SUM(N42:N44))</f>
        <v>3754</v>
      </c>
      <c r="O41" s="365">
        <f>(SUM(O42:O44))</f>
        <v>3754</v>
      </c>
      <c r="P41" s="366" t="s">
        <v>484</v>
      </c>
      <c r="Q41" s="366">
        <f>N39/(N39+N41)</f>
        <v>0.58038692445669204</v>
      </c>
      <c r="R41" s="366">
        <f>O39/(O39+O41)</f>
        <v>0.48122558420632017</v>
      </c>
    </row>
    <row r="42" spans="1:18" ht="15" thickBot="1" x14ac:dyDescent="0.35">
      <c r="A42" s="338" t="s">
        <v>445</v>
      </c>
      <c r="B42" s="339">
        <v>0.27900000000000003</v>
      </c>
      <c r="C42" s="338" t="s">
        <v>445</v>
      </c>
      <c r="D42" s="339">
        <v>0.27900000000000003</v>
      </c>
      <c r="E42" s="338" t="s">
        <v>445</v>
      </c>
      <c r="F42" s="339">
        <v>0.27900000000000003</v>
      </c>
      <c r="G42" s="326"/>
      <c r="H42" s="328"/>
      <c r="I42" s="328"/>
      <c r="J42" s="107"/>
      <c r="K42" s="296"/>
      <c r="L42" s="296"/>
      <c r="M42" s="357" t="s">
        <v>467</v>
      </c>
      <c r="N42" s="358">
        <v>3635</v>
      </c>
      <c r="O42" s="357">
        <v>3635</v>
      </c>
      <c r="P42" s="376" t="s">
        <v>485</v>
      </c>
      <c r="Q42" s="366">
        <f>1-Q41</f>
        <v>0.41961307554330796</v>
      </c>
      <c r="R42" s="366">
        <f>1-R41</f>
        <v>0.51877441579367978</v>
      </c>
    </row>
    <row r="43" spans="1:18" x14ac:dyDescent="0.3">
      <c r="A43" s="340" t="s">
        <v>446</v>
      </c>
      <c r="B43" s="342">
        <f>PRODUCT(B41,(1-B42))</f>
        <v>1.0295294936652924E-2</v>
      </c>
      <c r="C43" s="340" t="s">
        <v>446</v>
      </c>
      <c r="D43" s="342">
        <f>PRODUCT(D41,(1-D42))</f>
        <v>1.0295294936652924E-2</v>
      </c>
      <c r="E43" s="340" t="s">
        <v>447</v>
      </c>
      <c r="F43" s="342">
        <f>PRODUCT(F40,(1-F42))</f>
        <v>1.3160437303370786E-2</v>
      </c>
      <c r="G43" s="326"/>
      <c r="H43" s="318"/>
      <c r="I43" s="318"/>
      <c r="J43" s="107"/>
      <c r="K43" s="296"/>
      <c r="L43" s="296"/>
      <c r="M43" s="357" t="s">
        <v>109</v>
      </c>
      <c r="N43" s="358">
        <v>2</v>
      </c>
      <c r="O43" s="357">
        <v>2</v>
      </c>
      <c r="P43" s="55"/>
      <c r="Q43" s="55"/>
      <c r="R43" s="343"/>
    </row>
    <row r="44" spans="1:18" ht="15" thickBot="1" x14ac:dyDescent="0.35">
      <c r="A44" s="296"/>
      <c r="B44" s="343"/>
      <c r="C44" s="296"/>
      <c r="D44" s="343"/>
      <c r="E44" s="296"/>
      <c r="F44" s="350"/>
      <c r="G44" s="326"/>
      <c r="H44" s="319"/>
      <c r="I44" s="319"/>
      <c r="J44" s="107"/>
      <c r="K44" s="296"/>
      <c r="L44" s="308"/>
      <c r="M44" s="359" t="s">
        <v>468</v>
      </c>
      <c r="N44" s="360">
        <v>117</v>
      </c>
      <c r="O44" s="359">
        <v>117</v>
      </c>
      <c r="P44" s="55"/>
      <c r="Q44" s="55"/>
      <c r="R44" s="343"/>
    </row>
    <row r="45" spans="1:18" x14ac:dyDescent="0.3">
      <c r="A45" s="340" t="s">
        <v>448</v>
      </c>
      <c r="B45" s="337">
        <v>-7.2081146095294803E-4</v>
      </c>
      <c r="C45" s="296" t="s">
        <v>448</v>
      </c>
      <c r="D45" s="341">
        <v>-7.2081146095294803E-4</v>
      </c>
      <c r="E45" s="296" t="s">
        <v>448</v>
      </c>
      <c r="F45" s="337">
        <v>-7.2081146095294803E-4</v>
      </c>
      <c r="G45" s="326"/>
      <c r="H45" s="324"/>
      <c r="I45" s="324"/>
      <c r="J45" s="320"/>
      <c r="K45" s="296"/>
      <c r="L45" s="296"/>
      <c r="M45" s="55"/>
      <c r="N45" s="55"/>
      <c r="O45" s="55"/>
      <c r="P45" s="55"/>
      <c r="Q45" s="55"/>
      <c r="R45" s="343"/>
    </row>
    <row r="46" spans="1:18" ht="15" thickBot="1" x14ac:dyDescent="0.35">
      <c r="A46" s="296" t="s">
        <v>449</v>
      </c>
      <c r="B46" s="344">
        <v>2.99661426831043E-2</v>
      </c>
      <c r="C46" s="296" t="s">
        <v>449</v>
      </c>
      <c r="D46" s="344">
        <v>2.99661426831043E-2</v>
      </c>
      <c r="E46" s="296" t="s">
        <v>449</v>
      </c>
      <c r="F46" s="344">
        <v>2.99661426831043E-2</v>
      </c>
      <c r="G46" s="326"/>
      <c r="H46" s="327"/>
      <c r="I46" s="327"/>
      <c r="J46" s="107"/>
      <c r="K46" s="368" t="s">
        <v>480</v>
      </c>
      <c r="L46" s="368"/>
      <c r="M46" s="369"/>
      <c r="N46" s="55"/>
      <c r="O46" s="55"/>
      <c r="P46" s="55"/>
      <c r="Q46" s="55"/>
      <c r="R46" s="343"/>
    </row>
    <row r="47" spans="1:18" x14ac:dyDescent="0.3">
      <c r="A47" s="296" t="s">
        <v>450</v>
      </c>
      <c r="B47" s="342">
        <v>4.0205104717786398E-2</v>
      </c>
      <c r="C47" s="296" t="s">
        <v>450</v>
      </c>
      <c r="D47" s="344">
        <v>4.0205104717786398E-2</v>
      </c>
      <c r="E47" s="296" t="s">
        <v>450</v>
      </c>
      <c r="F47" s="342">
        <v>4.0205104717786398E-2</v>
      </c>
      <c r="G47" s="326"/>
      <c r="H47" s="318"/>
      <c r="I47" s="318"/>
      <c r="J47" s="107"/>
      <c r="K47" s="296"/>
      <c r="L47" s="370"/>
      <c r="M47" s="70" t="s">
        <v>469</v>
      </c>
      <c r="N47" s="70" t="s">
        <v>470</v>
      </c>
      <c r="O47" s="70" t="s">
        <v>471</v>
      </c>
      <c r="P47" s="55"/>
      <c r="Q47" s="55"/>
      <c r="R47" s="343"/>
    </row>
    <row r="48" spans="1:18" x14ac:dyDescent="0.3">
      <c r="A48" s="340" t="s">
        <v>451</v>
      </c>
      <c r="B48" s="344">
        <f>SUM(B46:B47)</f>
        <v>7.0171247400890702E-2</v>
      </c>
      <c r="C48" s="296" t="s">
        <v>451</v>
      </c>
      <c r="D48" s="344">
        <f>SUM(D46:D47)</f>
        <v>7.0171247400890702E-2</v>
      </c>
      <c r="E48" s="296" t="s">
        <v>451</v>
      </c>
      <c r="F48" s="344">
        <f>SUM(F46:F47)</f>
        <v>7.0171247400890702E-2</v>
      </c>
      <c r="G48" s="326"/>
      <c r="H48" s="327"/>
      <c r="I48" s="327"/>
      <c r="J48" s="107"/>
      <c r="K48" s="296"/>
      <c r="L48" s="371" t="s">
        <v>472</v>
      </c>
      <c r="M48" s="70">
        <v>3.6880000000000003E-2</v>
      </c>
      <c r="N48" s="70">
        <v>2</v>
      </c>
      <c r="O48" s="70">
        <v>500</v>
      </c>
      <c r="P48" s="55"/>
      <c r="Q48" s="55"/>
      <c r="R48" s="343"/>
    </row>
    <row r="49" spans="1:18" x14ac:dyDescent="0.3">
      <c r="A49" s="345" t="s">
        <v>452</v>
      </c>
      <c r="B49" s="346">
        <v>0.87311649000000002</v>
      </c>
      <c r="C49" s="338" t="s">
        <v>453</v>
      </c>
      <c r="D49" s="348">
        <v>0.83109791342430983</v>
      </c>
      <c r="E49" s="338" t="s">
        <v>452</v>
      </c>
      <c r="F49" s="346">
        <v>0.87311649000000002</v>
      </c>
      <c r="G49" s="326"/>
      <c r="H49" s="321"/>
      <c r="I49" s="321"/>
      <c r="J49" s="107"/>
      <c r="K49" s="296"/>
      <c r="L49" s="371" t="s">
        <v>473</v>
      </c>
      <c r="M49" s="70">
        <v>1.8360000000000001E-2</v>
      </c>
      <c r="N49" s="70">
        <v>5</v>
      </c>
      <c r="O49" s="70">
        <v>300</v>
      </c>
      <c r="P49" s="55"/>
      <c r="Q49" s="55"/>
      <c r="R49" s="343"/>
    </row>
    <row r="50" spans="1:18" x14ac:dyDescent="0.3">
      <c r="A50" s="296" t="s">
        <v>454</v>
      </c>
      <c r="B50" s="341">
        <f>B45+PRODUCT(B49,B48)</f>
        <v>6.0546861768634365E-2</v>
      </c>
      <c r="C50" s="296" t="s">
        <v>454</v>
      </c>
      <c r="D50" s="341">
        <f>D45+PRODUCT(D48:D49)</f>
        <v>5.7598365836308334E-2</v>
      </c>
      <c r="E50" s="296" t="s">
        <v>454</v>
      </c>
      <c r="F50" s="341">
        <f>SUM(F45,PRODUCT(F49,F48))</f>
        <v>6.0546861768634365E-2</v>
      </c>
      <c r="G50" s="326"/>
      <c r="H50" s="329"/>
      <c r="I50" s="329"/>
      <c r="J50" s="107"/>
      <c r="K50" s="296"/>
      <c r="L50" s="371" t="s">
        <v>474</v>
      </c>
      <c r="M50" s="70">
        <v>1.7680000000000001E-2</v>
      </c>
      <c r="N50" s="70">
        <v>8</v>
      </c>
      <c r="O50" s="70">
        <v>300</v>
      </c>
      <c r="P50" s="55"/>
      <c r="Q50" s="55"/>
      <c r="R50" s="343"/>
    </row>
    <row r="51" spans="1:18" ht="15" thickBot="1" x14ac:dyDescent="0.35">
      <c r="A51" s="296"/>
      <c r="B51" s="343"/>
      <c r="C51" s="296"/>
      <c r="D51" s="343"/>
      <c r="E51" s="296"/>
      <c r="F51" s="343"/>
      <c r="G51" s="326"/>
      <c r="H51" s="326"/>
      <c r="I51" s="326"/>
      <c r="J51" s="107"/>
      <c r="K51" s="296"/>
      <c r="L51" s="372" t="s">
        <v>475</v>
      </c>
      <c r="M51" s="70">
        <v>1.3899999999999999E-2</v>
      </c>
      <c r="N51" s="70">
        <v>10</v>
      </c>
      <c r="O51" s="70">
        <v>400</v>
      </c>
      <c r="P51" s="55"/>
      <c r="Q51" s="55"/>
      <c r="R51" s="343"/>
    </row>
    <row r="52" spans="1:18" ht="15" thickBot="1" x14ac:dyDescent="0.35">
      <c r="A52" s="335" t="s">
        <v>455</v>
      </c>
      <c r="B52" s="377">
        <f>B43*Q39 + B50*Q38</f>
        <v>3.5559474295447223E-2</v>
      </c>
      <c r="C52" s="335" t="s">
        <v>476</v>
      </c>
      <c r="D52" s="336"/>
      <c r="E52" s="335" t="s">
        <v>477</v>
      </c>
      <c r="F52" s="377">
        <f>F43*Q39+Q38*F50</f>
        <v>3.6984154698396575E-2</v>
      </c>
      <c r="G52" s="326"/>
      <c r="H52" s="325"/>
      <c r="I52" s="325"/>
      <c r="J52" s="107"/>
      <c r="K52" s="296"/>
      <c r="L52" s="296"/>
      <c r="M52" s="55"/>
      <c r="N52" s="55"/>
      <c r="O52" s="55"/>
      <c r="P52" s="55"/>
      <c r="Q52" s="55"/>
      <c r="R52" s="343"/>
    </row>
    <row r="53" spans="1:18" ht="15" thickBot="1" x14ac:dyDescent="0.35">
      <c r="A53" s="334" t="s">
        <v>456</v>
      </c>
      <c r="B53" s="378">
        <f>B43*Q42+B50*Q41</f>
        <v>3.9460647259396547E-2</v>
      </c>
      <c r="C53" s="334" t="s">
        <v>456</v>
      </c>
      <c r="D53" s="378">
        <f>Q42*D43+D50*Q41</f>
        <v>3.7749378773460775E-2</v>
      </c>
      <c r="E53" s="334" t="s">
        <v>456</v>
      </c>
      <c r="F53" s="378">
        <f>F43*Q42+Q41*F50</f>
        <v>4.0662898459764465E-2</v>
      </c>
      <c r="G53" s="326"/>
      <c r="H53" s="325"/>
      <c r="I53" s="325"/>
      <c r="J53" s="107"/>
      <c r="K53" s="296"/>
      <c r="L53" s="373" t="s">
        <v>481</v>
      </c>
      <c r="M53" s="374">
        <f xml:space="preserve"> (PRODUCT(M48:O48) + PRODUCT(M49:O49) + PRODUCT(M50:O50) + PRODUCT(M51:O51)) / (PRODUCT(N48:O48) + PRODUCT(N49:O49) + PRODUCT(N50:O50) + PRODUCT(N51:O51))</f>
        <v>1.8253033707865168E-2</v>
      </c>
      <c r="N53" s="361"/>
      <c r="O53" s="55"/>
      <c r="P53" s="55"/>
      <c r="Q53" s="55"/>
      <c r="R53" s="343"/>
    </row>
    <row r="54" spans="1:18" ht="15" thickBot="1" x14ac:dyDescent="0.35">
      <c r="A54" s="106"/>
      <c r="F54" s="322" t="s">
        <v>457</v>
      </c>
      <c r="G54" s="330"/>
      <c r="H54" s="330"/>
      <c r="I54" s="330"/>
      <c r="J54" s="331"/>
      <c r="K54" s="296"/>
      <c r="L54" s="296"/>
      <c r="M54" s="55"/>
      <c r="N54" s="55"/>
      <c r="O54" s="55"/>
      <c r="P54" s="55"/>
      <c r="Q54" s="55"/>
      <c r="R54" s="343"/>
    </row>
    <row r="55" spans="1:18" x14ac:dyDescent="0.3">
      <c r="A55" s="106"/>
      <c r="F55" s="316" t="s">
        <v>458</v>
      </c>
      <c r="G55" s="317"/>
      <c r="H55" s="317"/>
      <c r="I55" s="317"/>
      <c r="J55" s="380"/>
      <c r="K55" s="55" t="s">
        <v>488</v>
      </c>
      <c r="L55" s="55"/>
      <c r="M55" s="364"/>
      <c r="N55" s="364"/>
      <c r="O55" s="364"/>
      <c r="P55" s="356"/>
      <c r="Q55" s="55"/>
      <c r="R55" s="343"/>
    </row>
    <row r="56" spans="1:18" ht="15" thickBot="1" x14ac:dyDescent="0.35">
      <c r="A56" s="108"/>
      <c r="B56" s="92"/>
      <c r="C56" s="92"/>
      <c r="D56" s="92"/>
      <c r="E56" s="92"/>
      <c r="F56" s="323" t="s">
        <v>459</v>
      </c>
      <c r="G56" s="332"/>
      <c r="H56" s="332"/>
      <c r="I56" s="332"/>
      <c r="J56" s="332"/>
      <c r="K56" s="55"/>
      <c r="L56" s="55"/>
      <c r="M56" s="362" t="s">
        <v>165</v>
      </c>
      <c r="N56" s="362" t="s">
        <v>489</v>
      </c>
      <c r="O56" s="362" t="s">
        <v>490</v>
      </c>
      <c r="P56" s="363" t="s">
        <v>491</v>
      </c>
      <c r="Q56" s="362"/>
      <c r="R56" s="363"/>
    </row>
    <row r="57" spans="1:18" x14ac:dyDescent="0.3">
      <c r="K57" s="296" t="s">
        <v>492</v>
      </c>
      <c r="L57" s="55"/>
      <c r="M57" s="55">
        <v>3836.2650000000003</v>
      </c>
      <c r="N57" s="55">
        <v>0.52576026796023623</v>
      </c>
      <c r="O57" s="55">
        <v>0.41</v>
      </c>
      <c r="P57" s="343">
        <v>0.21556170986369683</v>
      </c>
      <c r="Q57" s="1"/>
    </row>
    <row r="58" spans="1:18" x14ac:dyDescent="0.3">
      <c r="K58" s="296" t="s">
        <v>493</v>
      </c>
      <c r="L58" s="55"/>
      <c r="M58" s="55">
        <v>49.814999999999998</v>
      </c>
      <c r="N58" s="55">
        <v>6.8271476940303041E-3</v>
      </c>
      <c r="O58" s="55">
        <v>0.28999999999999998</v>
      </c>
      <c r="P58" s="343">
        <v>1.9798728312687879E-3</v>
      </c>
      <c r="Q58" s="55"/>
      <c r="R58" s="126"/>
    </row>
    <row r="59" spans="1:18" x14ac:dyDescent="0.3">
      <c r="K59" s="296" t="s">
        <v>494</v>
      </c>
      <c r="L59" s="55"/>
      <c r="M59" s="55">
        <v>1278.7550000000001</v>
      </c>
      <c r="N59" s="55">
        <v>0.17525342265341209</v>
      </c>
      <c r="O59" s="55">
        <v>0.6</v>
      </c>
      <c r="P59" s="343">
        <v>0.10515205359204725</v>
      </c>
      <c r="Q59" s="55"/>
      <c r="R59" s="126"/>
    </row>
    <row r="60" spans="1:18" x14ac:dyDescent="0.3">
      <c r="K60" s="296" t="s">
        <v>495</v>
      </c>
      <c r="L60" s="55"/>
      <c r="M60" s="55">
        <v>903</v>
      </c>
      <c r="N60" s="55">
        <v>0.12375618523957373</v>
      </c>
      <c r="O60" s="55">
        <v>0.8</v>
      </c>
      <c r="P60" s="343">
        <v>9.900494819165899E-2</v>
      </c>
      <c r="Q60" s="55"/>
      <c r="R60" s="126"/>
    </row>
    <row r="61" spans="1:18" x14ac:dyDescent="0.3">
      <c r="K61" s="296"/>
      <c r="L61" s="55"/>
      <c r="M61" s="55"/>
      <c r="N61" s="55"/>
      <c r="O61" s="55"/>
      <c r="P61" s="343">
        <v>0</v>
      </c>
      <c r="Q61" s="55"/>
      <c r="R61" s="126"/>
    </row>
    <row r="62" spans="1:18" x14ac:dyDescent="0.3">
      <c r="K62" s="296" t="s">
        <v>496</v>
      </c>
      <c r="L62" s="55"/>
      <c r="M62" s="55">
        <v>1228.77</v>
      </c>
      <c r="N62" s="55">
        <v>0.16840297645274752</v>
      </c>
      <c r="O62" s="55">
        <v>0.74</v>
      </c>
      <c r="P62" s="343">
        <v>0.12461820257503316</v>
      </c>
      <c r="Q62" s="55"/>
      <c r="R62" s="126"/>
    </row>
    <row r="63" spans="1:18" x14ac:dyDescent="0.3">
      <c r="K63" s="296" t="s">
        <v>497</v>
      </c>
      <c r="L63" s="55"/>
      <c r="M63" s="55"/>
      <c r="N63" s="55">
        <v>0</v>
      </c>
      <c r="O63" s="55">
        <v>0.91</v>
      </c>
      <c r="P63" s="343">
        <v>0</v>
      </c>
      <c r="Q63" s="55"/>
      <c r="R63" s="126"/>
    </row>
    <row r="64" spans="1:18" ht="15" thickBot="1" x14ac:dyDescent="0.35">
      <c r="K64" s="308" t="s">
        <v>498</v>
      </c>
      <c r="L64" s="362"/>
      <c r="M64" s="362">
        <v>7296.6050000000014</v>
      </c>
      <c r="N64" s="362">
        <v>0.99999999999999989</v>
      </c>
      <c r="O64" s="362"/>
      <c r="P64" s="363">
        <v>0.54631678705370501</v>
      </c>
      <c r="Q64" s="55"/>
      <c r="R64" s="126"/>
    </row>
    <row r="65" spans="11:18" x14ac:dyDescent="0.3">
      <c r="K65" s="1"/>
      <c r="L65" s="1"/>
      <c r="M65" s="55"/>
      <c r="N65" s="55"/>
      <c r="O65" s="55"/>
      <c r="P65" s="55"/>
      <c r="Q65" s="55"/>
      <c r="R65" s="126"/>
    </row>
    <row r="66" spans="11:18" x14ac:dyDescent="0.3">
      <c r="M66" s="126"/>
      <c r="N66" s="126"/>
      <c r="O66" s="126"/>
      <c r="P66" s="126"/>
      <c r="Q66" s="126"/>
      <c r="R66" s="126"/>
    </row>
    <row r="67" spans="11:18" x14ac:dyDescent="0.3">
      <c r="M67" s="126"/>
      <c r="N67" s="126"/>
      <c r="O67" s="126"/>
      <c r="P67" s="126"/>
      <c r="Q67" s="126"/>
      <c r="R67" s="126"/>
    </row>
    <row r="68" spans="11:18" x14ac:dyDescent="0.3">
      <c r="M68" s="126"/>
      <c r="N68" s="126"/>
      <c r="O68" s="126"/>
      <c r="P68" s="126"/>
      <c r="Q68" s="126"/>
      <c r="R68" s="126"/>
    </row>
    <row r="69" spans="11:18" x14ac:dyDescent="0.3">
      <c r="M69" s="126"/>
      <c r="N69" s="126"/>
      <c r="O69" s="126"/>
      <c r="P69" s="126"/>
      <c r="Q69" s="126"/>
      <c r="R69" s="126"/>
    </row>
    <row r="70" spans="11:18" x14ac:dyDescent="0.3">
      <c r="M70" s="126"/>
      <c r="N70" s="126"/>
      <c r="O70" s="126"/>
      <c r="P70" s="126"/>
      <c r="Q70" s="126"/>
      <c r="R70" s="126"/>
    </row>
    <row r="71" spans="11:18" x14ac:dyDescent="0.3">
      <c r="M71" s="126"/>
      <c r="N71" s="126"/>
      <c r="O71" s="126"/>
      <c r="P71" s="126"/>
      <c r="Q71" s="126"/>
      <c r="R71" s="126"/>
    </row>
  </sheetData>
  <phoneticPr fontId="35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077E9-5EBC-43DF-AC77-55E4CE163A6D}">
  <dimension ref="B3:H37"/>
  <sheetViews>
    <sheetView workbookViewId="0">
      <selection activeCell="O16" sqref="O16"/>
    </sheetView>
  </sheetViews>
  <sheetFormatPr defaultRowHeight="14.4" x14ac:dyDescent="0.3"/>
  <sheetData>
    <row r="3" spans="2:8" ht="15" thickBot="1" x14ac:dyDescent="0.35">
      <c r="B3" s="5"/>
      <c r="C3" s="5"/>
      <c r="D3" s="5"/>
      <c r="E3" s="162"/>
      <c r="F3" s="162"/>
      <c r="G3" s="162"/>
      <c r="H3" s="162"/>
    </row>
    <row r="4" spans="2:8" ht="15" thickBot="1" x14ac:dyDescent="0.35">
      <c r="B4" s="101" t="s">
        <v>306</v>
      </c>
    </row>
    <row r="5" spans="2:8" ht="15" thickBot="1" x14ac:dyDescent="0.35"/>
    <row r="6" spans="2:8" x14ac:dyDescent="0.3">
      <c r="B6" s="102" t="s">
        <v>307</v>
      </c>
      <c r="C6" s="103"/>
      <c r="D6" s="103"/>
      <c r="E6" s="103">
        <v>2018</v>
      </c>
      <c r="F6" s="103"/>
      <c r="G6" s="104">
        <v>2023</v>
      </c>
      <c r="H6" s="105" t="s">
        <v>308</v>
      </c>
    </row>
    <row r="7" spans="2:8" x14ac:dyDescent="0.3">
      <c r="B7" s="106" t="s">
        <v>309</v>
      </c>
      <c r="E7">
        <v>359</v>
      </c>
      <c r="G7" s="107">
        <v>323</v>
      </c>
      <c r="H7" s="87"/>
    </row>
    <row r="8" spans="2:8" x14ac:dyDescent="0.3">
      <c r="B8" s="106" t="s">
        <v>310</v>
      </c>
      <c r="E8">
        <v>187</v>
      </c>
      <c r="G8" s="107">
        <v>323</v>
      </c>
      <c r="H8" s="87"/>
    </row>
    <row r="9" spans="2:8" x14ac:dyDescent="0.3">
      <c r="B9" s="106" t="s">
        <v>311</v>
      </c>
      <c r="E9">
        <v>269</v>
      </c>
      <c r="G9" s="107">
        <v>381</v>
      </c>
      <c r="H9" s="87"/>
    </row>
    <row r="10" spans="2:8" x14ac:dyDescent="0.3">
      <c r="B10" s="106" t="s">
        <v>312</v>
      </c>
      <c r="E10">
        <v>406</v>
      </c>
      <c r="G10" s="107">
        <v>518</v>
      </c>
      <c r="H10" s="87"/>
    </row>
    <row r="11" spans="2:8" x14ac:dyDescent="0.3">
      <c r="B11" s="106" t="s">
        <v>45</v>
      </c>
      <c r="E11">
        <v>-29</v>
      </c>
      <c r="G11" s="107">
        <v>-14</v>
      </c>
      <c r="H11" s="87"/>
    </row>
    <row r="12" spans="2:8" ht="15" thickBot="1" x14ac:dyDescent="0.35">
      <c r="B12" s="108" t="s">
        <v>110</v>
      </c>
      <c r="C12" s="92"/>
      <c r="D12" s="92"/>
      <c r="E12" s="92">
        <f>SUM(E7:E11)</f>
        <v>1192</v>
      </c>
      <c r="F12" s="92"/>
      <c r="G12" s="109">
        <f>SUM(G7:G11)</f>
        <v>1531</v>
      </c>
      <c r="H12" s="110">
        <f>(G12-E12)/E12</f>
        <v>0.28439597315436244</v>
      </c>
    </row>
    <row r="13" spans="2:8" ht="15" thickBot="1" x14ac:dyDescent="0.35"/>
    <row r="14" spans="2:8" x14ac:dyDescent="0.3">
      <c r="B14" s="102" t="s">
        <v>313</v>
      </c>
      <c r="C14" s="103"/>
      <c r="D14" s="103"/>
      <c r="E14" s="103" t="s">
        <v>314</v>
      </c>
      <c r="F14" s="103"/>
      <c r="G14" s="104" t="s">
        <v>314</v>
      </c>
    </row>
    <row r="15" spans="2:8" x14ac:dyDescent="0.3">
      <c r="B15" s="106" t="s">
        <v>315</v>
      </c>
      <c r="E15">
        <v>2607</v>
      </c>
      <c r="F15" t="s">
        <v>312</v>
      </c>
      <c r="G15" s="107">
        <v>1459</v>
      </c>
    </row>
    <row r="16" spans="2:8" x14ac:dyDescent="0.3">
      <c r="B16" s="106" t="s">
        <v>316</v>
      </c>
      <c r="E16">
        <v>1378</v>
      </c>
      <c r="F16" t="s">
        <v>317</v>
      </c>
      <c r="G16" s="107">
        <v>504</v>
      </c>
    </row>
    <row r="17" spans="2:7" x14ac:dyDescent="0.3">
      <c r="B17" s="106"/>
      <c r="F17" t="s">
        <v>311</v>
      </c>
      <c r="G17" s="107">
        <v>943</v>
      </c>
    </row>
    <row r="18" spans="2:7" x14ac:dyDescent="0.3">
      <c r="B18" s="106"/>
      <c r="F18" t="s">
        <v>318</v>
      </c>
      <c r="G18" s="107">
        <v>287</v>
      </c>
    </row>
    <row r="19" spans="2:7" x14ac:dyDescent="0.3">
      <c r="B19" s="106"/>
      <c r="F19" t="s">
        <v>319</v>
      </c>
      <c r="G19" s="107">
        <v>295</v>
      </c>
    </row>
    <row r="20" spans="2:7" x14ac:dyDescent="0.3">
      <c r="B20" s="106"/>
      <c r="F20" t="s">
        <v>320</v>
      </c>
      <c r="G20" s="107">
        <v>402</v>
      </c>
    </row>
    <row r="21" spans="2:7" x14ac:dyDescent="0.3">
      <c r="B21" s="106"/>
      <c r="F21" t="s">
        <v>321</v>
      </c>
      <c r="G21" s="107">
        <v>97</v>
      </c>
    </row>
    <row r="22" spans="2:7" ht="15" thickBot="1" x14ac:dyDescent="0.35">
      <c r="B22" s="108" t="s">
        <v>16</v>
      </c>
      <c r="C22" s="92"/>
      <c r="D22" s="92"/>
      <c r="E22" s="92">
        <f>SUM(E15:E16)</f>
        <v>3985</v>
      </c>
      <c r="F22" s="92" t="s">
        <v>16</v>
      </c>
      <c r="G22" s="109">
        <f>SUM(G15:G21)</f>
        <v>3987</v>
      </c>
    </row>
    <row r="23" spans="2:7" ht="15" thickBot="1" x14ac:dyDescent="0.35"/>
    <row r="24" spans="2:7" x14ac:dyDescent="0.3">
      <c r="B24" s="112" t="s">
        <v>322</v>
      </c>
      <c r="C24" s="84"/>
      <c r="D24" s="84"/>
      <c r="E24" s="113"/>
    </row>
    <row r="25" spans="2:7" x14ac:dyDescent="0.3">
      <c r="B25" s="106" t="s">
        <v>323</v>
      </c>
      <c r="E25" s="114">
        <v>3</v>
      </c>
    </row>
    <row r="26" spans="2:7" x14ac:dyDescent="0.3">
      <c r="B26" s="106" t="s">
        <v>324</v>
      </c>
      <c r="E26" s="107">
        <v>-6.8</v>
      </c>
    </row>
    <row r="27" spans="2:7" x14ac:dyDescent="0.3">
      <c r="B27" s="106" t="s">
        <v>325</v>
      </c>
      <c r="E27" s="107">
        <v>0.3</v>
      </c>
    </row>
    <row r="28" spans="2:7" x14ac:dyDescent="0.3">
      <c r="B28" s="106" t="s">
        <v>326</v>
      </c>
      <c r="E28" s="107">
        <v>0.1</v>
      </c>
    </row>
    <row r="29" spans="2:7" x14ac:dyDescent="0.3">
      <c r="B29" s="106" t="s">
        <v>327</v>
      </c>
      <c r="E29" s="107">
        <v>0.8</v>
      </c>
    </row>
    <row r="30" spans="2:7" x14ac:dyDescent="0.3">
      <c r="B30" s="106" t="s">
        <v>328</v>
      </c>
      <c r="E30" s="107">
        <v>0.6</v>
      </c>
    </row>
    <row r="31" spans="2:7" x14ac:dyDescent="0.3">
      <c r="B31" s="106" t="s">
        <v>329</v>
      </c>
      <c r="E31" s="107">
        <v>1.3</v>
      </c>
    </row>
    <row r="32" spans="2:7" x14ac:dyDescent="0.3">
      <c r="B32" s="106" t="s">
        <v>330</v>
      </c>
      <c r="E32" s="107">
        <v>3.2</v>
      </c>
    </row>
    <row r="33" spans="2:5" x14ac:dyDescent="0.3">
      <c r="B33" s="106" t="s">
        <v>331</v>
      </c>
      <c r="E33" s="107">
        <v>0.5</v>
      </c>
    </row>
    <row r="34" spans="2:5" x14ac:dyDescent="0.3">
      <c r="B34" s="106" t="s">
        <v>332</v>
      </c>
      <c r="E34" s="114">
        <v>2.9</v>
      </c>
    </row>
    <row r="35" spans="2:5" x14ac:dyDescent="0.3">
      <c r="B35" s="106" t="s">
        <v>333</v>
      </c>
      <c r="E35" s="107">
        <v>0.1</v>
      </c>
    </row>
    <row r="36" spans="2:5" x14ac:dyDescent="0.3">
      <c r="B36" s="106" t="s">
        <v>319</v>
      </c>
      <c r="E36" s="107">
        <v>0.3</v>
      </c>
    </row>
    <row r="37" spans="2:5" ht="15" thickBot="1" x14ac:dyDescent="0.35">
      <c r="B37" s="108" t="s">
        <v>334</v>
      </c>
      <c r="C37" s="92"/>
      <c r="D37" s="92"/>
      <c r="E37" s="115">
        <v>3.3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8</vt:i4>
      </vt:variant>
    </vt:vector>
  </HeadingPairs>
  <TitlesOfParts>
    <vt:vector size="8" baseType="lpstr">
      <vt:lpstr>Balance sheet</vt:lpstr>
      <vt:lpstr>Income Statement</vt:lpstr>
      <vt:lpstr>Reorganised Statements</vt:lpstr>
      <vt:lpstr>Cash flows</vt:lpstr>
      <vt:lpstr>Trailing 12-months</vt:lpstr>
      <vt:lpstr>ratio</vt:lpstr>
      <vt:lpstr>analysis</vt:lpstr>
      <vt:lpstr>Forecasts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Gianmarco</dc:creator>
  <cp:lastModifiedBy>simone.luca.lucchesi@gmail.com</cp:lastModifiedBy>
  <dcterms:created xsi:type="dcterms:W3CDTF">2015-06-05T18:19:34Z</dcterms:created>
  <dcterms:modified xsi:type="dcterms:W3CDTF">2020-05-26T09:28:13Z</dcterms:modified>
</cp:coreProperties>
</file>