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mc:AlternateContent xmlns:mc="http://schemas.openxmlformats.org/markup-compatibility/2006">
    <mc:Choice Requires="x15">
      <x15ac:absPath xmlns:x15ac="http://schemas.microsoft.com/office/spreadsheetml/2010/11/ac" url="C:\Users\simon\OneDrive\Desktop\Corporate-project-\Project\Work in progress\"/>
    </mc:Choice>
  </mc:AlternateContent>
  <xr:revisionPtr revIDLastSave="1059" documentId="13_ncr:1_{D0D5034D-52DF-4A1C-9555-C6ED2DB183B2}" xr6:coauthVersionLast="45" xr6:coauthVersionMax="45" xr10:uidLastSave="{5D3F8575-751B-4A1B-B00E-2DF8EB5E43FE}"/>
  <bookViews>
    <workbookView xWindow="-108" yWindow="-108" windowWidth="23256" windowHeight="12576" firstSheet="1" activeTab="1" xr2:uid="{00000000-000D-0000-FFFF-FFFF00000000}"/>
  </bookViews>
  <sheets>
    <sheet name="IS" sheetId="2" r:id="rId1"/>
    <sheet name="Reorganized IS" sheetId="6" r:id="rId2"/>
    <sheet name="IS Trailing 12 months " sheetId="8" r:id="rId3"/>
    <sheet name="Analysis " sheetId="9" r:id="rId4"/>
    <sheet name="Bottom up Beta" sheetId="11" r:id="rId5"/>
    <sheet name="FCFE Computation" sheetId="7" r:id="rId6"/>
    <sheet name="Ratios " sheetId="13" r:id="rId7"/>
    <sheet name="Forecasts " sheetId="12"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Q5" i="8" l="1"/>
  <c r="Q6" i="8"/>
  <c r="Q7" i="8"/>
  <c r="Q8" i="8"/>
  <c r="Q9" i="8"/>
  <c r="Q10" i="8"/>
  <c r="Q11" i="8"/>
  <c r="Q12" i="8"/>
  <c r="Q13" i="8"/>
  <c r="Q14" i="8"/>
  <c r="Q15" i="8"/>
  <c r="Q16" i="8"/>
  <c r="Q17" i="8"/>
  <c r="Q18" i="8"/>
  <c r="Q4" i="8"/>
  <c r="N5" i="8"/>
  <c r="N6" i="8"/>
  <c r="N7" i="8"/>
  <c r="N8" i="8"/>
  <c r="N9" i="8"/>
  <c r="N10" i="8"/>
  <c r="N11" i="8"/>
  <c r="N12" i="8"/>
  <c r="N13" i="8"/>
  <c r="N14" i="8"/>
  <c r="N15" i="8"/>
  <c r="N16" i="8"/>
  <c r="N17" i="8"/>
  <c r="N18" i="8"/>
  <c r="N4" i="8"/>
  <c r="K5" i="8"/>
  <c r="K6" i="8"/>
  <c r="K7" i="8"/>
  <c r="K8" i="8"/>
  <c r="K9" i="8"/>
  <c r="K10" i="8"/>
  <c r="K11" i="8"/>
  <c r="K12" i="8"/>
  <c r="K13" i="8"/>
  <c r="K14" i="8"/>
  <c r="K15" i="8"/>
  <c r="K16" i="8"/>
  <c r="K17" i="8"/>
  <c r="K18" i="8"/>
  <c r="K4" i="8"/>
  <c r="H5" i="8"/>
  <c r="H6" i="8"/>
  <c r="H7" i="8"/>
  <c r="H8" i="8"/>
  <c r="H9" i="8"/>
  <c r="H10" i="8"/>
  <c r="H11" i="8"/>
  <c r="H12" i="8"/>
  <c r="H13" i="8"/>
  <c r="H14" i="8"/>
  <c r="H15" i="8"/>
  <c r="H16" i="8"/>
  <c r="H17" i="8"/>
  <c r="H18" i="8"/>
  <c r="H4" i="8"/>
  <c r="S18" i="8"/>
  <c r="S16" i="8"/>
  <c r="S14" i="8"/>
  <c r="S12" i="8"/>
  <c r="S9" i="8"/>
  <c r="S7" i="8"/>
  <c r="R18" i="8"/>
  <c r="R16" i="8"/>
  <c r="R14" i="8"/>
  <c r="R12" i="8"/>
  <c r="R9" i="8"/>
  <c r="R7" i="8"/>
  <c r="P18" i="8"/>
  <c r="P16" i="8"/>
  <c r="P14" i="8"/>
  <c r="P12" i="8"/>
  <c r="P9" i="8"/>
  <c r="P7" i="8"/>
  <c r="O18" i="8"/>
  <c r="O16" i="8"/>
  <c r="O14" i="8"/>
  <c r="O12" i="8"/>
  <c r="O9" i="8"/>
  <c r="O7" i="8"/>
  <c r="I16" i="8"/>
  <c r="J16" i="8"/>
  <c r="J18" i="8" s="1"/>
  <c r="L16" i="8"/>
  <c r="L18" i="8" s="1"/>
  <c r="M16" i="8"/>
  <c r="M18" i="8" s="1"/>
  <c r="I18" i="8"/>
  <c r="I14" i="8"/>
  <c r="J14" i="8"/>
  <c r="L14" i="8"/>
  <c r="M14" i="8"/>
  <c r="I12" i="8"/>
  <c r="J12" i="8"/>
  <c r="L12" i="8"/>
  <c r="M12" i="8"/>
  <c r="I9" i="8"/>
  <c r="J9" i="8"/>
  <c r="L9" i="8"/>
  <c r="M9" i="8"/>
  <c r="L7" i="8"/>
  <c r="M7" i="8"/>
  <c r="I7" i="8"/>
  <c r="J7" i="8"/>
  <c r="B22" i="9" l="1"/>
  <c r="T19" i="12" l="1"/>
  <c r="R19" i="12"/>
  <c r="T9" i="12"/>
  <c r="U9" i="12" s="1"/>
  <c r="R9" i="12"/>
  <c r="C21" i="7" l="1"/>
  <c r="C53" i="7"/>
  <c r="E53" i="7"/>
  <c r="G53" i="7"/>
  <c r="H53" i="7"/>
  <c r="I53" i="7"/>
  <c r="D53" i="7"/>
  <c r="I40" i="7"/>
  <c r="E40" i="7"/>
  <c r="G40" i="7"/>
  <c r="H40" i="7"/>
  <c r="D40" i="7"/>
  <c r="E39" i="7"/>
  <c r="G39" i="7"/>
  <c r="H39" i="7"/>
  <c r="I39" i="7"/>
  <c r="D39" i="7"/>
  <c r="E21" i="7" l="1"/>
  <c r="G21" i="7"/>
  <c r="H21" i="7"/>
  <c r="E17" i="7"/>
  <c r="G17" i="7"/>
  <c r="H17" i="7"/>
  <c r="D21" i="7"/>
  <c r="D17" i="7"/>
  <c r="E6" i="7"/>
  <c r="G6" i="7"/>
  <c r="H6" i="7"/>
  <c r="I6" i="7"/>
  <c r="D6" i="7"/>
  <c r="B43" i="9"/>
  <c r="B45" i="9"/>
  <c r="B46" i="9"/>
  <c r="B42" i="9"/>
  <c r="D48" i="9"/>
  <c r="E48" i="9"/>
  <c r="F48" i="9"/>
  <c r="G48" i="9"/>
  <c r="H48" i="9"/>
  <c r="C48" i="9"/>
  <c r="E11" i="7"/>
  <c r="G11" i="7"/>
  <c r="H11" i="7"/>
  <c r="I11" i="7"/>
  <c r="I8" i="9"/>
  <c r="I24" i="9"/>
  <c r="F16" i="9"/>
  <c r="G16" i="9"/>
  <c r="H16" i="9"/>
  <c r="I16" i="9"/>
  <c r="I19" i="9" s="1"/>
  <c r="D11" i="7"/>
  <c r="H8" i="9"/>
  <c r="Q36" i="7"/>
  <c r="Q35" i="7"/>
  <c r="V34" i="7"/>
  <c r="V37" i="7" s="1"/>
  <c r="U34" i="7"/>
  <c r="U37" i="7" s="1"/>
  <c r="T34" i="7"/>
  <c r="T37" i="7" s="1"/>
  <c r="R34" i="7"/>
  <c r="R37" i="7" s="1"/>
  <c r="Q37" i="7" s="1"/>
  <c r="P34" i="7"/>
  <c r="P37" i="7" s="1"/>
  <c r="Q33" i="7"/>
  <c r="Q32" i="7"/>
  <c r="Q31" i="7"/>
  <c r="I26" i="9" l="1"/>
  <c r="H29" i="9"/>
  <c r="B48" i="9"/>
  <c r="Q34" i="7"/>
  <c r="B20" i="11"/>
  <c r="E71" i="9"/>
  <c r="E73" i="9" s="1"/>
  <c r="I71" i="9"/>
  <c r="I73" i="9" s="1"/>
  <c r="D96" i="9"/>
  <c r="C96" i="9"/>
  <c r="D94" i="9"/>
  <c r="C94" i="9"/>
  <c r="E64" i="9"/>
  <c r="E66" i="9" s="1"/>
  <c r="I89" i="9"/>
  <c r="I63" i="9" s="1"/>
  <c r="I66" i="9" s="1"/>
  <c r="E76" i="9" l="1"/>
  <c r="I75" i="9"/>
  <c r="I76" i="9"/>
  <c r="F24" i="9"/>
  <c r="G24" i="9"/>
  <c r="H24" i="9"/>
  <c r="F19" i="9"/>
  <c r="G19" i="9"/>
  <c r="H19" i="9"/>
  <c r="D24" i="9"/>
  <c r="C24" i="9"/>
  <c r="B14" i="9"/>
  <c r="B15" i="9"/>
  <c r="B17" i="9"/>
  <c r="B18" i="9"/>
  <c r="B21" i="9"/>
  <c r="B23" i="9"/>
  <c r="D16" i="9"/>
  <c r="C16" i="9"/>
  <c r="C19" i="9" s="1"/>
  <c r="U24" i="9"/>
  <c r="Q24" i="9"/>
  <c r="M24" i="9"/>
  <c r="L24" i="9"/>
  <c r="C18" i="11"/>
  <c r="C16" i="11"/>
  <c r="C21" i="11"/>
  <c r="C20" i="11"/>
  <c r="C17" i="11"/>
  <c r="B17" i="11"/>
  <c r="B18" i="11"/>
  <c r="L15" i="11"/>
  <c r="L17" i="11"/>
  <c r="B13" i="9"/>
  <c r="C26" i="9" l="1"/>
  <c r="B24" i="9"/>
  <c r="F26" i="9"/>
  <c r="L25" i="9"/>
  <c r="H26" i="9"/>
  <c r="H30" i="9" s="1"/>
  <c r="G26" i="9"/>
  <c r="B16" i="9"/>
  <c r="D19" i="9"/>
  <c r="G30" i="9" l="1"/>
  <c r="F30" i="9"/>
  <c r="B19" i="9"/>
  <c r="D26" i="9"/>
  <c r="C5" i="11"/>
  <c r="C3" i="11"/>
  <c r="B26" i="9" l="1"/>
  <c r="D30" i="9"/>
  <c r="C30" i="9"/>
  <c r="B71" i="9"/>
  <c r="B73" i="9" s="1"/>
  <c r="B64" i="9"/>
  <c r="B66" i="9" s="1"/>
  <c r="B75" i="9" l="1"/>
  <c r="B76" i="9"/>
  <c r="K15" i="11"/>
  <c r="K17" i="11"/>
  <c r="F7" i="11"/>
  <c r="C10" i="11"/>
  <c r="D8" i="11" s="1"/>
  <c r="F8" i="11" s="1"/>
  <c r="F94" i="6"/>
  <c r="D9" i="11" l="1"/>
  <c r="F9" i="11" s="1"/>
  <c r="D3" i="11"/>
  <c r="D4" i="11"/>
  <c r="F4" i="11" s="1"/>
  <c r="D5" i="11"/>
  <c r="F5" i="11" s="1"/>
  <c r="D6" i="11"/>
  <c r="F6" i="11" s="1"/>
  <c r="L5" i="9"/>
  <c r="Q3" i="9"/>
  <c r="Q4" i="9"/>
  <c r="Q6" i="9"/>
  <c r="M3" i="9"/>
  <c r="M4" i="9"/>
  <c r="M6" i="9"/>
  <c r="R8" i="9"/>
  <c r="S8" i="9"/>
  <c r="T8" i="9"/>
  <c r="O8" i="9"/>
  <c r="P8" i="9"/>
  <c r="N8" i="9"/>
  <c r="F8" i="9"/>
  <c r="G8" i="9"/>
  <c r="G29" i="9" s="1"/>
  <c r="C8" i="9"/>
  <c r="D8" i="9"/>
  <c r="B4" i="9"/>
  <c r="B6" i="9"/>
  <c r="B3" i="9"/>
  <c r="D29" i="9" l="1"/>
  <c r="Q8" i="9"/>
  <c r="C29" i="9"/>
  <c r="M8" i="9"/>
  <c r="F29" i="9"/>
  <c r="L6" i="9"/>
  <c r="L4" i="9"/>
  <c r="L3" i="9"/>
  <c r="F3" i="11"/>
  <c r="F10" i="11" s="1"/>
  <c r="B16" i="11" s="1"/>
  <c r="D10" i="11"/>
  <c r="C5" i="8"/>
  <c r="C6" i="8"/>
  <c r="C7" i="8"/>
  <c r="C8" i="8"/>
  <c r="C9" i="8"/>
  <c r="C10" i="8"/>
  <c r="B10" i="8" s="1"/>
  <c r="C11" i="8"/>
  <c r="B11" i="8" s="1"/>
  <c r="C13" i="8"/>
  <c r="C14" i="8"/>
  <c r="C15" i="8"/>
  <c r="B15" i="8" s="1"/>
  <c r="C16" i="8"/>
  <c r="C17" i="8"/>
  <c r="C18" i="8"/>
  <c r="C4" i="8"/>
  <c r="B4" i="8" s="1"/>
  <c r="B5" i="8"/>
  <c r="B6" i="8"/>
  <c r="B7" i="8"/>
  <c r="B8" i="8"/>
  <c r="B9" i="8"/>
  <c r="B13" i="8"/>
  <c r="B17" i="8"/>
  <c r="D14" i="8"/>
  <c r="D15" i="8"/>
  <c r="D18" i="8"/>
  <c r="D10" i="8"/>
  <c r="D12" i="8"/>
  <c r="D7" i="8"/>
  <c r="D9" i="8"/>
  <c r="E18" i="8"/>
  <c r="F18" i="8"/>
  <c r="E12" i="8"/>
  <c r="F12" i="8"/>
  <c r="C12" i="8" s="1"/>
  <c r="B12" i="8" s="1"/>
  <c r="E9" i="8"/>
  <c r="F9" i="8"/>
  <c r="E7" i="8"/>
  <c r="F7" i="8"/>
  <c r="G12" i="8"/>
  <c r="G14" i="8" s="1"/>
  <c r="G9" i="8"/>
  <c r="G7" i="8"/>
  <c r="D4" i="8"/>
  <c r="C9" i="2"/>
  <c r="G16" i="8" l="1"/>
  <c r="B16" i="8" s="1"/>
  <c r="B14" i="8"/>
  <c r="L8" i="9"/>
  <c r="B21" i="11"/>
  <c r="G83" i="6"/>
  <c r="H83" i="6"/>
  <c r="I83" i="6"/>
  <c r="G82" i="6"/>
  <c r="H82" i="6"/>
  <c r="I82" i="6"/>
  <c r="H80" i="6"/>
  <c r="G72" i="6"/>
  <c r="H72" i="6"/>
  <c r="I72" i="6"/>
  <c r="G36" i="6"/>
  <c r="H36" i="6"/>
  <c r="I36" i="6"/>
  <c r="I69" i="6"/>
  <c r="H69" i="6"/>
  <c r="G69" i="6"/>
  <c r="I58" i="6"/>
  <c r="I61" i="6" s="1"/>
  <c r="H56" i="6"/>
  <c r="H58" i="6" s="1"/>
  <c r="H61" i="6" s="1"/>
  <c r="G56" i="6"/>
  <c r="G58" i="6" s="1"/>
  <c r="G61" i="6" s="1"/>
  <c r="G33" i="6"/>
  <c r="H33" i="6"/>
  <c r="I33" i="6"/>
  <c r="G15" i="6"/>
  <c r="G17" i="6" s="1"/>
  <c r="H15" i="6"/>
  <c r="H17" i="6" s="1"/>
  <c r="I15" i="6"/>
  <c r="I17" i="6" s="1"/>
  <c r="G23" i="6"/>
  <c r="G25" i="6" s="1"/>
  <c r="H23" i="6"/>
  <c r="H25" i="6" s="1"/>
  <c r="I23" i="6"/>
  <c r="I25" i="6" s="1"/>
  <c r="I7" i="6"/>
  <c r="I9" i="6" s="1"/>
  <c r="I80" i="6" s="1"/>
  <c r="H7" i="6"/>
  <c r="H9" i="6" s="1"/>
  <c r="G7" i="6"/>
  <c r="G9" i="6" s="1"/>
  <c r="C88" i="2"/>
  <c r="E69" i="6"/>
  <c r="E72" i="6" s="1"/>
  <c r="E56" i="6"/>
  <c r="E58" i="6" s="1"/>
  <c r="E49" i="6"/>
  <c r="E33" i="6"/>
  <c r="E36" i="6" s="1"/>
  <c r="E23" i="6"/>
  <c r="E25" i="6" s="1"/>
  <c r="E15" i="6"/>
  <c r="E17" i="6" s="1"/>
  <c r="E7" i="6"/>
  <c r="E9" i="6" s="1"/>
  <c r="C69" i="6"/>
  <c r="C72" i="6" s="1"/>
  <c r="C56" i="6"/>
  <c r="C58" i="6" s="1"/>
  <c r="C49" i="6"/>
  <c r="C33" i="6"/>
  <c r="C36" i="6" s="1"/>
  <c r="C23" i="6"/>
  <c r="C25" i="6" s="1"/>
  <c r="C15" i="6"/>
  <c r="C17" i="6" s="1"/>
  <c r="C7" i="6"/>
  <c r="C9" i="6" s="1"/>
  <c r="E104" i="6"/>
  <c r="C104" i="6"/>
  <c r="E94" i="6"/>
  <c r="C94" i="6"/>
  <c r="F72" i="2"/>
  <c r="G72" i="2"/>
  <c r="H72" i="2"/>
  <c r="G68" i="2"/>
  <c r="H68" i="2"/>
  <c r="I68" i="2"/>
  <c r="G65" i="2"/>
  <c r="H65" i="2"/>
  <c r="H69" i="2" s="1"/>
  <c r="I65" i="2"/>
  <c r="F69" i="2"/>
  <c r="G69" i="2"/>
  <c r="G59" i="2"/>
  <c r="H59" i="2"/>
  <c r="G57" i="2"/>
  <c r="H57" i="2"/>
  <c r="I57" i="2"/>
  <c r="G54" i="2"/>
  <c r="H54" i="2"/>
  <c r="I54" i="2"/>
  <c r="G52" i="2"/>
  <c r="H52" i="2"/>
  <c r="G37" i="2"/>
  <c r="H37" i="2"/>
  <c r="G35" i="2"/>
  <c r="H35" i="2"/>
  <c r="I35" i="2"/>
  <c r="G32" i="2"/>
  <c r="H32" i="2"/>
  <c r="I32" i="2"/>
  <c r="G26" i="2"/>
  <c r="H26" i="2"/>
  <c r="G24" i="2"/>
  <c r="H24" i="2"/>
  <c r="G22" i="2"/>
  <c r="H22" i="2"/>
  <c r="I22" i="2"/>
  <c r="I24" i="2" s="1"/>
  <c r="I26" i="2" s="1"/>
  <c r="I37" i="2" s="1"/>
  <c r="I59" i="2" s="1"/>
  <c r="I69" i="2" s="1"/>
  <c r="I72" i="2" s="1"/>
  <c r="G16" i="2"/>
  <c r="H16" i="2"/>
  <c r="I16" i="2"/>
  <c r="G14" i="2"/>
  <c r="H14" i="2"/>
  <c r="I14" i="2"/>
  <c r="G9" i="2"/>
  <c r="I9" i="2"/>
  <c r="G7" i="2"/>
  <c r="H7" i="2"/>
  <c r="H9" i="2" s="1"/>
  <c r="I7" i="2"/>
  <c r="E89" i="2"/>
  <c r="G89" i="2"/>
  <c r="H89" i="2"/>
  <c r="I89" i="2"/>
  <c r="E90" i="2"/>
  <c r="G90" i="2"/>
  <c r="H90" i="2"/>
  <c r="I90" i="2"/>
  <c r="E88" i="2"/>
  <c r="G88" i="2"/>
  <c r="H88" i="2"/>
  <c r="I88" i="2"/>
  <c r="G18" i="8" l="1"/>
  <c r="B18" i="8" s="1"/>
  <c r="B8" i="9"/>
  <c r="I27" i="6"/>
  <c r="I28" i="6" s="1"/>
  <c r="H27" i="6"/>
  <c r="H28" i="6" s="1"/>
  <c r="G80" i="6"/>
  <c r="G27" i="6"/>
  <c r="G28" i="6" s="1"/>
  <c r="C61" i="6"/>
  <c r="C10" i="6"/>
  <c r="H38" i="6"/>
  <c r="E61" i="6"/>
  <c r="E27" i="6"/>
  <c r="C27" i="6"/>
  <c r="C28" i="6" s="1"/>
  <c r="D12" i="2"/>
  <c r="D13" i="2"/>
  <c r="D14" i="2"/>
  <c r="D15" i="2"/>
  <c r="D16" i="2"/>
  <c r="D18" i="2"/>
  <c r="D19" i="2"/>
  <c r="D20" i="2"/>
  <c r="D21" i="2"/>
  <c r="D22" i="2"/>
  <c r="D23" i="2"/>
  <c r="D24" i="2"/>
  <c r="D26" i="2"/>
  <c r="D29" i="2"/>
  <c r="D30" i="2"/>
  <c r="D31" i="2"/>
  <c r="D32" i="2"/>
  <c r="D33" i="2"/>
  <c r="D34" i="2"/>
  <c r="D35" i="2"/>
  <c r="D39" i="2"/>
  <c r="D44" i="2"/>
  <c r="D45" i="2"/>
  <c r="D47" i="2"/>
  <c r="D48" i="2"/>
  <c r="D49" i="2"/>
  <c r="D50" i="2"/>
  <c r="D51" i="2"/>
  <c r="D52" i="2"/>
  <c r="D54" i="2"/>
  <c r="D55" i="2"/>
  <c r="D57" i="2"/>
  <c r="D62" i="2"/>
  <c r="D63" i="2"/>
  <c r="D64" i="2"/>
  <c r="D65" i="2"/>
  <c r="D66" i="2"/>
  <c r="D67" i="2"/>
  <c r="D68" i="2"/>
  <c r="D70" i="2"/>
  <c r="D6" i="2"/>
  <c r="D7" i="2"/>
  <c r="D8" i="2"/>
  <c r="D9" i="2"/>
  <c r="D5" i="2"/>
  <c r="E75" i="2"/>
  <c r="E72" i="2"/>
  <c r="E69" i="2"/>
  <c r="E68" i="2"/>
  <c r="C68" i="2"/>
  <c r="E65" i="2"/>
  <c r="C65" i="2"/>
  <c r="E59" i="2"/>
  <c r="E57" i="2"/>
  <c r="C57" i="2"/>
  <c r="E54" i="2"/>
  <c r="C54" i="2"/>
  <c r="E52" i="2"/>
  <c r="C52" i="2"/>
  <c r="E45" i="2"/>
  <c r="C45" i="2"/>
  <c r="E37" i="2"/>
  <c r="E35" i="2"/>
  <c r="C35" i="2"/>
  <c r="E32" i="2"/>
  <c r="C32" i="2"/>
  <c r="E26" i="2"/>
  <c r="C26" i="2"/>
  <c r="C37" i="2" s="1"/>
  <c r="E24" i="2"/>
  <c r="C24" i="2"/>
  <c r="E22" i="2"/>
  <c r="C22" i="2"/>
  <c r="E16" i="2"/>
  <c r="C16" i="2"/>
  <c r="E14" i="2"/>
  <c r="C14" i="2"/>
  <c r="C7" i="2"/>
  <c r="E9" i="2"/>
  <c r="E7" i="2"/>
  <c r="C59" i="2" l="1"/>
  <c r="D37" i="2"/>
  <c r="I38" i="6"/>
  <c r="I39" i="6" s="1"/>
  <c r="G38" i="6"/>
  <c r="G39" i="6" s="1"/>
  <c r="H39" i="6"/>
  <c r="H41" i="6"/>
  <c r="C38" i="6"/>
  <c r="C41" i="6" s="1"/>
  <c r="E38" i="6"/>
  <c r="E28" i="6"/>
  <c r="C69" i="2" l="1"/>
  <c r="D59" i="2"/>
  <c r="I41" i="6"/>
  <c r="I42" i="6" s="1"/>
  <c r="I63" i="6"/>
  <c r="I73" i="6" s="1"/>
  <c r="I76" i="6" s="1"/>
  <c r="G41" i="6"/>
  <c r="G42" i="6" s="1"/>
  <c r="H42" i="6"/>
  <c r="H63" i="6"/>
  <c r="H73" i="6" s="1"/>
  <c r="H76" i="6" s="1"/>
  <c r="C39" i="6"/>
  <c r="E39" i="6"/>
  <c r="E41" i="6"/>
  <c r="C42" i="6"/>
  <c r="C63" i="6"/>
  <c r="D69" i="2" l="1"/>
  <c r="C72" i="2"/>
  <c r="G63" i="6"/>
  <c r="G73" i="6" s="1"/>
  <c r="G76" i="6" s="1"/>
  <c r="E42" i="6"/>
  <c r="E63" i="6"/>
  <c r="C64" i="6"/>
  <c r="C73" i="6"/>
  <c r="C76" i="6" s="1"/>
  <c r="C79" i="6" s="1"/>
  <c r="D72" i="2" l="1"/>
  <c r="C75" i="2"/>
  <c r="C80" i="6"/>
  <c r="C82" i="6"/>
  <c r="C83" i="6" s="1"/>
  <c r="E64" i="6"/>
  <c r="E73" i="6"/>
  <c r="E76" i="6" s="1"/>
  <c r="E79" i="6" s="1"/>
  <c r="C89" i="2" l="1"/>
  <c r="C90" i="2" s="1"/>
  <c r="D75" i="2"/>
  <c r="E82" i="6"/>
  <c r="E83" i="6" s="1"/>
  <c r="E80" i="6"/>
</calcChain>
</file>

<file path=xl/sharedStrings.xml><?xml version="1.0" encoding="utf-8"?>
<sst xmlns="http://schemas.openxmlformats.org/spreadsheetml/2006/main" count="637" uniqueCount="358">
  <si>
    <t>Ricavi</t>
  </si>
  <si>
    <t>Altri ricavi operativi</t>
  </si>
  <si>
    <t>Totale ricavi</t>
  </si>
  <si>
    <t>Costi operativi</t>
  </si>
  <si>
    <t>Altri costi operativi</t>
  </si>
  <si>
    <t>Totale costi operativi</t>
  </si>
  <si>
    <t>Costi per il personale</t>
  </si>
  <si>
    <t>Margine operativo lordo</t>
  </si>
  <si>
    <t>Ammortamenti, accantonamenti e svalutazioni</t>
  </si>
  <si>
    <t>Risultato operativo netto</t>
  </si>
  <si>
    <t>Risultato da transazioni non ricorrenti</t>
  </si>
  <si>
    <t>Gestione finanziaria</t>
  </si>
  <si>
    <t>Proventi finanziari</t>
  </si>
  <si>
    <t>Oneri finanziari</t>
  </si>
  <si>
    <t>Totale gestione finanziaria</t>
  </si>
  <si>
    <t>Risultato al lordo delle imposte</t>
  </si>
  <si>
    <t>Oneri/Proventi per imposte sui redditi</t>
  </si>
  <si>
    <t>Risultato di attività operative in esercizio al netto delle imposte</t>
  </si>
  <si>
    <t>Risultato da cessione di altre partecipazioni (AFS)</t>
  </si>
  <si>
    <t>Risultato netto da attività operative cessate/destinate alla vendita</t>
  </si>
  <si>
    <t>Risultato netto</t>
  </si>
  <si>
    <t>Risultato di pertinenza di terzi</t>
  </si>
  <si>
    <t>Risultato d’esercizio di pertinenza del Gruppo</t>
  </si>
  <si>
    <t>Risultato per azione (in euro):</t>
  </si>
  <si>
    <t xml:space="preserve"> di base</t>
  </si>
  <si>
    <t>di base da attività di funzionamento</t>
  </si>
  <si>
    <t>di base da attività destinate alla vendita</t>
  </si>
  <si>
    <t>diluito</t>
  </si>
  <si>
    <t>diluito da attività di funzionamento</t>
  </si>
  <si>
    <t>diluito da attività destinate alla vendita</t>
  </si>
  <si>
    <t>Deferred tax assets</t>
  </si>
  <si>
    <t>Revenues</t>
  </si>
  <si>
    <t>Total revenues</t>
  </si>
  <si>
    <t>Other operating expenses</t>
  </si>
  <si>
    <t>Total operating expenses</t>
  </si>
  <si>
    <t>Depreciation, amortization, provisions and write-downs</t>
  </si>
  <si>
    <t>Financial balance</t>
  </si>
  <si>
    <t>Affiliates</t>
  </si>
  <si>
    <t>Result from disposal of other shareholdings</t>
  </si>
  <si>
    <t>Total financial balance</t>
  </si>
  <si>
    <t>Income taxes</t>
  </si>
  <si>
    <t>Result after taxes from operating activities</t>
  </si>
  <si>
    <t>Net result from discontinued operations</t>
  </si>
  <si>
    <t>Net result</t>
  </si>
  <si>
    <t>Minorities</t>
  </si>
  <si>
    <t>Group result of the year</t>
  </si>
  <si>
    <t>Result per share (in euro):</t>
  </si>
  <si>
    <t>basic</t>
  </si>
  <si>
    <t xml:space="preserve"> basic from continuing operations</t>
  </si>
  <si>
    <t>basic from assets held for sale</t>
  </si>
  <si>
    <t>diluted</t>
  </si>
  <si>
    <t>diluted from continuing operations</t>
  </si>
  <si>
    <t>diluted from assets held for sale</t>
  </si>
  <si>
    <t>Investments in tangible assets</t>
  </si>
  <si>
    <t>Quota dei proventi e degli oneri derivanti dalla valutazione secondo il Patrimonio netto delle partecipazioni</t>
  </si>
  <si>
    <t xml:space="preserve">Historical results </t>
  </si>
  <si>
    <t>Revenues from the sale of goods</t>
  </si>
  <si>
    <t>Gross operating income - (EBITDA)</t>
  </si>
  <si>
    <t>Net operating income - (EBIT)</t>
  </si>
  <si>
    <t>Result from non-recur. Transactions</t>
  </si>
  <si>
    <t>Result before taxes (EBT)</t>
  </si>
  <si>
    <t>INCOME STATEMENT (Detailed)</t>
  </si>
  <si>
    <t xml:space="preserve">Changes % </t>
  </si>
  <si>
    <t xml:space="preserve">Revenues from services </t>
  </si>
  <si>
    <t xml:space="preserve">Total revenues from sale of goods and serv </t>
  </si>
  <si>
    <t>Other operating revenues</t>
  </si>
  <si>
    <t xml:space="preserve">(Operating expenses) </t>
  </si>
  <si>
    <t xml:space="preserve">Expenses for raw materials </t>
  </si>
  <si>
    <t>Expenses for  services</t>
  </si>
  <si>
    <t xml:space="preserve">Total for raw materials and services </t>
  </si>
  <si>
    <t>(Labour costs)</t>
  </si>
  <si>
    <t xml:space="preserve">Wages and salaries </t>
  </si>
  <si>
    <t xml:space="preserve">Social security charges </t>
  </si>
  <si>
    <t>TFR</t>
  </si>
  <si>
    <t xml:space="preserve">Other costs </t>
  </si>
  <si>
    <t>Total labour costs before capitalizations</t>
  </si>
  <si>
    <t xml:space="preserve">Capitalized labour costs </t>
  </si>
  <si>
    <t xml:space="preserve">Total labour costs    </t>
  </si>
  <si>
    <t>#Of which 69 from consolidation of ACSM-AGAM</t>
  </si>
  <si>
    <t xml:space="preserve">Amortization of intangible assets </t>
  </si>
  <si>
    <t xml:space="preserve">Depreciation of tangible assets </t>
  </si>
  <si>
    <t xml:space="preserve">Net-write downs of fixed assets </t>
  </si>
  <si>
    <t xml:space="preserve">Total amortization, depr and write downs </t>
  </si>
  <si>
    <t xml:space="preserve">Provisions for risks </t>
  </si>
  <si>
    <t xml:space="preserve">Bad debt provision on receivables recog as current assets </t>
  </si>
  <si>
    <t>Total depr, amort, provisions and write-downs</t>
  </si>
  <si>
    <t>Gains on disposals of financial assets</t>
  </si>
  <si>
    <t xml:space="preserve">Other financial income </t>
  </si>
  <si>
    <t xml:space="preserve">Total financial income </t>
  </si>
  <si>
    <t>Financial income of which:</t>
  </si>
  <si>
    <t xml:space="preserve">Interest on bond loans </t>
  </si>
  <si>
    <t xml:space="preserve">Interest charged by banks </t>
  </si>
  <si>
    <t xml:space="preserve">Realized on financial derivatives </t>
  </si>
  <si>
    <t xml:space="preserve">Decommisioning costs </t>
  </si>
  <si>
    <t>Other financial expenses</t>
  </si>
  <si>
    <t>Financial expenses of which:</t>
  </si>
  <si>
    <t xml:space="preserve">Total before capitalization </t>
  </si>
  <si>
    <t xml:space="preserve">Capitalized financial expenses </t>
  </si>
  <si>
    <t xml:space="preserve">Total financial expenses </t>
  </si>
  <si>
    <t>Current IRES</t>
  </si>
  <si>
    <t>Current IRAP</t>
  </si>
  <si>
    <t xml:space="preserve">Effect of differences- taxes of previous years </t>
  </si>
  <si>
    <t xml:space="preserve">Deferred tax liabilities </t>
  </si>
  <si>
    <t xml:space="preserve">Total losses/gains for income taxes </t>
  </si>
  <si>
    <t>Total current taxes</t>
  </si>
  <si>
    <t>Reconciliation between the tax burden posted and theoretical tax liabilities</t>
  </si>
  <si>
    <t xml:space="preserve">Pre-tax result </t>
  </si>
  <si>
    <t>Write-down assets</t>
  </si>
  <si>
    <t xml:space="preserve">Pre-tax result adjusted by write downs </t>
  </si>
  <si>
    <t>Theoretical rates based on applicable tax rates (using a theoretical IreS of 24%</t>
  </si>
  <si>
    <t xml:space="preserve">Tax effect of write downs </t>
  </si>
  <si>
    <t>Permanent differences</t>
  </si>
  <si>
    <t xml:space="preserve">Total taxes charged to income statement </t>
  </si>
  <si>
    <t xml:space="preserve">Current Irap </t>
  </si>
  <si>
    <t xml:space="preserve">Total without Irap  </t>
  </si>
  <si>
    <t xml:space="preserve">Weighted average number of outstanding shares for calculation of earnings per share </t>
  </si>
  <si>
    <t xml:space="preserve">Ricavi di vendita </t>
  </si>
  <si>
    <t xml:space="preserve">Ricavi da prestazioni </t>
  </si>
  <si>
    <t xml:space="preserve">Totale ricavi di vendita e da prestazioni </t>
  </si>
  <si>
    <t xml:space="preserve">Costi per materie prime </t>
  </si>
  <si>
    <t xml:space="preserve">Costi per servizi </t>
  </si>
  <si>
    <t xml:space="preserve">Costi per materie prime e servizi </t>
  </si>
  <si>
    <t xml:space="preserve">Salari e stipendi </t>
  </si>
  <si>
    <t xml:space="preserve">Oneri sociali </t>
  </si>
  <si>
    <t xml:space="preserve">Altri costi   </t>
  </si>
  <si>
    <t xml:space="preserve">Totale costi per il personale prima della capitalizzazione </t>
  </si>
  <si>
    <t xml:space="preserve">Costi per il personale capitalizzati </t>
  </si>
  <si>
    <t xml:space="preserve">Ammortamento immobilizzazioni immateriali </t>
  </si>
  <si>
    <t xml:space="preserve">Ammortamento immobilizzazioni materiali </t>
  </si>
  <si>
    <t xml:space="preserve">Svalutazioni nette nelle immobilizzazioni </t>
  </si>
  <si>
    <t xml:space="preserve">Totale ammortamenti, accantonamenti e svalutazioni </t>
  </si>
  <si>
    <t xml:space="preserve">Accantonamento per rischi </t>
  </si>
  <si>
    <t xml:space="preserve">Accantonamento per rischi su crediti nell'attivo circolante </t>
  </si>
  <si>
    <t xml:space="preserve">Totale ammortamenti e svalutazioni </t>
  </si>
  <si>
    <t xml:space="preserve">Interessi su prestiti obbligazionari </t>
  </si>
  <si>
    <t xml:space="preserve">Interessi verso istituti di credito </t>
  </si>
  <si>
    <t xml:space="preserve">Realized su derivari finanziari </t>
  </si>
  <si>
    <t>Oneri da decommisioning</t>
  </si>
  <si>
    <t xml:space="preserve">Altri oneri finanziari </t>
  </si>
  <si>
    <t xml:space="preserve">Totale prima della capitalizzazione </t>
  </si>
  <si>
    <t xml:space="preserve">Oneri finanziari capitalizzati </t>
  </si>
  <si>
    <t xml:space="preserve">Totale oneri finanziari </t>
  </si>
  <si>
    <t>IRES</t>
  </si>
  <si>
    <t>IRAP</t>
  </si>
  <si>
    <t xml:space="preserve">Effetto differenze imposte esercizi precedenti </t>
  </si>
  <si>
    <t xml:space="preserve">Totale tasse correnti </t>
  </si>
  <si>
    <t xml:space="preserve">Imposte anticipate </t>
  </si>
  <si>
    <t xml:space="preserve">Imposte differite </t>
  </si>
  <si>
    <t xml:space="preserve">Totale oneri/proventi per imposte sui redditi </t>
  </si>
  <si>
    <t xml:space="preserve">REORGANIZED INCOME STATEMENT </t>
  </si>
  <si>
    <t xml:space="preserve"> EBITDA</t>
  </si>
  <si>
    <t xml:space="preserve">Margin </t>
  </si>
  <si>
    <t>EBIT</t>
  </si>
  <si>
    <t>EBT</t>
  </si>
  <si>
    <t xml:space="preserve">EBITA </t>
  </si>
  <si>
    <t xml:space="preserve">Dividends information </t>
  </si>
  <si>
    <t xml:space="preserve">Dividend per share </t>
  </si>
  <si>
    <t xml:space="preserve">Total amount of dividend </t>
  </si>
  <si>
    <t xml:space="preserve">Retention ratio </t>
  </si>
  <si>
    <t>Year 2019</t>
  </si>
  <si>
    <t>Year 2017</t>
  </si>
  <si>
    <t>Year 2016</t>
  </si>
  <si>
    <t xml:space="preserve">Dividend Payout ratio </t>
  </si>
  <si>
    <t xml:space="preserve">Year 2018 </t>
  </si>
  <si>
    <t xml:space="preserve">Year 2015 </t>
  </si>
  <si>
    <t xml:space="preserve">Financial targets </t>
  </si>
  <si>
    <t>Ebitda</t>
  </si>
  <si>
    <t>Generation</t>
  </si>
  <si>
    <t xml:space="preserve">Market </t>
  </si>
  <si>
    <t>Waste</t>
  </si>
  <si>
    <t>Networks</t>
  </si>
  <si>
    <t>Other</t>
  </si>
  <si>
    <t xml:space="preserve">Total </t>
  </si>
  <si>
    <t>2019/23</t>
  </si>
  <si>
    <t>Gas tenders</t>
  </si>
  <si>
    <t xml:space="preserve">Generation </t>
  </si>
  <si>
    <t xml:space="preserve">M&amp;A </t>
  </si>
  <si>
    <t>Market</t>
  </si>
  <si>
    <t xml:space="preserve">Other </t>
  </si>
  <si>
    <t>Total</t>
  </si>
  <si>
    <t xml:space="preserve">Development </t>
  </si>
  <si>
    <t>Maintenance</t>
  </si>
  <si>
    <t xml:space="preserve">Capex plan </t>
  </si>
  <si>
    <t>Cash flow generation 2018/23</t>
  </si>
  <si>
    <t>NFP 2018</t>
  </si>
  <si>
    <t>EBITDA</t>
  </si>
  <si>
    <t xml:space="preserve">Change in NWC </t>
  </si>
  <si>
    <t>Use of funds</t>
  </si>
  <si>
    <t xml:space="preserve">taxes </t>
  </si>
  <si>
    <t xml:space="preserve">Net fin expenses </t>
  </si>
  <si>
    <t xml:space="preserve">Dividends </t>
  </si>
  <si>
    <t xml:space="preserve">Capex for organic growth </t>
  </si>
  <si>
    <t xml:space="preserve">Gas tenders </t>
  </si>
  <si>
    <t xml:space="preserve">NFP 2023 ordinary </t>
  </si>
  <si>
    <t xml:space="preserve">IFRS 16 </t>
  </si>
  <si>
    <t xml:space="preserve">NFP 2023   </t>
  </si>
  <si>
    <t>Margin</t>
  </si>
  <si>
    <t xml:space="preserve">Total  income taxes </t>
  </si>
  <si>
    <t xml:space="preserve">Dividend distribution </t>
  </si>
  <si>
    <t>Payout</t>
  </si>
  <si>
    <t xml:space="preserve">Retained distribution </t>
  </si>
  <si>
    <t xml:space="preserve">Sales Growth </t>
  </si>
  <si>
    <t xml:space="preserve">EBIT </t>
  </si>
  <si>
    <r>
      <t xml:space="preserve">D  </t>
    </r>
    <r>
      <rPr>
        <sz val="11"/>
        <color theme="1"/>
        <rFont val="Calibri Light"/>
        <family val="2"/>
        <scheme val="major"/>
      </rPr>
      <t>(1° quarter)</t>
    </r>
  </si>
  <si>
    <t xml:space="preserve">D% </t>
  </si>
  <si>
    <t xml:space="preserve">Operating expenses </t>
  </si>
  <si>
    <t xml:space="preserve">Labour costs </t>
  </si>
  <si>
    <t xml:space="preserve">Depr, amort, prov and write downs </t>
  </si>
  <si>
    <t xml:space="preserve">Financial balance </t>
  </si>
  <si>
    <t xml:space="preserve">Net income </t>
  </si>
  <si>
    <t xml:space="preserve">Net income of group </t>
  </si>
  <si>
    <t xml:space="preserve">Net result from non rec operations </t>
  </si>
  <si>
    <t xml:space="preserve">Result after taxes from operating activities </t>
  </si>
  <si>
    <t xml:space="preserve">Net result from discounted operations </t>
  </si>
  <si>
    <t xml:space="preserve">Delta </t>
  </si>
  <si>
    <t xml:space="preserve">Change </t>
  </si>
  <si>
    <t>Payables to other lenders</t>
  </si>
  <si>
    <t xml:space="preserve">Trade receivables </t>
  </si>
  <si>
    <t>Inventories (remainances)</t>
  </si>
  <si>
    <t>Payables</t>
  </si>
  <si>
    <t>Total WC</t>
  </si>
  <si>
    <t xml:space="preserve">Change in working capital: Delta WC  (simple formulation) </t>
  </si>
  <si>
    <t xml:space="preserve">Historical </t>
  </si>
  <si>
    <t xml:space="preserve">Inventories </t>
  </si>
  <si>
    <t>Trailing (1/4/20- 1/4/19)</t>
  </si>
  <si>
    <t>Trailing (1/4/19- 1/4/18)</t>
  </si>
  <si>
    <t>Change WC</t>
  </si>
  <si>
    <t xml:space="preserve">NET CAPEX  (detailed) </t>
  </si>
  <si>
    <t>Change %</t>
  </si>
  <si>
    <t>Percentage</t>
  </si>
  <si>
    <t xml:space="preserve">Adj Unlev Beta </t>
  </si>
  <si>
    <t>Utility (general)</t>
  </si>
  <si>
    <t>Utility (water)</t>
  </si>
  <si>
    <t xml:space="preserve">Environmental and Waste </t>
  </si>
  <si>
    <t xml:space="preserve">Oil/gas distribution </t>
  </si>
  <si>
    <t>Investment &amp; Asset management</t>
  </si>
  <si>
    <t>TOTAL</t>
  </si>
  <si>
    <t>Green and renewable energy (25%)</t>
  </si>
  <si>
    <t xml:space="preserve">Weighted Unlevered Beta </t>
  </si>
  <si>
    <t xml:space="preserve">Bottom up unlevered beta computation </t>
  </si>
  <si>
    <t xml:space="preserve">Bottom up levered beta computation </t>
  </si>
  <si>
    <t xml:space="preserve">Unlevered Beta </t>
  </si>
  <si>
    <t>Debt to equity ratio (book value)</t>
  </si>
  <si>
    <t xml:space="preserve">Debt to equity ratio market value </t>
  </si>
  <si>
    <t xml:space="preserve">Marginal taxes </t>
  </si>
  <si>
    <t xml:space="preserve">Debt (Bv) </t>
  </si>
  <si>
    <t xml:space="preserve">Debt( Fair value) </t>
  </si>
  <si>
    <t xml:space="preserve">Total non current financial liabilities </t>
  </si>
  <si>
    <t xml:space="preserve">Fair value of bonds an bank debt </t>
  </si>
  <si>
    <t xml:space="preserve">Non curr fin payables for rights of use </t>
  </si>
  <si>
    <t xml:space="preserve">Equity pertaining to group </t>
  </si>
  <si>
    <t>Equity (bv)</t>
  </si>
  <si>
    <t xml:space="preserve">Equity market </t>
  </si>
  <si>
    <t xml:space="preserve">Levered Beta book value </t>
  </si>
  <si>
    <t xml:space="preserve">Levered Beta market value </t>
  </si>
  <si>
    <t xml:space="preserve">WACC </t>
  </si>
  <si>
    <t xml:space="preserve">Cost of debt </t>
  </si>
  <si>
    <t xml:space="preserve">Cost of equity </t>
  </si>
  <si>
    <t xml:space="preserve">Tax Rate </t>
  </si>
  <si>
    <t>Risk free rate</t>
  </si>
  <si>
    <t>Spread on debt</t>
  </si>
  <si>
    <t xml:space="preserve">Risk free rate  (German bunds 10 Y spot rates, daily obs over past two years) </t>
  </si>
  <si>
    <t xml:space="preserve">Default spread on debt (A2A BBB) </t>
  </si>
  <si>
    <t xml:space="preserve">Stable market risk premium </t>
  </si>
  <si>
    <t xml:space="preserve">Country risk premium </t>
  </si>
  <si>
    <t>Market cap (at 31/12/19)</t>
  </si>
  <si>
    <t>Outstanding bonds</t>
  </si>
  <si>
    <t>Bond2022</t>
  </si>
  <si>
    <t>Bond2025</t>
  </si>
  <si>
    <t>bond2027</t>
  </si>
  <si>
    <t>bond2029</t>
  </si>
  <si>
    <t>Yield to maturity</t>
  </si>
  <si>
    <t>Residual Coup</t>
  </si>
  <si>
    <t>Average Kd</t>
  </si>
  <si>
    <t xml:space="preserve">Trailing change in working capital: Delta WC (simple formulation)  </t>
  </si>
  <si>
    <t xml:space="preserve">Change in working capital: Delta WC  (detailed formulation) </t>
  </si>
  <si>
    <t>At 31/12/19</t>
  </si>
  <si>
    <t>Current value</t>
  </si>
  <si>
    <t>Current values</t>
  </si>
  <si>
    <t xml:space="preserve">Operating cash </t>
  </si>
  <si>
    <t xml:space="preserve">Other current assets </t>
  </si>
  <si>
    <t xml:space="preserve">Operating assets </t>
  </si>
  <si>
    <t xml:space="preserve">Current tax assets </t>
  </si>
  <si>
    <t xml:space="preserve">Cash balances </t>
  </si>
  <si>
    <t xml:space="preserve">Cash  </t>
  </si>
  <si>
    <t>Average delta</t>
  </si>
  <si>
    <t xml:space="preserve">Other current liabilities </t>
  </si>
  <si>
    <t xml:space="preserve">Operating liabilities </t>
  </si>
  <si>
    <t xml:space="preserve">Approach 1 </t>
  </si>
  <si>
    <t xml:space="preserve">Approach 2 </t>
  </si>
  <si>
    <t xml:space="preserve">Approach 1: risk free rate, default spread, regression beta </t>
  </si>
  <si>
    <t xml:space="preserve">Approach 3: average cost of debt, regression beta </t>
  </si>
  <si>
    <t xml:space="preserve">Approach 3 </t>
  </si>
  <si>
    <t>Net of taxes cost of debt</t>
  </si>
  <si>
    <t xml:space="preserve">Net of taxes cost of debt </t>
  </si>
  <si>
    <t>Risk free rate (A)</t>
  </si>
  <si>
    <t>Equity risk premium (B)</t>
  </si>
  <si>
    <t>Regression (levered Beta) (C)</t>
  </si>
  <si>
    <t>Bottom up levered beta (C )</t>
  </si>
  <si>
    <t>WACC (book value)</t>
  </si>
  <si>
    <t xml:space="preserve">WACC (market value) </t>
  </si>
  <si>
    <t xml:space="preserve">Approach 2: risk free rate, default sprea, bottom up beta (at market values) </t>
  </si>
  <si>
    <t>Change</t>
  </si>
  <si>
    <t xml:space="preserve">Tangible assets </t>
  </si>
  <si>
    <t>Intangible assets</t>
  </si>
  <si>
    <t>Amortization</t>
  </si>
  <si>
    <t xml:space="preserve">Depreciation </t>
  </si>
  <si>
    <t xml:space="preserve">Free Cash Flow To Equity: FCFE </t>
  </si>
  <si>
    <t xml:space="preserve">Group result of the year </t>
  </si>
  <si>
    <t>31/12/105</t>
  </si>
  <si>
    <t>Non-cash operating expense</t>
  </si>
  <si>
    <t>Depreciation</t>
  </si>
  <si>
    <t xml:space="preserve">Write downs </t>
  </si>
  <si>
    <t>Capex</t>
  </si>
  <si>
    <t>Change in non cash WC</t>
  </si>
  <si>
    <t>FCFE</t>
  </si>
  <si>
    <t>Net Debt</t>
  </si>
  <si>
    <t>Debt Issues</t>
  </si>
  <si>
    <t>Debt repayments</t>
  </si>
  <si>
    <t xml:space="preserve">Historicals </t>
  </si>
  <si>
    <t xml:space="preserve">Free Cash Flow To Equity: FCFE Trailing 12 months </t>
  </si>
  <si>
    <t>Group result of the year *</t>
  </si>
  <si>
    <t xml:space="preserve">*According to cash flow statements it is result of the group net of gains on shareholdings, fixed assets' disposals and from discontinued operations </t>
  </si>
  <si>
    <t xml:space="preserve">Computation </t>
  </si>
  <si>
    <t xml:space="preserve">Gains on shareholdings </t>
  </si>
  <si>
    <t>Fixed assets'disposals</t>
  </si>
  <si>
    <t xml:space="preserve">Gains from discontinued op </t>
  </si>
  <si>
    <t xml:space="preserve">Investments in intangibles </t>
  </si>
  <si>
    <t>Change in non cash WC (simple)</t>
  </si>
  <si>
    <t>Changes in simple non cash WC</t>
  </si>
  <si>
    <t>Capex (total)</t>
  </si>
  <si>
    <t>Changes in non cash WC</t>
  </si>
  <si>
    <t>Latest change</t>
  </si>
  <si>
    <t xml:space="preserve">Net Capex </t>
  </si>
  <si>
    <t xml:space="preserve">Net Debt ** </t>
  </si>
  <si>
    <t>** Respectively from cash flows statement: bond issues and repayments of borrowing</t>
  </si>
  <si>
    <t>Free Cash Flow To Equity: FCFF</t>
  </si>
  <si>
    <t>Ebit Net of taxes</t>
  </si>
  <si>
    <t>Marginal taxes (27,5%)</t>
  </si>
  <si>
    <t>FCFF</t>
  </si>
  <si>
    <t xml:space="preserve">Measures of profitability </t>
  </si>
  <si>
    <t>ROA</t>
  </si>
  <si>
    <t>Pre tax ROA</t>
  </si>
  <si>
    <t xml:space="preserve">After tax roc </t>
  </si>
  <si>
    <t xml:space="preserve">Pre tax roc </t>
  </si>
  <si>
    <t>ROC</t>
  </si>
  <si>
    <t xml:space="preserve">Short term liquidity risk </t>
  </si>
  <si>
    <t xml:space="preserve">Turnover ratios </t>
  </si>
  <si>
    <t xml:space="preserve">Measures of risk :Financial ratios </t>
  </si>
  <si>
    <t xml:space="preserve">Long term solvency and default risk </t>
  </si>
  <si>
    <t xml:space="preserve">Debt ratios </t>
  </si>
  <si>
    <t xml:space="preserve">Tax liabilities </t>
  </si>
  <si>
    <t xml:space="preserve">Income statement: trailing 12 months (synthetic) </t>
  </si>
  <si>
    <t xml:space="preserve">Trailing 12 (01/04/19-20) </t>
  </si>
  <si>
    <t>Trailing (01/04/18-19)</t>
  </si>
  <si>
    <t>Trailing (01/04/17-18)</t>
  </si>
  <si>
    <t>Trailing (01/04/16-17)</t>
  </si>
  <si>
    <t>Trailing (01/04/15-16)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</si>
</sst>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 #,##0.00_-;_-* &quot;-&quot;??_-;_-@_-"/>
    <numFmt numFmtId="164" formatCode="0.000%"/>
    <numFmt numFmtId="165" formatCode="0.000"/>
    <numFmt numFmtId="166" formatCode="0.00000%"/>
    <numFmt numFmtId="167" formatCode="0.000000%"/>
    <numFmt numFmtId="168" formatCode="_-* #,##0.0000_-;\-* #,##0.0000_-;_-* &quot;-&quot;??_-;_-@_-"/>
    <numFmt numFmtId="169" formatCode="0.0000%"/>
  </numFmts>
  <fonts count="9" x14ac:knownFonts="1">
    <font>
      <sz val="11"/>
      <color theme="1"/>
      <name val="Calibri"/>
      <family val="2"/>
      <scheme val="minor"/>
    </font>
    <font>
      <b/>
      <sz val="11"/>
      <color theme="1"/>
      <name val="Calibri"/>
      <family val="2"/>
      <scheme val="minor"/>
    </font>
    <font>
      <sz val="14"/>
      <color theme="1"/>
      <name val="Calibri"/>
      <family val="2"/>
      <scheme val="minor"/>
    </font>
    <font>
      <sz val="16"/>
      <color theme="1"/>
      <name val="Calibri"/>
      <family val="2"/>
      <scheme val="minor"/>
    </font>
    <font>
      <sz val="11"/>
      <color theme="1"/>
      <name val="Calibri"/>
      <family val="2"/>
      <scheme val="minor"/>
    </font>
    <font>
      <i/>
      <sz val="11"/>
      <color theme="1"/>
      <name val="Calibri"/>
      <family val="2"/>
      <scheme val="minor"/>
    </font>
    <font>
      <sz val="12"/>
      <color theme="1"/>
      <name val="Calibri"/>
      <family val="2"/>
      <scheme val="minor"/>
    </font>
    <font>
      <sz val="11"/>
      <color theme="1"/>
      <name val="Symbol"/>
      <family val="1"/>
      <charset val="2"/>
    </font>
    <font>
      <sz val="11"/>
      <color theme="1"/>
      <name val="Calibri Light"/>
      <family val="2"/>
      <scheme val="major"/>
    </font>
  </fonts>
  <fills count="16">
    <fill>
      <patternFill patternType="none"/>
    </fill>
    <fill>
      <patternFill patternType="gray125"/>
    </fill>
    <fill>
      <patternFill patternType="solid">
        <fgColor rgb="FFFFFF00"/>
        <bgColor indexed="64"/>
      </patternFill>
    </fill>
    <fill>
      <patternFill patternType="solid">
        <fgColor theme="4" tint="0.59999389629810485"/>
        <bgColor indexed="64"/>
      </patternFill>
    </fill>
    <fill>
      <patternFill patternType="solid">
        <fgColor rgb="FF92D050"/>
        <bgColor indexed="64"/>
      </patternFill>
    </fill>
    <fill>
      <patternFill patternType="solid">
        <fgColor theme="0"/>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rgb="FFFFFFCC"/>
        <bgColor indexed="64"/>
      </patternFill>
    </fill>
    <fill>
      <patternFill patternType="solid">
        <fgColor rgb="FF00B0F0"/>
        <bgColor indexed="64"/>
      </patternFill>
    </fill>
    <fill>
      <patternFill patternType="solid">
        <fgColor theme="8" tint="0.79998168889431442"/>
        <bgColor indexed="64"/>
      </patternFill>
    </fill>
    <fill>
      <patternFill patternType="solid">
        <fgColor theme="4" tint="0.39997558519241921"/>
        <bgColor indexed="64"/>
      </patternFill>
    </fill>
    <fill>
      <patternFill patternType="solid">
        <fgColor rgb="FFFF7C80"/>
        <bgColor indexed="64"/>
      </patternFill>
    </fill>
    <fill>
      <patternFill patternType="solid">
        <fgColor rgb="FFFFFF99"/>
        <bgColor indexed="64"/>
      </patternFill>
    </fill>
  </fills>
  <borders count="55">
    <border>
      <left/>
      <right/>
      <top/>
      <bottom/>
      <diagonal/>
    </border>
    <border>
      <left style="medium">
        <color auto="1"/>
      </left>
      <right style="medium">
        <color auto="1"/>
      </right>
      <top style="medium">
        <color auto="1"/>
      </top>
      <bottom style="medium">
        <color auto="1"/>
      </bottom>
      <diagonal/>
    </border>
    <border>
      <left style="medium">
        <color auto="1"/>
      </left>
      <right style="medium">
        <color auto="1"/>
      </right>
      <top/>
      <bottom style="medium">
        <color auto="1"/>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ck">
        <color auto="1"/>
      </right>
      <top style="medium">
        <color indexed="64"/>
      </top>
      <bottom/>
      <diagonal/>
    </border>
    <border>
      <left style="thick">
        <color auto="1"/>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thin">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diagonal/>
    </border>
    <border>
      <left style="thin">
        <color indexed="64"/>
      </left>
      <right/>
      <top style="medium">
        <color auto="1"/>
      </top>
      <bottom/>
      <diagonal/>
    </border>
    <border>
      <left style="thin">
        <color indexed="64"/>
      </left>
      <right style="medium">
        <color indexed="64"/>
      </right>
      <top style="medium">
        <color auto="1"/>
      </top>
      <bottom style="medium">
        <color indexed="64"/>
      </bottom>
      <diagonal/>
    </border>
    <border>
      <left style="thin">
        <color indexed="64"/>
      </left>
      <right style="thin">
        <color indexed="64"/>
      </right>
      <top style="medium">
        <color indexed="64"/>
      </top>
      <bottom/>
      <diagonal/>
    </border>
    <border>
      <left style="medium">
        <color indexed="64"/>
      </left>
      <right/>
      <top style="thin">
        <color indexed="64"/>
      </top>
      <bottom style="thin">
        <color indexed="64"/>
      </bottom>
      <diagonal/>
    </border>
    <border>
      <left/>
      <right style="thin">
        <color indexed="64"/>
      </right>
      <top style="medium">
        <color indexed="64"/>
      </top>
      <bottom style="medium">
        <color indexed="64"/>
      </bottom>
      <diagonal/>
    </border>
    <border>
      <left style="thin">
        <color indexed="64"/>
      </left>
      <right style="medium">
        <color indexed="64"/>
      </right>
      <top style="thin">
        <color indexed="64"/>
      </top>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style="thin">
        <color indexed="64"/>
      </left>
      <right/>
      <top style="medium">
        <color auto="1"/>
      </top>
      <bottom style="medium">
        <color indexed="64"/>
      </bottom>
      <diagonal/>
    </border>
  </borders>
  <cellStyleXfs count="3">
    <xf numFmtId="0" fontId="0" fillId="0" borderId="0"/>
    <xf numFmtId="9" fontId="4" fillId="0" borderId="0" applyFont="0" applyFill="0" applyBorder="0" applyAlignment="0" applyProtection="0"/>
    <xf numFmtId="43" fontId="4" fillId="0" borderId="0" applyFont="0" applyFill="0" applyBorder="0" applyAlignment="0" applyProtection="0"/>
  </cellStyleXfs>
  <cellXfs count="293">
    <xf numFmtId="0" fontId="0" fillId="0" borderId="0" xfId="0"/>
    <xf numFmtId="0" fontId="0" fillId="0" borderId="0" xfId="0" applyFill="1" applyBorder="1"/>
    <xf numFmtId="0" fontId="0" fillId="0" borderId="0" xfId="0" applyBorder="1"/>
    <xf numFmtId="0" fontId="0" fillId="0" borderId="0" xfId="0" applyFill="1"/>
    <xf numFmtId="0" fontId="0" fillId="0" borderId="3" xfId="0" applyFill="1" applyBorder="1"/>
    <xf numFmtId="0" fontId="0" fillId="2" borderId="3" xfId="0" applyFill="1" applyBorder="1"/>
    <xf numFmtId="0" fontId="0" fillId="5" borderId="3" xfId="0" applyFill="1" applyBorder="1"/>
    <xf numFmtId="0" fontId="1" fillId="0" borderId="3" xfId="0" applyFont="1" applyFill="1" applyBorder="1"/>
    <xf numFmtId="0" fontId="0" fillId="6" borderId="5" xfId="0" applyFill="1" applyBorder="1"/>
    <xf numFmtId="0" fontId="0" fillId="6" borderId="6" xfId="0" applyFill="1" applyBorder="1"/>
    <xf numFmtId="14" fontId="0" fillId="3" borderId="7" xfId="0" applyNumberFormat="1" applyFill="1" applyBorder="1"/>
    <xf numFmtId="14" fontId="0" fillId="3" borderId="8" xfId="0" applyNumberFormat="1" applyFill="1" applyBorder="1"/>
    <xf numFmtId="14" fontId="0" fillId="5" borderId="13" xfId="0" applyNumberFormat="1" applyFill="1" applyBorder="1"/>
    <xf numFmtId="0" fontId="1" fillId="5" borderId="3" xfId="0" applyFont="1" applyFill="1" applyBorder="1"/>
    <xf numFmtId="0" fontId="0" fillId="5" borderId="3" xfId="0" applyFill="1" applyBorder="1" applyAlignment="1">
      <alignment wrapText="1"/>
    </xf>
    <xf numFmtId="14" fontId="0" fillId="3" borderId="15" xfId="0" applyNumberFormat="1" applyFill="1" applyBorder="1"/>
    <xf numFmtId="0" fontId="0" fillId="5" borderId="3" xfId="0" applyFont="1" applyFill="1" applyBorder="1"/>
    <xf numFmtId="0" fontId="0" fillId="7" borderId="0" xfId="0" applyFill="1"/>
    <xf numFmtId="0" fontId="5" fillId="5" borderId="3" xfId="0" applyFont="1" applyFill="1" applyBorder="1"/>
    <xf numFmtId="0" fontId="0" fillId="7" borderId="14" xfId="0" applyFill="1" applyBorder="1"/>
    <xf numFmtId="0" fontId="0" fillId="7" borderId="15" xfId="0" applyFill="1" applyBorder="1"/>
    <xf numFmtId="0" fontId="0" fillId="7" borderId="16" xfId="0" applyFill="1" applyBorder="1"/>
    <xf numFmtId="14" fontId="0" fillId="0" borderId="0" xfId="0" applyNumberFormat="1" applyFill="1" applyBorder="1"/>
    <xf numFmtId="0" fontId="0" fillId="7" borderId="5" xfId="0" applyFill="1" applyBorder="1"/>
    <xf numFmtId="0" fontId="0" fillId="7" borderId="6" xfId="0" applyFill="1" applyBorder="1"/>
    <xf numFmtId="0" fontId="0" fillId="0" borderId="15" xfId="0" applyFill="1" applyBorder="1"/>
    <xf numFmtId="0" fontId="0" fillId="0" borderId="16" xfId="0" applyFill="1" applyBorder="1"/>
    <xf numFmtId="0" fontId="0" fillId="0" borderId="18" xfId="0" applyFill="1" applyBorder="1"/>
    <xf numFmtId="0" fontId="0" fillId="0" borderId="20" xfId="0" applyFill="1" applyBorder="1"/>
    <xf numFmtId="0" fontId="0" fillId="0" borderId="21" xfId="0" applyFill="1" applyBorder="1"/>
    <xf numFmtId="0" fontId="0" fillId="0" borderId="22" xfId="0" applyFill="1" applyBorder="1"/>
    <xf numFmtId="14" fontId="0" fillId="0" borderId="23" xfId="0" applyNumberFormat="1" applyFill="1" applyBorder="1"/>
    <xf numFmtId="14" fontId="0" fillId="0" borderId="24" xfId="0" applyNumberFormat="1" applyFill="1" applyBorder="1"/>
    <xf numFmtId="0" fontId="0" fillId="0" borderId="9" xfId="0" applyFill="1" applyBorder="1"/>
    <xf numFmtId="0" fontId="0" fillId="0" borderId="10" xfId="0" applyFill="1" applyBorder="1"/>
    <xf numFmtId="0" fontId="0" fillId="0" borderId="11" xfId="0" applyFill="1" applyBorder="1"/>
    <xf numFmtId="0" fontId="0" fillId="0" borderId="25" xfId="0" applyFill="1" applyBorder="1"/>
    <xf numFmtId="0" fontId="0" fillId="0" borderId="12" xfId="0" applyFill="1" applyBorder="1"/>
    <xf numFmtId="0" fontId="1" fillId="8" borderId="3" xfId="0" applyFont="1" applyFill="1" applyBorder="1"/>
    <xf numFmtId="0" fontId="0" fillId="8" borderId="3" xfId="0" applyFill="1" applyBorder="1"/>
    <xf numFmtId="0" fontId="1" fillId="9" borderId="3" xfId="0" applyFont="1" applyFill="1" applyBorder="1"/>
    <xf numFmtId="0" fontId="0" fillId="9" borderId="3" xfId="0" applyFill="1" applyBorder="1"/>
    <xf numFmtId="0" fontId="1" fillId="7" borderId="3" xfId="0" applyFont="1" applyFill="1" applyBorder="1"/>
    <xf numFmtId="0" fontId="0" fillId="7" borderId="3" xfId="0" applyFill="1" applyBorder="1"/>
    <xf numFmtId="0" fontId="1" fillId="2" borderId="3" xfId="0" applyFont="1" applyFill="1" applyBorder="1"/>
    <xf numFmtId="0" fontId="1" fillId="6" borderId="3" xfId="0" applyFont="1" applyFill="1" applyBorder="1"/>
    <xf numFmtId="0" fontId="0" fillId="6" borderId="3" xfId="0" applyFill="1" applyBorder="1"/>
    <xf numFmtId="0" fontId="1" fillId="10" borderId="3" xfId="0" applyFont="1" applyFill="1" applyBorder="1"/>
    <xf numFmtId="0" fontId="0" fillId="10" borderId="3" xfId="0" applyFill="1" applyBorder="1"/>
    <xf numFmtId="0" fontId="5" fillId="0" borderId="3" xfId="0" applyFont="1" applyFill="1" applyBorder="1"/>
    <xf numFmtId="164" fontId="0" fillId="5" borderId="3" xfId="1" applyNumberFormat="1" applyFont="1" applyFill="1" applyBorder="1"/>
    <xf numFmtId="14" fontId="1" fillId="3" borderId="7" xfId="0" applyNumberFormat="1" applyFont="1" applyFill="1" applyBorder="1"/>
    <xf numFmtId="14" fontId="1" fillId="3" borderId="8" xfId="0" applyNumberFormat="1" applyFont="1" applyFill="1" applyBorder="1"/>
    <xf numFmtId="0" fontId="1" fillId="6" borderId="4" xfId="0" applyFont="1" applyFill="1" applyBorder="1"/>
    <xf numFmtId="0" fontId="0" fillId="7" borderId="3" xfId="0" applyFont="1" applyFill="1" applyBorder="1"/>
    <xf numFmtId="0" fontId="0" fillId="2" borderId="5" xfId="0" applyFill="1" applyBorder="1"/>
    <xf numFmtId="0" fontId="0" fillId="2" borderId="6" xfId="0" applyFill="1" applyBorder="1"/>
    <xf numFmtId="0" fontId="2" fillId="2" borderId="4" xfId="0" applyFont="1" applyFill="1" applyBorder="1"/>
    <xf numFmtId="0" fontId="2" fillId="0" borderId="0" xfId="0" applyFont="1" applyFill="1" applyBorder="1"/>
    <xf numFmtId="164" fontId="1" fillId="5" borderId="3" xfId="1" applyNumberFormat="1" applyFont="1" applyFill="1" applyBorder="1"/>
    <xf numFmtId="164" fontId="1" fillId="0" borderId="3" xfId="1" applyNumberFormat="1" applyFont="1" applyFill="1" applyBorder="1"/>
    <xf numFmtId="43" fontId="1" fillId="2" borderId="3" xfId="2" applyFont="1" applyFill="1" applyBorder="1"/>
    <xf numFmtId="0" fontId="0" fillId="0" borderId="15" xfId="0" applyBorder="1"/>
    <xf numFmtId="0" fontId="0" fillId="0" borderId="16" xfId="0" applyBorder="1"/>
    <xf numFmtId="0" fontId="0" fillId="0" borderId="18" xfId="0" applyBorder="1"/>
    <xf numFmtId="0" fontId="0" fillId="0" borderId="20" xfId="0" applyBorder="1"/>
    <xf numFmtId="0" fontId="0" fillId="0" borderId="21" xfId="0" applyBorder="1"/>
    <xf numFmtId="0" fontId="0" fillId="0" borderId="3" xfId="0" applyBorder="1"/>
    <xf numFmtId="0" fontId="0" fillId="0" borderId="23" xfId="0" applyFill="1" applyBorder="1"/>
    <xf numFmtId="0" fontId="0" fillId="0" borderId="23" xfId="0" applyBorder="1"/>
    <xf numFmtId="0" fontId="0" fillId="0" borderId="24" xfId="0" applyBorder="1"/>
    <xf numFmtId="0" fontId="0" fillId="0" borderId="10" xfId="0" applyBorder="1"/>
    <xf numFmtId="0" fontId="0" fillId="0" borderId="25" xfId="0" applyBorder="1"/>
    <xf numFmtId="0" fontId="0" fillId="0" borderId="12" xfId="0" applyBorder="1"/>
    <xf numFmtId="0" fontId="0" fillId="5" borderId="23" xfId="0" applyFill="1" applyBorder="1"/>
    <xf numFmtId="0" fontId="0" fillId="5" borderId="9" xfId="0" applyFill="1" applyBorder="1"/>
    <xf numFmtId="0" fontId="0" fillId="5" borderId="25" xfId="0" applyFill="1" applyBorder="1"/>
    <xf numFmtId="0" fontId="1" fillId="5" borderId="29" xfId="0" applyFont="1" applyFill="1" applyBorder="1"/>
    <xf numFmtId="0" fontId="0" fillId="5" borderId="29" xfId="0" applyFill="1" applyBorder="1"/>
    <xf numFmtId="0" fontId="0" fillId="5" borderId="30" xfId="0" applyFill="1" applyBorder="1"/>
    <xf numFmtId="0" fontId="1" fillId="8" borderId="22" xfId="0" applyFont="1" applyFill="1" applyBorder="1"/>
    <xf numFmtId="0" fontId="0" fillId="8" borderId="23" xfId="0" applyFill="1" applyBorder="1"/>
    <xf numFmtId="0" fontId="0" fillId="5" borderId="24" xfId="0" applyFill="1" applyBorder="1"/>
    <xf numFmtId="0" fontId="0" fillId="5" borderId="10" xfId="0" applyFill="1" applyBorder="1"/>
    <xf numFmtId="0" fontId="5" fillId="5" borderId="9" xfId="0" applyFont="1" applyFill="1" applyBorder="1"/>
    <xf numFmtId="0" fontId="1" fillId="8" borderId="9" xfId="0" applyFont="1" applyFill="1" applyBorder="1"/>
    <xf numFmtId="0" fontId="1" fillId="5" borderId="9" xfId="0" applyFont="1" applyFill="1" applyBorder="1"/>
    <xf numFmtId="0" fontId="1" fillId="9" borderId="9" xfId="0" applyFont="1" applyFill="1" applyBorder="1"/>
    <xf numFmtId="0" fontId="1" fillId="7" borderId="9" xfId="0" applyFont="1" applyFill="1" applyBorder="1"/>
    <xf numFmtId="0" fontId="0" fillId="5" borderId="9" xfId="0" applyFont="1" applyFill="1" applyBorder="1"/>
    <xf numFmtId="0" fontId="1" fillId="2" borderId="9" xfId="0" applyFont="1" applyFill="1" applyBorder="1"/>
    <xf numFmtId="0" fontId="5" fillId="0" borderId="9" xfId="0" applyFont="1" applyFill="1" applyBorder="1"/>
    <xf numFmtId="0" fontId="1" fillId="0" borderId="9" xfId="0" applyFont="1" applyFill="1" applyBorder="1"/>
    <xf numFmtId="0" fontId="1" fillId="6" borderId="9" xfId="0" applyFont="1" applyFill="1" applyBorder="1"/>
    <xf numFmtId="0" fontId="1" fillId="10" borderId="9" xfId="0" applyFont="1" applyFill="1" applyBorder="1"/>
    <xf numFmtId="0" fontId="1" fillId="2" borderId="11" xfId="0" applyFont="1" applyFill="1" applyBorder="1"/>
    <xf numFmtId="0" fontId="0" fillId="2" borderId="25" xfId="0" applyFill="1" applyBorder="1"/>
    <xf numFmtId="0" fontId="1" fillId="2" borderId="25" xfId="0" applyFont="1" applyFill="1" applyBorder="1"/>
    <xf numFmtId="164" fontId="0" fillId="5" borderId="25" xfId="1" applyNumberFormat="1" applyFont="1" applyFill="1" applyBorder="1"/>
    <xf numFmtId="0" fontId="0" fillId="2" borderId="12" xfId="0" applyFill="1" applyBorder="1"/>
    <xf numFmtId="0" fontId="0" fillId="11" borderId="31" xfId="0" applyFill="1" applyBorder="1"/>
    <xf numFmtId="0" fontId="0" fillId="0" borderId="32" xfId="0" applyFill="1" applyBorder="1"/>
    <xf numFmtId="0" fontId="0" fillId="0" borderId="2" xfId="0" applyFill="1" applyBorder="1"/>
    <xf numFmtId="0" fontId="0" fillId="5" borderId="33" xfId="0" applyFill="1" applyBorder="1"/>
    <xf numFmtId="0" fontId="0" fillId="5" borderId="34" xfId="0" applyFill="1" applyBorder="1"/>
    <xf numFmtId="0" fontId="0" fillId="5" borderId="35" xfId="0" applyFill="1" applyBorder="1"/>
    <xf numFmtId="0" fontId="1" fillId="4" borderId="27" xfId="0" applyFont="1" applyFill="1" applyBorder="1"/>
    <xf numFmtId="0" fontId="0" fillId="5" borderId="36" xfId="0" applyFill="1" applyBorder="1"/>
    <xf numFmtId="0" fontId="0" fillId="5" borderId="37" xfId="0" applyFill="1" applyBorder="1"/>
    <xf numFmtId="0" fontId="0" fillId="0" borderId="28" xfId="0" applyFill="1" applyBorder="1"/>
    <xf numFmtId="0" fontId="0" fillId="6" borderId="4" xfId="0" applyFill="1" applyBorder="1"/>
    <xf numFmtId="0" fontId="0" fillId="6" borderId="38" xfId="0" applyFill="1" applyBorder="1"/>
    <xf numFmtId="0" fontId="0" fillId="0" borderId="31" xfId="0" applyFill="1" applyBorder="1"/>
    <xf numFmtId="0" fontId="0" fillId="6" borderId="39" xfId="0" applyFill="1" applyBorder="1"/>
    <xf numFmtId="4" fontId="0" fillId="0" borderId="28" xfId="0" applyNumberFormat="1" applyFill="1" applyBorder="1"/>
    <xf numFmtId="4" fontId="0" fillId="0" borderId="25" xfId="0" applyNumberFormat="1" applyFill="1" applyBorder="1"/>
    <xf numFmtId="165" fontId="0" fillId="0" borderId="3" xfId="0" applyNumberFormat="1" applyFill="1" applyBorder="1"/>
    <xf numFmtId="164" fontId="0" fillId="0" borderId="3" xfId="1" applyNumberFormat="1" applyFont="1" applyFill="1" applyBorder="1"/>
    <xf numFmtId="164" fontId="0" fillId="0" borderId="25" xfId="0" applyNumberFormat="1" applyFill="1" applyBorder="1"/>
    <xf numFmtId="0" fontId="0" fillId="0" borderId="14" xfId="0" applyBorder="1"/>
    <xf numFmtId="0" fontId="0" fillId="0" borderId="17" xfId="0" applyBorder="1"/>
    <xf numFmtId="0" fontId="0" fillId="0" borderId="19" xfId="0" applyBorder="1"/>
    <xf numFmtId="0" fontId="0" fillId="11" borderId="1" xfId="0" applyFill="1" applyBorder="1"/>
    <xf numFmtId="0" fontId="1" fillId="0" borderId="18" xfId="0" applyFont="1" applyBorder="1"/>
    <xf numFmtId="0" fontId="1" fillId="0" borderId="21" xfId="0" applyFont="1" applyBorder="1"/>
    <xf numFmtId="164" fontId="0" fillId="0" borderId="3" xfId="1" applyNumberFormat="1" applyFont="1" applyBorder="1"/>
    <xf numFmtId="0" fontId="0" fillId="0" borderId="3" xfId="0" applyFont="1" applyFill="1" applyBorder="1"/>
    <xf numFmtId="0" fontId="1" fillId="0" borderId="0" xfId="0" applyFont="1" applyFill="1" applyBorder="1"/>
    <xf numFmtId="43" fontId="1" fillId="0" borderId="3" xfId="2" applyFont="1" applyFill="1" applyBorder="1"/>
    <xf numFmtId="165" fontId="0" fillId="0" borderId="0" xfId="0" applyNumberFormat="1" applyFill="1" applyBorder="1"/>
    <xf numFmtId="0" fontId="1" fillId="0" borderId="26" xfId="0" applyFont="1" applyFill="1" applyBorder="1"/>
    <xf numFmtId="14" fontId="0" fillId="3" borderId="1" xfId="0" applyNumberFormat="1" applyFill="1" applyBorder="1"/>
    <xf numFmtId="14" fontId="1" fillId="3" borderId="16" xfId="0" applyNumberFormat="1" applyFont="1" applyFill="1" applyBorder="1"/>
    <xf numFmtId="14" fontId="1" fillId="3" borderId="1" xfId="0" applyNumberFormat="1" applyFont="1" applyFill="1" applyBorder="1"/>
    <xf numFmtId="0" fontId="0" fillId="5" borderId="28" xfId="0" applyFill="1" applyBorder="1"/>
    <xf numFmtId="0" fontId="6" fillId="2" borderId="4" xfId="0" applyFont="1" applyFill="1" applyBorder="1"/>
    <xf numFmtId="0" fontId="0" fillId="0" borderId="17" xfId="0" applyFill="1" applyBorder="1"/>
    <xf numFmtId="10" fontId="0" fillId="0" borderId="3" xfId="1" applyNumberFormat="1" applyFont="1" applyBorder="1"/>
    <xf numFmtId="10" fontId="0" fillId="10" borderId="3" xfId="1" applyNumberFormat="1" applyFont="1" applyFill="1" applyBorder="1"/>
    <xf numFmtId="0" fontId="0" fillId="10" borderId="10" xfId="0" applyFill="1" applyBorder="1"/>
    <xf numFmtId="0" fontId="0" fillId="10" borderId="4" xfId="0" applyFill="1" applyBorder="1"/>
    <xf numFmtId="0" fontId="0" fillId="10" borderId="38" xfId="0" applyFill="1" applyBorder="1"/>
    <xf numFmtId="0" fontId="0" fillId="10" borderId="41" xfId="0" applyFill="1" applyBorder="1"/>
    <xf numFmtId="0" fontId="0" fillId="12" borderId="17" xfId="0" applyFill="1" applyBorder="1"/>
    <xf numFmtId="0" fontId="0" fillId="12" borderId="42" xfId="0" applyFill="1" applyBorder="1"/>
    <xf numFmtId="0" fontId="0" fillId="12" borderId="40" xfId="0" applyFill="1" applyBorder="1"/>
    <xf numFmtId="0" fontId="0" fillId="13" borderId="1" xfId="0" applyFill="1" applyBorder="1"/>
    <xf numFmtId="0" fontId="7" fillId="13" borderId="1" xfId="0" applyFont="1" applyFill="1" applyBorder="1"/>
    <xf numFmtId="14" fontId="7" fillId="13" borderId="1" xfId="0" applyNumberFormat="1" applyFont="1" applyFill="1" applyBorder="1"/>
    <xf numFmtId="10" fontId="0" fillId="0" borderId="3" xfId="1" applyNumberFormat="1" applyFont="1" applyFill="1" applyBorder="1"/>
    <xf numFmtId="0" fontId="0" fillId="10" borderId="43" xfId="0" applyFill="1" applyBorder="1"/>
    <xf numFmtId="0" fontId="0" fillId="0" borderId="43" xfId="0" applyBorder="1"/>
    <xf numFmtId="10" fontId="0" fillId="12" borderId="15" xfId="1" applyNumberFormat="1" applyFont="1" applyFill="1" applyBorder="1"/>
    <xf numFmtId="0" fontId="0" fillId="13" borderId="31" xfId="0" applyFill="1" applyBorder="1"/>
    <xf numFmtId="0" fontId="7" fillId="13" borderId="31" xfId="0" applyFont="1" applyFill="1" applyBorder="1"/>
    <xf numFmtId="0" fontId="0" fillId="12" borderId="3" xfId="0" applyFill="1" applyBorder="1"/>
    <xf numFmtId="0" fontId="0" fillId="0" borderId="26" xfId="0" applyFill="1" applyBorder="1"/>
    <xf numFmtId="10" fontId="0" fillId="10" borderId="44" xfId="1" applyNumberFormat="1" applyFont="1" applyFill="1" applyBorder="1"/>
    <xf numFmtId="10" fontId="0" fillId="0" borderId="26" xfId="1" applyNumberFormat="1" applyFont="1" applyFill="1" applyBorder="1"/>
    <xf numFmtId="0" fontId="0" fillId="0" borderId="26" xfId="0" applyBorder="1"/>
    <xf numFmtId="0" fontId="0" fillId="0" borderId="45" xfId="0" applyBorder="1"/>
    <xf numFmtId="0" fontId="0" fillId="10" borderId="3" xfId="0" applyFont="1" applyFill="1" applyBorder="1"/>
    <xf numFmtId="164" fontId="0" fillId="10" borderId="3" xfId="1" applyNumberFormat="1" applyFont="1" applyFill="1" applyBorder="1"/>
    <xf numFmtId="14" fontId="0" fillId="0" borderId="3" xfId="0" applyNumberFormat="1" applyBorder="1"/>
    <xf numFmtId="0" fontId="0" fillId="0" borderId="0" xfId="0" applyFont="1" applyFill="1" applyBorder="1"/>
    <xf numFmtId="164" fontId="0" fillId="0" borderId="0" xfId="1" applyNumberFormat="1" applyFont="1" applyFill="1" applyBorder="1"/>
    <xf numFmtId="0" fontId="5" fillId="0" borderId="0" xfId="0" applyFont="1" applyFill="1" applyBorder="1"/>
    <xf numFmtId="0" fontId="0" fillId="2" borderId="0" xfId="0" applyFill="1"/>
    <xf numFmtId="0" fontId="0" fillId="2" borderId="1" xfId="0" applyFill="1" applyBorder="1"/>
    <xf numFmtId="0" fontId="0" fillId="2" borderId="4" xfId="0" applyFill="1" applyBorder="1"/>
    <xf numFmtId="0" fontId="0" fillId="0" borderId="9" xfId="0" applyBorder="1"/>
    <xf numFmtId="0" fontId="0" fillId="0" borderId="46" xfId="0" applyBorder="1"/>
    <xf numFmtId="14" fontId="0" fillId="0" borderId="28" xfId="0" applyNumberFormat="1" applyBorder="1"/>
    <xf numFmtId="0" fontId="0" fillId="10" borderId="11" xfId="0" applyFill="1" applyBorder="1"/>
    <xf numFmtId="0" fontId="0" fillId="10" borderId="25" xfId="0" applyFill="1" applyBorder="1"/>
    <xf numFmtId="0" fontId="0" fillId="14" borderId="28" xfId="0" applyFill="1" applyBorder="1"/>
    <xf numFmtId="0" fontId="0" fillId="14" borderId="25" xfId="0" applyFill="1" applyBorder="1"/>
    <xf numFmtId="14" fontId="0" fillId="0" borderId="28" xfId="0" applyNumberFormat="1" applyFill="1" applyBorder="1"/>
    <xf numFmtId="14" fontId="0" fillId="0" borderId="47" xfId="0" applyNumberFormat="1" applyBorder="1"/>
    <xf numFmtId="0" fontId="0" fillId="10" borderId="12" xfId="0" applyFill="1" applyBorder="1"/>
    <xf numFmtId="0" fontId="0" fillId="0" borderId="48" xfId="0" applyBorder="1"/>
    <xf numFmtId="0" fontId="0" fillId="10" borderId="49" xfId="0" applyFill="1" applyBorder="1"/>
    <xf numFmtId="0" fontId="0" fillId="12" borderId="28" xfId="0" applyFill="1" applyBorder="1"/>
    <xf numFmtId="14" fontId="0" fillId="0" borderId="50" xfId="0" applyNumberFormat="1" applyBorder="1"/>
    <xf numFmtId="14" fontId="0" fillId="0" borderId="51" xfId="0" applyNumberFormat="1" applyBorder="1"/>
    <xf numFmtId="0" fontId="0" fillId="0" borderId="34" xfId="0" applyBorder="1"/>
    <xf numFmtId="0" fontId="0" fillId="10" borderId="35" xfId="0" applyFill="1" applyBorder="1"/>
    <xf numFmtId="0" fontId="0" fillId="2" borderId="41" xfId="0" applyFill="1" applyBorder="1"/>
    <xf numFmtId="0" fontId="0" fillId="12" borderId="47" xfId="0" applyFill="1" applyBorder="1"/>
    <xf numFmtId="164" fontId="0" fillId="0" borderId="0" xfId="1" applyNumberFormat="1" applyFont="1" applyBorder="1"/>
    <xf numFmtId="0" fontId="0" fillId="0" borderId="32" xfId="0" applyBorder="1"/>
    <xf numFmtId="164" fontId="0" fillId="0" borderId="2" xfId="1" applyNumberFormat="1" applyFont="1" applyBorder="1"/>
    <xf numFmtId="0" fontId="0" fillId="7" borderId="31" xfId="0" applyFill="1" applyBorder="1"/>
    <xf numFmtId="0" fontId="0" fillId="0" borderId="4" xfId="0" applyBorder="1"/>
    <xf numFmtId="0" fontId="0" fillId="0" borderId="5" xfId="0" applyBorder="1"/>
    <xf numFmtId="0" fontId="0" fillId="0" borderId="6" xfId="0" applyBorder="1"/>
    <xf numFmtId="166" fontId="0" fillId="0" borderId="0" xfId="1" applyNumberFormat="1" applyFont="1" applyBorder="1"/>
    <xf numFmtId="167" fontId="0" fillId="0" borderId="0" xfId="1" applyNumberFormat="1" applyFont="1" applyBorder="1"/>
    <xf numFmtId="10" fontId="0" fillId="0" borderId="0" xfId="0" applyNumberFormat="1" applyBorder="1"/>
    <xf numFmtId="167" fontId="0" fillId="0" borderId="0" xfId="0" applyNumberFormat="1" applyBorder="1"/>
    <xf numFmtId="166" fontId="0" fillId="0" borderId="0" xfId="0" applyNumberFormat="1" applyBorder="1"/>
    <xf numFmtId="166" fontId="0" fillId="2" borderId="0" xfId="1" applyNumberFormat="1" applyFont="1" applyFill="1"/>
    <xf numFmtId="0" fontId="0" fillId="2" borderId="14" xfId="0" applyFill="1" applyBorder="1"/>
    <xf numFmtId="14" fontId="0" fillId="0" borderId="15" xfId="0" applyNumberFormat="1" applyBorder="1"/>
    <xf numFmtId="3" fontId="0" fillId="0" borderId="0" xfId="0" applyNumberFormat="1" applyBorder="1"/>
    <xf numFmtId="0" fontId="0" fillId="10" borderId="21" xfId="0" applyFill="1" applyBorder="1"/>
    <xf numFmtId="0" fontId="5" fillId="0" borderId="9" xfId="0" applyFont="1" applyBorder="1"/>
    <xf numFmtId="14" fontId="0" fillId="0" borderId="16" xfId="0" applyNumberFormat="1" applyBorder="1"/>
    <xf numFmtId="166" fontId="0" fillId="0" borderId="0" xfId="1" applyNumberFormat="1" applyFont="1" applyFill="1" applyBorder="1"/>
    <xf numFmtId="166" fontId="0" fillId="0" borderId="18" xfId="1" applyNumberFormat="1" applyFont="1" applyFill="1" applyBorder="1"/>
    <xf numFmtId="0" fontId="0" fillId="0" borderId="19" xfId="0" applyFill="1" applyBorder="1"/>
    <xf numFmtId="167" fontId="0" fillId="0" borderId="20" xfId="0" applyNumberFormat="1" applyFill="1" applyBorder="1"/>
    <xf numFmtId="167" fontId="0" fillId="0" borderId="20" xfId="0" applyNumberFormat="1" applyBorder="1"/>
    <xf numFmtId="166" fontId="0" fillId="0" borderId="0" xfId="0" applyNumberFormat="1" applyFill="1" applyBorder="1"/>
    <xf numFmtId="9" fontId="0" fillId="0" borderId="0" xfId="1" applyFont="1" applyFill="1" applyBorder="1"/>
    <xf numFmtId="168" fontId="0" fillId="0" borderId="20" xfId="2" applyNumberFormat="1" applyFont="1" applyFill="1" applyBorder="1"/>
    <xf numFmtId="0" fontId="0" fillId="8" borderId="17" xfId="0" applyFont="1" applyFill="1" applyBorder="1"/>
    <xf numFmtId="0" fontId="0" fillId="8" borderId="0" xfId="0" applyFill="1" applyBorder="1"/>
    <xf numFmtId="0" fontId="0" fillId="8" borderId="14" xfId="0" applyFill="1" applyBorder="1"/>
    <xf numFmtId="0" fontId="0" fillId="8" borderId="17" xfId="0" applyFill="1" applyBorder="1"/>
    <xf numFmtId="0" fontId="0" fillId="8" borderId="19" xfId="0" applyFill="1" applyBorder="1"/>
    <xf numFmtId="169" fontId="0" fillId="7" borderId="0" xfId="1" applyNumberFormat="1" applyFont="1" applyFill="1" applyBorder="1"/>
    <xf numFmtId="0" fontId="0" fillId="7" borderId="0" xfId="0" applyFill="1" applyBorder="1"/>
    <xf numFmtId="166" fontId="0" fillId="7" borderId="0" xfId="1" applyNumberFormat="1" applyFont="1" applyFill="1" applyBorder="1"/>
    <xf numFmtId="0" fontId="0" fillId="15" borderId="17" xfId="0" applyFill="1" applyBorder="1"/>
    <xf numFmtId="0" fontId="0" fillId="0" borderId="2" xfId="0" applyBorder="1"/>
    <xf numFmtId="14" fontId="0" fillId="0" borderId="10" xfId="0" applyNumberFormat="1" applyBorder="1"/>
    <xf numFmtId="0" fontId="0" fillId="0" borderId="0" xfId="1" applyNumberFormat="1" applyFont="1" applyFill="1" applyBorder="1"/>
    <xf numFmtId="14" fontId="4" fillId="0" borderId="0" xfId="1" applyNumberFormat="1" applyFont="1" applyFill="1" applyBorder="1"/>
    <xf numFmtId="14" fontId="0" fillId="0" borderId="0" xfId="0" applyNumberFormat="1" applyFont="1" applyFill="1" applyBorder="1"/>
    <xf numFmtId="14" fontId="0" fillId="0" borderId="15" xfId="0" applyNumberFormat="1" applyFill="1" applyBorder="1"/>
    <xf numFmtId="0" fontId="1" fillId="0" borderId="17" xfId="0" applyFont="1" applyFill="1" applyBorder="1"/>
    <xf numFmtId="0" fontId="0" fillId="0" borderId="17" xfId="0" applyFont="1" applyFill="1" applyBorder="1"/>
    <xf numFmtId="0" fontId="5" fillId="0" borderId="10" xfId="0" applyFont="1" applyFill="1" applyBorder="1"/>
    <xf numFmtId="0" fontId="1" fillId="0" borderId="10" xfId="0" applyFont="1" applyFill="1" applyBorder="1"/>
    <xf numFmtId="14" fontId="0" fillId="0" borderId="28" xfId="0" applyNumberFormat="1" applyFont="1" applyFill="1" applyBorder="1"/>
    <xf numFmtId="0" fontId="0" fillId="0" borderId="47" xfId="0" applyFont="1" applyFill="1" applyBorder="1"/>
    <xf numFmtId="14" fontId="0" fillId="6" borderId="4" xfId="0" applyNumberFormat="1" applyFill="1" applyBorder="1"/>
    <xf numFmtId="14" fontId="0" fillId="6" borderId="5" xfId="0" applyNumberFormat="1" applyFill="1" applyBorder="1"/>
    <xf numFmtId="14" fontId="0" fillId="6" borderId="6" xfId="0" applyNumberFormat="1" applyFill="1" applyBorder="1"/>
    <xf numFmtId="14" fontId="0" fillId="0" borderId="3" xfId="0" applyNumberFormat="1" applyFill="1" applyBorder="1"/>
    <xf numFmtId="14" fontId="0" fillId="2" borderId="5" xfId="0" applyNumberFormat="1" applyFill="1" applyBorder="1"/>
    <xf numFmtId="14" fontId="0" fillId="2" borderId="6" xfId="0" applyNumberFormat="1" applyFill="1" applyBorder="1"/>
    <xf numFmtId="0" fontId="0" fillId="0" borderId="0" xfId="0" applyNumberFormat="1" applyBorder="1"/>
    <xf numFmtId="0" fontId="0" fillId="0" borderId="20" xfId="0" applyNumberFormat="1" applyBorder="1"/>
    <xf numFmtId="14" fontId="0" fillId="0" borderId="0" xfId="0" applyNumberFormat="1"/>
    <xf numFmtId="0" fontId="1" fillId="0" borderId="31" xfId="0" applyFont="1" applyFill="1" applyBorder="1"/>
    <xf numFmtId="0" fontId="0" fillId="0" borderId="32" xfId="0" applyFont="1" applyFill="1" applyBorder="1"/>
    <xf numFmtId="0" fontId="1" fillId="0" borderId="32" xfId="0" applyFont="1" applyFill="1" applyBorder="1"/>
    <xf numFmtId="168" fontId="0" fillId="0" borderId="0" xfId="2" applyNumberFormat="1" applyFont="1" applyFill="1" applyBorder="1"/>
    <xf numFmtId="0" fontId="0" fillId="10" borderId="52" xfId="0" applyFill="1" applyBorder="1"/>
    <xf numFmtId="0" fontId="0" fillId="10" borderId="3" xfId="0" applyNumberFormat="1" applyFill="1" applyBorder="1"/>
    <xf numFmtId="14" fontId="0" fillId="0" borderId="0" xfId="0" applyNumberFormat="1" applyBorder="1"/>
    <xf numFmtId="0" fontId="0" fillId="0" borderId="31" xfId="0" applyBorder="1"/>
    <xf numFmtId="14" fontId="4" fillId="0" borderId="3" xfId="1" applyNumberFormat="1" applyFont="1" applyFill="1" applyBorder="1"/>
    <xf numFmtId="14" fontId="0" fillId="0" borderId="3" xfId="0" applyNumberFormat="1" applyFont="1" applyFill="1" applyBorder="1"/>
    <xf numFmtId="0" fontId="0" fillId="0" borderId="3" xfId="1" applyNumberFormat="1" applyFont="1" applyFill="1" applyBorder="1"/>
    <xf numFmtId="0" fontId="0" fillId="0" borderId="3" xfId="0" applyNumberFormat="1" applyBorder="1"/>
    <xf numFmtId="0" fontId="0" fillId="0" borderId="3" xfId="0" applyNumberFormat="1" applyFill="1" applyBorder="1"/>
    <xf numFmtId="0" fontId="0" fillId="10" borderId="48" xfId="0" applyNumberFormat="1" applyFill="1" applyBorder="1"/>
    <xf numFmtId="14" fontId="0" fillId="6" borderId="14" xfId="0" applyNumberFormat="1" applyFill="1" applyBorder="1"/>
    <xf numFmtId="14" fontId="0" fillId="6" borderId="15" xfId="0" applyNumberFormat="1" applyFill="1" applyBorder="1"/>
    <xf numFmtId="14" fontId="0" fillId="6" borderId="16" xfId="0" applyNumberFormat="1" applyFill="1" applyBorder="1"/>
    <xf numFmtId="14" fontId="0" fillId="0" borderId="10" xfId="0" applyNumberFormat="1" applyFont="1" applyFill="1" applyBorder="1"/>
    <xf numFmtId="0" fontId="0" fillId="0" borderId="10" xfId="1" applyNumberFormat="1" applyFont="1" applyFill="1" applyBorder="1"/>
    <xf numFmtId="0" fontId="0" fillId="0" borderId="10" xfId="0" applyNumberFormat="1" applyBorder="1"/>
    <xf numFmtId="0" fontId="0" fillId="10" borderId="9" xfId="0" applyFill="1" applyBorder="1"/>
    <xf numFmtId="0" fontId="0" fillId="6" borderId="14" xfId="0" applyFill="1" applyBorder="1"/>
    <xf numFmtId="0" fontId="0" fillId="6" borderId="15" xfId="0" applyFill="1" applyBorder="1"/>
    <xf numFmtId="0" fontId="0" fillId="6" borderId="16" xfId="0" applyFill="1" applyBorder="1"/>
    <xf numFmtId="164" fontId="0" fillId="10" borderId="48" xfId="1" applyNumberFormat="1" applyFont="1" applyFill="1" applyBorder="1"/>
    <xf numFmtId="0" fontId="0" fillId="12" borderId="4" xfId="0" applyFill="1" applyBorder="1"/>
    <xf numFmtId="0" fontId="0" fillId="12" borderId="6" xfId="0" applyFill="1" applyBorder="1"/>
    <xf numFmtId="0" fontId="0" fillId="15" borderId="0" xfId="0" applyFill="1" applyBorder="1"/>
    <xf numFmtId="0" fontId="0" fillId="15" borderId="18" xfId="0" applyFill="1" applyBorder="1"/>
    <xf numFmtId="0" fontId="0" fillId="15" borderId="0" xfId="0" applyFill="1"/>
    <xf numFmtId="0" fontId="3" fillId="2" borderId="4" xfId="0" applyFont="1" applyFill="1" applyBorder="1" applyAlignment="1">
      <alignment horizontal="center"/>
    </xf>
    <xf numFmtId="0" fontId="0" fillId="2" borderId="5" xfId="0" applyFill="1" applyBorder="1" applyAlignment="1">
      <alignment horizontal="center"/>
    </xf>
    <xf numFmtId="0" fontId="0" fillId="2" borderId="6" xfId="0" applyFill="1" applyBorder="1" applyAlignment="1">
      <alignment horizontal="center"/>
    </xf>
    <xf numFmtId="0" fontId="2" fillId="0" borderId="0" xfId="0" applyFont="1" applyFill="1" applyBorder="1" applyAlignment="1">
      <alignment horizontal="center"/>
    </xf>
    <xf numFmtId="0" fontId="0" fillId="0" borderId="0" xfId="0" applyFill="1" applyBorder="1" applyAlignment="1">
      <alignment horizontal="center"/>
    </xf>
    <xf numFmtId="0" fontId="0" fillId="0" borderId="0" xfId="0" applyFill="1" applyBorder="1" applyAlignment="1">
      <alignment wrapText="1"/>
    </xf>
    <xf numFmtId="0" fontId="2" fillId="0" borderId="0" xfId="0" applyFont="1" applyFill="1" applyBorder="1" applyAlignment="1">
      <alignment horizontal="center"/>
    </xf>
    <xf numFmtId="0" fontId="0" fillId="0" borderId="0" xfId="0" applyFill="1" applyBorder="1" applyAlignment="1">
      <alignment horizontal="center"/>
    </xf>
    <xf numFmtId="0" fontId="1" fillId="0" borderId="0" xfId="0" applyFont="1" applyFill="1" applyBorder="1" applyAlignment="1">
      <alignment wrapText="1"/>
    </xf>
    <xf numFmtId="14" fontId="0" fillId="13" borderId="4" xfId="0" applyNumberFormat="1" applyFill="1" applyBorder="1"/>
    <xf numFmtId="0" fontId="0" fillId="10" borderId="48" xfId="0" applyFill="1" applyBorder="1"/>
    <xf numFmtId="0" fontId="0" fillId="0" borderId="53" xfId="0" applyBorder="1"/>
    <xf numFmtId="0" fontId="0" fillId="10" borderId="54" xfId="0" applyFill="1" applyBorder="1"/>
    <xf numFmtId="0" fontId="0" fillId="13" borderId="23" xfId="0" applyFill="1" applyBorder="1"/>
    <xf numFmtId="14" fontId="0" fillId="13" borderId="23" xfId="0" applyNumberFormat="1" applyFill="1" applyBorder="1"/>
    <xf numFmtId="14" fontId="0" fillId="13" borderId="24" xfId="0" applyNumberFormat="1" applyFill="1" applyBorder="1"/>
    <xf numFmtId="0" fontId="0" fillId="12" borderId="10" xfId="0" applyFill="1" applyBorder="1"/>
  </cellXfs>
  <cellStyles count="3">
    <cellStyle name="Migliaia" xfId="2" builtinId="3"/>
    <cellStyle name="Normale" xfId="0" builtinId="0"/>
    <cellStyle name="Percentuale" xfId="1" builtinId="5"/>
  </cellStyles>
  <dxfs count="0"/>
  <tableStyles count="0" defaultTableStyle="TableStyleMedium2" defaultPivotStyle="PivotStyleLight16"/>
  <colors>
    <mruColors>
      <color rgb="FFFFFFCC"/>
      <color rgb="FFFFFF99"/>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9</xdr:col>
      <xdr:colOff>579120</xdr:colOff>
      <xdr:row>70</xdr:row>
      <xdr:rowOff>53340</xdr:rowOff>
    </xdr:from>
    <xdr:to>
      <xdr:col>17</xdr:col>
      <xdr:colOff>60960</xdr:colOff>
      <xdr:row>82</xdr:row>
      <xdr:rowOff>160020</xdr:rowOff>
    </xdr:to>
    <xdr:sp macro="" textlink="">
      <xdr:nvSpPr>
        <xdr:cNvPr id="3" name="CasellaDiTesto 2">
          <a:extLst>
            <a:ext uri="{FF2B5EF4-FFF2-40B4-BE49-F238E27FC236}">
              <a16:creationId xmlns:a16="http://schemas.microsoft.com/office/drawing/2014/main" id="{3A74817B-5C1C-4147-B002-AC8EE7090FB2}"/>
            </a:ext>
          </a:extLst>
        </xdr:cNvPr>
        <xdr:cNvSpPr txBox="1"/>
      </xdr:nvSpPr>
      <xdr:spPr>
        <a:xfrm>
          <a:off x="8610600" y="12984480"/>
          <a:ext cx="4770120" cy="23164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it-IT" sz="1100"/>
        </a:p>
        <a:p>
          <a:endParaRPr lang="it-IT" sz="1100"/>
        </a:p>
        <a:p>
          <a:r>
            <a:rPr lang="it-IT" sz="1100"/>
            <a:t>The “Result of minorities” was negative for the Group for 4 million euro and mainly included the portion attributable to minority interests of the LGH Group and the ACSM-AGAM Group. In the previous year, the item showed a negative balance for the Group for 10 million euro.</a:t>
          </a:r>
        </a:p>
        <a:p>
          <a:endParaRPr lang="it-IT" sz="1100"/>
        </a:p>
        <a:p>
          <a:r>
            <a:rPr lang="it-IT" sz="1100"/>
            <a:t>The “Group result of the year” was positive for 389 million euro (positive for 344 million euro at December 31, 2018).</a:t>
          </a:r>
        </a:p>
      </xdr:txBody>
    </xdr:sp>
    <xdr:clientData/>
  </xdr:twoCellAnchor>
  <xdr:twoCellAnchor>
    <xdr:from>
      <xdr:col>10</xdr:col>
      <xdr:colOff>15240</xdr:colOff>
      <xdr:row>84</xdr:row>
      <xdr:rowOff>160020</xdr:rowOff>
    </xdr:from>
    <xdr:to>
      <xdr:col>14</xdr:col>
      <xdr:colOff>297180</xdr:colOff>
      <xdr:row>93</xdr:row>
      <xdr:rowOff>53340</xdr:rowOff>
    </xdr:to>
    <xdr:sp macro="" textlink="">
      <xdr:nvSpPr>
        <xdr:cNvPr id="2" name="CasellaDiTesto 1">
          <a:extLst>
            <a:ext uri="{FF2B5EF4-FFF2-40B4-BE49-F238E27FC236}">
              <a16:creationId xmlns:a16="http://schemas.microsoft.com/office/drawing/2014/main" id="{4328B526-F1BD-4E36-BEC5-FC7520EC05EA}"/>
            </a:ext>
          </a:extLst>
        </xdr:cNvPr>
        <xdr:cNvSpPr txBox="1"/>
      </xdr:nvSpPr>
      <xdr:spPr>
        <a:xfrm>
          <a:off x="8656320" y="15674340"/>
          <a:ext cx="3131820" cy="15697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t>Payout</a:t>
          </a:r>
          <a:r>
            <a:rPr lang="it-IT" sz="1100" baseline="0"/>
            <a:t> computed over group result of the year and not only over parent's net income .</a:t>
          </a:r>
        </a:p>
        <a:p>
          <a:endParaRPr lang="it-IT" sz="1100" baseline="0"/>
        </a:p>
        <a:p>
          <a:r>
            <a:rPr lang="it-IT" sz="1100" baseline="0"/>
            <a:t>Dividend policy: </a:t>
          </a:r>
        </a:p>
        <a:p>
          <a:r>
            <a:rPr lang="it-IT" sz="1100" b="0" i="0">
              <a:solidFill>
                <a:schemeClr val="dk1"/>
              </a:solidFill>
              <a:effectLst/>
              <a:latin typeface="+mn-lt"/>
              <a:ea typeface="+mn-ea"/>
              <a:cs typeface="+mn-cs"/>
            </a:rPr>
            <a:t>Strategic</a:t>
          </a:r>
          <a:r>
            <a:rPr lang="it-IT" sz="1100" b="0" i="0" baseline="0">
              <a:solidFill>
                <a:schemeClr val="dk1"/>
              </a:solidFill>
              <a:effectLst/>
              <a:latin typeface="+mn-lt"/>
              <a:ea typeface="+mn-ea"/>
              <a:cs typeface="+mn-cs"/>
            </a:rPr>
            <a:t> plan </a:t>
          </a:r>
          <a:r>
            <a:rPr lang="it-IT" sz="1100" b="0" i="0">
              <a:solidFill>
                <a:schemeClr val="dk1"/>
              </a:solidFill>
              <a:effectLst/>
              <a:latin typeface="+mn-lt"/>
              <a:ea typeface="+mn-ea"/>
              <a:cs typeface="+mn-cs"/>
            </a:rPr>
            <a:t>2020-2024 confirms a</a:t>
          </a:r>
          <a:r>
            <a:rPr lang="it-IT" sz="1100" b="0" i="0" baseline="0">
              <a:solidFill>
                <a:schemeClr val="dk1"/>
              </a:solidFill>
              <a:effectLst/>
              <a:latin typeface="+mn-lt"/>
              <a:ea typeface="+mn-ea"/>
              <a:cs typeface="+mn-cs"/>
            </a:rPr>
            <a:t> sustainable growth dividend policy </a:t>
          </a:r>
          <a:r>
            <a:rPr lang="it-IT" sz="1100" b="0" i="0">
              <a:solidFill>
                <a:schemeClr val="dk1"/>
              </a:solidFill>
              <a:effectLst/>
              <a:latin typeface="+mn-lt"/>
              <a:ea typeface="+mn-ea"/>
              <a:cs typeface="+mn-cs"/>
            </a:rPr>
            <a:t>(DPS at</a:t>
          </a:r>
          <a:r>
            <a:rPr lang="it-IT" sz="1100" b="0" i="0" baseline="0">
              <a:solidFill>
                <a:schemeClr val="dk1"/>
              </a:solidFill>
              <a:effectLst/>
              <a:latin typeface="+mn-lt"/>
              <a:ea typeface="+mn-ea"/>
              <a:cs typeface="+mn-cs"/>
            </a:rPr>
            <a:t> about </a:t>
          </a:r>
          <a:r>
            <a:rPr lang="it-IT" sz="1100" b="0" i="0">
              <a:solidFill>
                <a:schemeClr val="dk1"/>
              </a:solidFill>
              <a:effectLst/>
              <a:latin typeface="+mn-lt"/>
              <a:ea typeface="+mn-ea"/>
              <a:cs typeface="+mn-cs"/>
            </a:rPr>
            <a:t>8,0 cents in 2020, with</a:t>
          </a:r>
          <a:r>
            <a:rPr lang="it-IT" sz="1100" b="0" i="0" baseline="0">
              <a:solidFill>
                <a:schemeClr val="dk1"/>
              </a:solidFill>
              <a:effectLst/>
              <a:latin typeface="+mn-lt"/>
              <a:ea typeface="+mn-ea"/>
              <a:cs typeface="+mn-cs"/>
            </a:rPr>
            <a:t> minimum growth of 5% per year in future years).</a:t>
          </a:r>
          <a:endParaRPr lang="it-IT" sz="1100" b="0" i="0">
            <a:solidFill>
              <a:schemeClr val="dk1"/>
            </a:solidFill>
            <a:effectLst/>
            <a:latin typeface="+mn-lt"/>
            <a:ea typeface="+mn-ea"/>
            <a:cs typeface="+mn-cs"/>
          </a:endParaRPr>
        </a:p>
        <a:p>
          <a:r>
            <a:rPr lang="it-IT" sz="1100" b="0" i="0">
              <a:solidFill>
                <a:schemeClr val="dk1"/>
              </a:solidFill>
              <a:effectLst/>
              <a:latin typeface="+mn-lt"/>
              <a:ea typeface="+mn-ea"/>
              <a:cs typeface="+mn-cs"/>
            </a:rPr>
            <a:t> </a:t>
          </a:r>
        </a:p>
        <a:p>
          <a:endParaRPr lang="it-IT" sz="1100" baseline="0"/>
        </a:p>
        <a:p>
          <a:endParaRPr lang="it-IT" sz="1100" baseline="0"/>
        </a:p>
        <a:p>
          <a:endParaRPr lang="it-IT"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11</xdr:col>
      <xdr:colOff>586740</xdr:colOff>
      <xdr:row>30</xdr:row>
      <xdr:rowOff>0</xdr:rowOff>
    </xdr:from>
    <xdr:to>
      <xdr:col>20</xdr:col>
      <xdr:colOff>182880</xdr:colOff>
      <xdr:row>44</xdr:row>
      <xdr:rowOff>137160</xdr:rowOff>
    </xdr:to>
    <xdr:sp macro="" textlink="">
      <xdr:nvSpPr>
        <xdr:cNvPr id="2" name="CasellaDiTesto 1">
          <a:extLst>
            <a:ext uri="{FF2B5EF4-FFF2-40B4-BE49-F238E27FC236}">
              <a16:creationId xmlns:a16="http://schemas.microsoft.com/office/drawing/2014/main" id="{74AF07CC-8DAA-4AD6-A310-B05568694C8D}"/>
            </a:ext>
          </a:extLst>
        </xdr:cNvPr>
        <xdr:cNvSpPr txBox="1"/>
      </xdr:nvSpPr>
      <xdr:spPr>
        <a:xfrm>
          <a:off x="8001000" y="5394960"/>
          <a:ext cx="5082540" cy="26974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t>TO DO LIST:</a:t>
          </a:r>
          <a:r>
            <a:rPr lang="it-IT" sz="1100" baseline="0"/>
            <a:t> </a:t>
          </a:r>
        </a:p>
        <a:p>
          <a:endParaRPr lang="it-IT" sz="1100" baseline="0"/>
        </a:p>
        <a:p>
          <a:r>
            <a:rPr lang="it-IT" sz="1100" baseline="0"/>
            <a:t>1) REORGANIZE  (Done, we did not encounter differences) </a:t>
          </a:r>
        </a:p>
        <a:p>
          <a:endParaRPr lang="it-IT" sz="1100" baseline="0"/>
        </a:p>
        <a:p>
          <a:r>
            <a:rPr lang="it-IT" sz="1100" baseline="0"/>
            <a:t>2) HIGHLIGHT ADJUSTMENTS ACCORDING TO DAMODARAN (We have decided to maintain same results due to the fact balances had already comprehended  adjustments)</a:t>
          </a:r>
        </a:p>
        <a:p>
          <a:endParaRPr lang="it-IT" sz="1100" baseline="0"/>
        </a:p>
        <a:p>
          <a:r>
            <a:rPr lang="it-IT" sz="1100" baseline="0"/>
            <a:t>3) COMPUTE NET CAPEX AND CHANGES IN WC  (Done )</a:t>
          </a:r>
        </a:p>
        <a:p>
          <a:endParaRPr lang="it-IT" sz="1100" baseline="0"/>
        </a:p>
        <a:p>
          <a:r>
            <a:rPr lang="it-IT" sz="1100" baseline="0"/>
            <a:t>4) TRY TO COMPUTE FCFE  (Done according to the simplest case) </a:t>
          </a:r>
        </a:p>
        <a:p>
          <a:endParaRPr lang="it-IT" sz="1100" baseline="0"/>
        </a:p>
        <a:p>
          <a:r>
            <a:rPr lang="it-IT" sz="1100" baseline="0"/>
            <a:t>5) TRY TO COMPUTE SOME RATIOS </a:t>
          </a:r>
        </a:p>
        <a:p>
          <a:endParaRPr lang="it-IT"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22</xdr:col>
      <xdr:colOff>106680</xdr:colOff>
      <xdr:row>3</xdr:row>
      <xdr:rowOff>83820</xdr:rowOff>
    </xdr:from>
    <xdr:to>
      <xdr:col>24</xdr:col>
      <xdr:colOff>190500</xdr:colOff>
      <xdr:row>7</xdr:row>
      <xdr:rowOff>68580</xdr:rowOff>
    </xdr:to>
    <xdr:sp macro="" textlink="">
      <xdr:nvSpPr>
        <xdr:cNvPr id="2" name="CasellaDiTesto 1">
          <a:extLst>
            <a:ext uri="{FF2B5EF4-FFF2-40B4-BE49-F238E27FC236}">
              <a16:creationId xmlns:a16="http://schemas.microsoft.com/office/drawing/2014/main" id="{4EC89BD5-7987-4DE3-9491-32278873407D}"/>
            </a:ext>
          </a:extLst>
        </xdr:cNvPr>
        <xdr:cNvSpPr txBox="1"/>
      </xdr:nvSpPr>
      <xdr:spPr>
        <a:xfrm>
          <a:off x="11894820" y="640080"/>
          <a:ext cx="1303020" cy="7162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t>Add other current assets</a:t>
          </a:r>
          <a:r>
            <a:rPr lang="it-IT" sz="1100" baseline="0"/>
            <a:t> and other current liabilities </a:t>
          </a:r>
          <a:endParaRPr lang="it-IT" sz="1100"/>
        </a:p>
      </xdr:txBody>
    </xdr:sp>
    <xdr:clientData/>
  </xdr:twoCellAnchor>
  <xdr:oneCellAnchor>
    <xdr:from>
      <xdr:col>11</xdr:col>
      <xdr:colOff>22860</xdr:colOff>
      <xdr:row>25</xdr:row>
      <xdr:rowOff>106680</xdr:rowOff>
    </xdr:from>
    <xdr:ext cx="914400" cy="781240"/>
    <xdr:sp macro="" textlink="">
      <xdr:nvSpPr>
        <xdr:cNvPr id="3" name="CasellaDiTesto 2">
          <a:extLst>
            <a:ext uri="{FF2B5EF4-FFF2-40B4-BE49-F238E27FC236}">
              <a16:creationId xmlns:a16="http://schemas.microsoft.com/office/drawing/2014/main" id="{F5BF0421-B2C8-4B84-AF66-01535742F738}"/>
            </a:ext>
          </a:extLst>
        </xdr:cNvPr>
        <xdr:cNvSpPr txBox="1"/>
      </xdr:nvSpPr>
      <xdr:spPr>
        <a:xfrm>
          <a:off x="8923020" y="4526280"/>
          <a:ext cx="914400" cy="7812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it-IT" sz="1100"/>
            <a:t>This is a proxy for operating cash </a:t>
          </a:r>
        </a:p>
      </xdr:txBody>
    </xdr:sp>
    <xdr:clientData/>
  </xdr:oneCellAnchor>
</xdr:wsDr>
</file>

<file path=xl/drawings/drawing4.xml><?xml version="1.0" encoding="utf-8"?>
<xdr:wsDr xmlns:xdr="http://schemas.openxmlformats.org/drawingml/2006/spreadsheetDrawing" xmlns:a="http://schemas.openxmlformats.org/drawingml/2006/main">
  <xdr:twoCellAnchor>
    <xdr:from>
      <xdr:col>1</xdr:col>
      <xdr:colOff>137160</xdr:colOff>
      <xdr:row>10</xdr:row>
      <xdr:rowOff>30480</xdr:rowOff>
    </xdr:from>
    <xdr:to>
      <xdr:col>6</xdr:col>
      <xdr:colOff>601980</xdr:colOff>
      <xdr:row>23</xdr:row>
      <xdr:rowOff>144780</xdr:rowOff>
    </xdr:to>
    <xdr:sp macro="" textlink="">
      <xdr:nvSpPr>
        <xdr:cNvPr id="2" name="CasellaDiTesto 1">
          <a:extLst>
            <a:ext uri="{FF2B5EF4-FFF2-40B4-BE49-F238E27FC236}">
              <a16:creationId xmlns:a16="http://schemas.microsoft.com/office/drawing/2014/main" id="{B2A0B782-DE7D-4CCF-AB3E-2156DD009050}"/>
            </a:ext>
          </a:extLst>
        </xdr:cNvPr>
        <xdr:cNvSpPr txBox="1"/>
      </xdr:nvSpPr>
      <xdr:spPr>
        <a:xfrm>
          <a:off x="746760" y="1874520"/>
          <a:ext cx="3695700" cy="24917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t>Return on assets: measures operating</a:t>
          </a:r>
          <a:r>
            <a:rPr lang="it-IT" sz="1100" baseline="0"/>
            <a:t> efficiency in generating profits from its assets (prior effects of financing)</a:t>
          </a:r>
        </a:p>
        <a:p>
          <a:r>
            <a:rPr lang="it-IT" sz="1100" baseline="0"/>
            <a:t>Ebit(1-t) / Total assets, where total assets is given by LHS  of BS (according to accounting rules) </a:t>
          </a:r>
        </a:p>
        <a:p>
          <a:endParaRPr lang="it-IT" sz="1100" baseline="0"/>
        </a:p>
        <a:p>
          <a:r>
            <a:rPr lang="it-IT" sz="1100" baseline="0"/>
            <a:t>By separating effects of financing from operating effects we can get: NI + Int exp(1-t) / Tot assets </a:t>
          </a:r>
        </a:p>
        <a:p>
          <a:endParaRPr lang="it-IT" sz="1100" baseline="0"/>
        </a:p>
        <a:p>
          <a:r>
            <a:rPr lang="it-IT" sz="1100" baseline="0"/>
            <a:t>Pre tax ROA: Ebit/tot assets . Useful measure if the firm is being evaluated for purchase by acquirer with different tax rate</a:t>
          </a:r>
        </a:p>
        <a:p>
          <a:endParaRPr lang="it-IT" sz="1100" baseline="0"/>
        </a:p>
        <a:p>
          <a:r>
            <a:rPr lang="it-IT" sz="1100" baseline="0"/>
            <a:t> </a:t>
          </a:r>
        </a:p>
      </xdr:txBody>
    </xdr:sp>
    <xdr:clientData/>
  </xdr:twoCellAnchor>
  <xdr:twoCellAnchor>
    <xdr:from>
      <xdr:col>8</xdr:col>
      <xdr:colOff>617220</xdr:colOff>
      <xdr:row>9</xdr:row>
      <xdr:rowOff>160020</xdr:rowOff>
    </xdr:from>
    <xdr:to>
      <xdr:col>16</xdr:col>
      <xdr:colOff>464820</xdr:colOff>
      <xdr:row>23</xdr:row>
      <xdr:rowOff>167640</xdr:rowOff>
    </xdr:to>
    <xdr:sp macro="" textlink="">
      <xdr:nvSpPr>
        <xdr:cNvPr id="3" name="CasellaDiTesto 2">
          <a:extLst>
            <a:ext uri="{FF2B5EF4-FFF2-40B4-BE49-F238E27FC236}">
              <a16:creationId xmlns:a16="http://schemas.microsoft.com/office/drawing/2014/main" id="{7DC9FEDB-B1E5-448F-8837-4B6962BAF9F3}"/>
            </a:ext>
          </a:extLst>
        </xdr:cNvPr>
        <xdr:cNvSpPr txBox="1"/>
      </xdr:nvSpPr>
      <xdr:spPr>
        <a:xfrm>
          <a:off x="5676900" y="1821180"/>
          <a:ext cx="4777740" cy="25679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t>More useful</a:t>
          </a:r>
          <a:r>
            <a:rPr lang="it-IT" sz="1100" baseline="0"/>
            <a:t> measure of return, it relates operating income to the capital invested . After tax Roc: Ebit(1-t)/ Bv Debt + Bv equity</a:t>
          </a:r>
        </a:p>
        <a:p>
          <a:r>
            <a:rPr lang="it-IT" sz="1100" baseline="0"/>
            <a:t>When a substantial portion of liabilities is current this approach provide a better measure of the true return on capital employed (Infact denominator = Invested capital) </a:t>
          </a:r>
        </a:p>
        <a:p>
          <a:endParaRPr lang="it-IT" sz="1100"/>
        </a:p>
        <a:p>
          <a:r>
            <a:rPr lang="it-IT" sz="1100"/>
            <a:t>Alternative</a:t>
          </a:r>
          <a:r>
            <a:rPr lang="it-IT" sz="1100" baseline="0"/>
            <a:t> ways: ROC based on average (between beginning Bv of capital and ending) </a:t>
          </a:r>
        </a:p>
        <a:p>
          <a:r>
            <a:rPr lang="it-IT" sz="1100" baseline="0"/>
            <a:t>Roc based on beginning measure of capital</a:t>
          </a:r>
        </a:p>
        <a:p>
          <a:endParaRPr lang="it-IT" sz="1100" baseline="0"/>
        </a:p>
        <a:p>
          <a:r>
            <a:rPr lang="it-IT" sz="1100" baseline="0"/>
            <a:t>Decomposition: of after tax ROC: Ebit(1-t)/Sales x Salex/BV of capital </a:t>
          </a:r>
        </a:p>
        <a:p>
          <a:r>
            <a:rPr lang="it-IT" sz="1100" baseline="0"/>
            <a:t>That is to say: pre tax operating margin and capital turnover ratio . </a:t>
          </a:r>
        </a:p>
        <a:p>
          <a:r>
            <a:rPr lang="it-IT" sz="1100" baseline="0"/>
            <a:t>A firm can arrive at a high ROC by either increasing its profit margin or efficiently using its capital to increase sales. </a:t>
          </a:r>
          <a:endParaRPr lang="it-IT" sz="1100"/>
        </a:p>
      </xdr:txBody>
    </xdr:sp>
    <xdr:clientData/>
  </xdr:twoCellAnchor>
  <xdr:twoCellAnchor>
    <xdr:from>
      <xdr:col>18</xdr:col>
      <xdr:colOff>38100</xdr:colOff>
      <xdr:row>10</xdr:row>
      <xdr:rowOff>0</xdr:rowOff>
    </xdr:from>
    <xdr:to>
      <xdr:col>26</xdr:col>
      <xdr:colOff>434340</xdr:colOff>
      <xdr:row>23</xdr:row>
      <xdr:rowOff>99060</xdr:rowOff>
    </xdr:to>
    <xdr:sp macro="" textlink="">
      <xdr:nvSpPr>
        <xdr:cNvPr id="4" name="CasellaDiTesto 3">
          <a:extLst>
            <a:ext uri="{FF2B5EF4-FFF2-40B4-BE49-F238E27FC236}">
              <a16:creationId xmlns:a16="http://schemas.microsoft.com/office/drawing/2014/main" id="{4FB136B5-DE1A-45FD-8521-21ECA42EAD66}"/>
            </a:ext>
          </a:extLst>
        </xdr:cNvPr>
        <xdr:cNvSpPr txBox="1"/>
      </xdr:nvSpPr>
      <xdr:spPr>
        <a:xfrm>
          <a:off x="11247120" y="1844040"/>
          <a:ext cx="5273040" cy="2476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t>Examines profitability from the perspective of equity investors by relating profits to</a:t>
          </a:r>
          <a:r>
            <a:rPr lang="it-IT" sz="1100" baseline="0"/>
            <a:t> equity investors to the book value of equity investment. </a:t>
          </a:r>
        </a:p>
        <a:p>
          <a:endParaRPr lang="it-IT" sz="1100" baseline="0"/>
        </a:p>
        <a:p>
          <a:r>
            <a:rPr lang="it-IT" sz="1100" baseline="0"/>
            <a:t>Roe = NI/ Book value of common equity  Since preferred stockholders have a different type of claim on the firm than common stockholders it should be measured with NI after preferred stocks and book value of equity net of preferred stocks. </a:t>
          </a:r>
        </a:p>
        <a:p>
          <a:endParaRPr lang="it-IT" sz="1100" baseline="0"/>
        </a:p>
        <a:p>
          <a:r>
            <a:rPr lang="it-IT" sz="1100" baseline="0"/>
            <a:t>Determinants: it's affected by the financing mix the firm uses to fund its projects. </a:t>
          </a:r>
        </a:p>
        <a:p>
          <a:r>
            <a:rPr lang="it-IT" sz="1100" baseline="0"/>
            <a:t>In general, if a firm that borrows money to finance projects is able to earns an higher ROC than after tax interest rate it pays it will be able to increase ROE by borrowing. </a:t>
          </a:r>
        </a:p>
        <a:p>
          <a:endParaRPr lang="it-IT" sz="1100" baseline="0"/>
        </a:p>
        <a:p>
          <a:r>
            <a:rPr lang="it-IT" sz="1100" baseline="0"/>
            <a:t>ROE = ROC + D/E (ROC - i(1-t)) where i = interest expense on debt/BV of debt and t marginal tax rate. **Remember that EBIT(1-t) is equal to NI + IE(1-t) </a:t>
          </a:r>
        </a:p>
        <a:p>
          <a:endParaRPr lang="it-IT" sz="1100"/>
        </a:p>
      </xdr:txBody>
    </xdr:sp>
    <xdr:clientData/>
  </xdr:twoCellAnchor>
  <xdr:twoCellAnchor>
    <xdr:from>
      <xdr:col>10</xdr:col>
      <xdr:colOff>350520</xdr:colOff>
      <xdr:row>0</xdr:row>
      <xdr:rowOff>91440</xdr:rowOff>
    </xdr:from>
    <xdr:to>
      <xdr:col>16</xdr:col>
      <xdr:colOff>22860</xdr:colOff>
      <xdr:row>7</xdr:row>
      <xdr:rowOff>106680</xdr:rowOff>
    </xdr:to>
    <xdr:sp macro="" textlink="">
      <xdr:nvSpPr>
        <xdr:cNvPr id="5" name="CasellaDiTesto 4">
          <a:extLst>
            <a:ext uri="{FF2B5EF4-FFF2-40B4-BE49-F238E27FC236}">
              <a16:creationId xmlns:a16="http://schemas.microsoft.com/office/drawing/2014/main" id="{3233DD6C-5FFF-40E2-8E8F-3D38FAD6F2EF}"/>
            </a:ext>
          </a:extLst>
        </xdr:cNvPr>
        <xdr:cNvSpPr txBox="1"/>
      </xdr:nvSpPr>
      <xdr:spPr>
        <a:xfrm>
          <a:off x="6682740" y="91440"/>
          <a:ext cx="3329940" cy="13106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t>According to growth in EPS:</a:t>
          </a:r>
          <a:r>
            <a:rPr lang="it-IT" sz="1100" baseline="0"/>
            <a:t> gt+1 = (Retained earnings t/NI t) * ROE t (return on equity on its projects, if supposed to maintain same ROE) </a:t>
          </a:r>
        </a:p>
        <a:p>
          <a:endParaRPr lang="it-IT" sz="1100"/>
        </a:p>
        <a:p>
          <a:r>
            <a:rPr lang="it-IT" sz="1100"/>
            <a:t>If the firm is not allowe</a:t>
          </a:r>
          <a:r>
            <a:rPr lang="it-IT" sz="1100" baseline="0"/>
            <a:t>d to raise equity by issuing new shares: growth rate in EPS is the same than in NI </a:t>
          </a:r>
          <a:endParaRPr lang="it-IT" sz="1100"/>
        </a:p>
      </xdr:txBody>
    </xdr:sp>
    <xdr:clientData/>
  </xdr:twoCellAnchor>
  <xdr:twoCellAnchor>
    <xdr:from>
      <xdr:col>2</xdr:col>
      <xdr:colOff>30480</xdr:colOff>
      <xdr:row>28</xdr:row>
      <xdr:rowOff>114300</xdr:rowOff>
    </xdr:from>
    <xdr:to>
      <xdr:col>7</xdr:col>
      <xdr:colOff>22860</xdr:colOff>
      <xdr:row>40</xdr:row>
      <xdr:rowOff>167640</xdr:rowOff>
    </xdr:to>
    <xdr:sp macro="" textlink="">
      <xdr:nvSpPr>
        <xdr:cNvPr id="6" name="CasellaDiTesto 5">
          <a:extLst>
            <a:ext uri="{FF2B5EF4-FFF2-40B4-BE49-F238E27FC236}">
              <a16:creationId xmlns:a16="http://schemas.microsoft.com/office/drawing/2014/main" id="{42273881-DBDF-4D6D-810C-3A34910B7E0D}"/>
            </a:ext>
          </a:extLst>
        </xdr:cNvPr>
        <xdr:cNvSpPr txBox="1"/>
      </xdr:nvSpPr>
      <xdr:spPr>
        <a:xfrm>
          <a:off x="1432560" y="5250180"/>
          <a:ext cx="3040380" cy="2247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t>Financial</a:t>
          </a:r>
          <a:r>
            <a:rPr lang="it-IT" sz="1100" baseline="0"/>
            <a:t> statements have long been used as basis for estimating financial ratios that measure profitability risk and leverage. </a:t>
          </a:r>
        </a:p>
        <a:p>
          <a:endParaRPr lang="it-IT" sz="1100" baseline="0"/>
        </a:p>
        <a:p>
          <a:r>
            <a:rPr lang="it-IT" sz="1100" baseline="0"/>
            <a:t>Short term liquidity risk arises primarly from the need to finance current operations. To the extent that the firm has to pay suppliers before being paid, there is a cash shortfall that has to be met with short term borrowing. Financial ratios have been devised to keep track of the extent of the firm 's exposure to the risk that it will not be able to meet its short term obligations. </a:t>
          </a:r>
          <a:endParaRPr lang="it-IT" sz="1100"/>
        </a:p>
      </xdr:txBody>
    </xdr:sp>
    <xdr:clientData/>
  </xdr:twoCellAnchor>
  <xdr:twoCellAnchor>
    <xdr:from>
      <xdr:col>10</xdr:col>
      <xdr:colOff>594360</xdr:colOff>
      <xdr:row>29</xdr:row>
      <xdr:rowOff>15240</xdr:rowOff>
    </xdr:from>
    <xdr:to>
      <xdr:col>15</xdr:col>
      <xdr:colOff>487680</xdr:colOff>
      <xdr:row>40</xdr:row>
      <xdr:rowOff>15240</xdr:rowOff>
    </xdr:to>
    <xdr:sp macro="" textlink="">
      <xdr:nvSpPr>
        <xdr:cNvPr id="7" name="CasellaDiTesto 6">
          <a:extLst>
            <a:ext uri="{FF2B5EF4-FFF2-40B4-BE49-F238E27FC236}">
              <a16:creationId xmlns:a16="http://schemas.microsoft.com/office/drawing/2014/main" id="{4CC76582-C9F1-4174-A6D5-4628939B42F8}"/>
            </a:ext>
          </a:extLst>
        </xdr:cNvPr>
        <xdr:cNvSpPr txBox="1"/>
      </xdr:nvSpPr>
      <xdr:spPr>
        <a:xfrm>
          <a:off x="6926580" y="5334000"/>
          <a:ext cx="2941320" cy="20116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t>Current</a:t>
          </a:r>
          <a:r>
            <a:rPr lang="it-IT" sz="1100" baseline="0"/>
            <a:t> ratio: current assets (cash, inventory, receivable) over current liabilities (obligations due within next period) </a:t>
          </a:r>
        </a:p>
        <a:p>
          <a:endParaRPr lang="it-IT" sz="1100" baseline="0"/>
        </a:p>
        <a:p>
          <a:r>
            <a:rPr lang="it-IT" sz="1100" baseline="0"/>
            <a:t>If &lt;1 it indicates that the firm has more obligations coming due in next years than assets it can convert in cash. </a:t>
          </a:r>
        </a:p>
        <a:p>
          <a:endParaRPr lang="it-IT" sz="1100" baseline="0"/>
        </a:p>
        <a:p>
          <a:r>
            <a:rPr lang="it-IT" sz="1100" baseline="0"/>
            <a:t>There is a trade off beteen minimizing liquidity risk and tying up more cash in net working capital</a:t>
          </a:r>
        </a:p>
        <a:p>
          <a:endParaRPr lang="it-IT" sz="1100"/>
        </a:p>
      </xdr:txBody>
    </xdr:sp>
    <xdr:clientData/>
  </xdr:twoCellAnchor>
  <xdr:twoCellAnchor>
    <xdr:from>
      <xdr:col>16</xdr:col>
      <xdr:colOff>495300</xdr:colOff>
      <xdr:row>29</xdr:row>
      <xdr:rowOff>15240</xdr:rowOff>
    </xdr:from>
    <xdr:to>
      <xdr:col>22</xdr:col>
      <xdr:colOff>411480</xdr:colOff>
      <xdr:row>40</xdr:row>
      <xdr:rowOff>0</xdr:rowOff>
    </xdr:to>
    <xdr:sp macro="" textlink="">
      <xdr:nvSpPr>
        <xdr:cNvPr id="8" name="CasellaDiTesto 7">
          <a:extLst>
            <a:ext uri="{FF2B5EF4-FFF2-40B4-BE49-F238E27FC236}">
              <a16:creationId xmlns:a16="http://schemas.microsoft.com/office/drawing/2014/main" id="{2FDD4B5E-9A03-4207-8BF6-774BB4E1A920}"/>
            </a:ext>
          </a:extLst>
        </xdr:cNvPr>
        <xdr:cNvSpPr txBox="1"/>
      </xdr:nvSpPr>
      <xdr:spPr>
        <a:xfrm>
          <a:off x="10485120" y="5334000"/>
          <a:ext cx="3573780" cy="19964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t>It can be easily manipulated,</a:t>
          </a:r>
          <a:r>
            <a:rPr lang="it-IT" sz="1100" baseline="0"/>
            <a:t> furthermore current assets and current liabilities can change by an equal amount but the effect on current ratio will depend upon its level before tha change.</a:t>
          </a:r>
        </a:p>
        <a:p>
          <a:endParaRPr lang="it-IT" sz="1100" baseline="0"/>
        </a:p>
        <a:p>
          <a:r>
            <a:rPr lang="it-IT" sz="1100" baseline="0"/>
            <a:t>A solution: quick ratio = Cash + marketable securities / current liabilities </a:t>
          </a:r>
          <a:endParaRPr lang="it-IT" sz="1100"/>
        </a:p>
      </xdr:txBody>
    </xdr:sp>
    <xdr:clientData/>
  </xdr:twoCellAnchor>
  <xdr:twoCellAnchor>
    <xdr:from>
      <xdr:col>2</xdr:col>
      <xdr:colOff>0</xdr:colOff>
      <xdr:row>43</xdr:row>
      <xdr:rowOff>7620</xdr:rowOff>
    </xdr:from>
    <xdr:to>
      <xdr:col>7</xdr:col>
      <xdr:colOff>220980</xdr:colOff>
      <xdr:row>53</xdr:row>
      <xdr:rowOff>15240</xdr:rowOff>
    </xdr:to>
    <xdr:sp macro="" textlink="">
      <xdr:nvSpPr>
        <xdr:cNvPr id="9" name="CasellaDiTesto 8">
          <a:extLst>
            <a:ext uri="{FF2B5EF4-FFF2-40B4-BE49-F238E27FC236}">
              <a16:creationId xmlns:a16="http://schemas.microsoft.com/office/drawing/2014/main" id="{3945E4F7-0395-49A0-AB3F-CD78B729449D}"/>
            </a:ext>
          </a:extLst>
        </xdr:cNvPr>
        <xdr:cNvSpPr txBox="1"/>
      </xdr:nvSpPr>
      <xdr:spPr>
        <a:xfrm>
          <a:off x="1402080" y="7886700"/>
          <a:ext cx="3268980" cy="18364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t>measure efficiency</a:t>
          </a:r>
          <a:r>
            <a:rPr lang="it-IT" sz="1100" baseline="0"/>
            <a:t> of working capital management by looking at the relationship of accounts and inventory to sales and to the cost of goods sold</a:t>
          </a:r>
        </a:p>
        <a:p>
          <a:endParaRPr lang="it-IT" sz="1100" baseline="0"/>
        </a:p>
        <a:p>
          <a:r>
            <a:rPr lang="it-IT" sz="1100" baseline="0"/>
            <a:t>Accounts receivable turnover: sales/avg accounts receivable </a:t>
          </a:r>
        </a:p>
        <a:p>
          <a:r>
            <a:rPr lang="it-IT" sz="1100" baseline="0"/>
            <a:t>Inventory turnover: cost of goods sold /average inventory </a:t>
          </a:r>
        </a:p>
        <a:p>
          <a:r>
            <a:rPr lang="it-IT" sz="1100" baseline="0"/>
            <a:t>Measure the speed with which firm turns accounts receivable into cash or inventory into sales </a:t>
          </a:r>
          <a:endParaRPr lang="it-IT" sz="1100"/>
        </a:p>
      </xdr:txBody>
    </xdr:sp>
    <xdr:clientData/>
  </xdr:twoCellAnchor>
  <xdr:twoCellAnchor>
    <xdr:from>
      <xdr:col>9</xdr:col>
      <xdr:colOff>190500</xdr:colOff>
      <xdr:row>43</xdr:row>
      <xdr:rowOff>7620</xdr:rowOff>
    </xdr:from>
    <xdr:to>
      <xdr:col>14</xdr:col>
      <xdr:colOff>502920</xdr:colOff>
      <xdr:row>52</xdr:row>
      <xdr:rowOff>175260</xdr:rowOff>
    </xdr:to>
    <xdr:sp macro="" textlink="">
      <xdr:nvSpPr>
        <xdr:cNvPr id="10" name="CasellaDiTesto 9">
          <a:extLst>
            <a:ext uri="{FF2B5EF4-FFF2-40B4-BE49-F238E27FC236}">
              <a16:creationId xmlns:a16="http://schemas.microsoft.com/office/drawing/2014/main" id="{6C504A6D-2219-4662-B35F-6CE9B5463EF8}"/>
            </a:ext>
          </a:extLst>
        </xdr:cNvPr>
        <xdr:cNvSpPr txBox="1"/>
      </xdr:nvSpPr>
      <xdr:spPr>
        <a:xfrm>
          <a:off x="5913120" y="7886700"/>
          <a:ext cx="3360420" cy="18135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t>In terms of numbers of days outstanding: </a:t>
          </a:r>
        </a:p>
        <a:p>
          <a:r>
            <a:rPr lang="it-IT" sz="1100"/>
            <a:t>Days res outstanding  =365/ accounts</a:t>
          </a:r>
          <a:r>
            <a:rPr lang="it-IT" sz="1100" baseline="0"/>
            <a:t> rec turnover</a:t>
          </a:r>
        </a:p>
        <a:p>
          <a:r>
            <a:rPr lang="it-IT" sz="1100" baseline="0"/>
            <a:t>Days inventory held =  365/ inventory turnover </a:t>
          </a:r>
        </a:p>
        <a:p>
          <a:endParaRPr lang="it-IT" sz="1100" baseline="0"/>
        </a:p>
        <a:p>
          <a:r>
            <a:rPr lang="it-IT" sz="1100" baseline="0"/>
            <a:t>The same for accounts payable turnover: Purchases/avg accounts payable</a:t>
          </a:r>
        </a:p>
        <a:p>
          <a:endParaRPr lang="it-IT" sz="1100" baseline="0"/>
        </a:p>
        <a:p>
          <a:r>
            <a:rPr lang="it-IT" sz="1100" baseline="0"/>
            <a:t>Combining we get required financing period or (CCC) 1)+ 2) -3) the greater the period the greater short term liquidity risk  </a:t>
          </a:r>
          <a:endParaRPr lang="it-IT" sz="1100"/>
        </a:p>
      </xdr:txBody>
    </xdr:sp>
    <xdr:clientData/>
  </xdr:twoCellAnchor>
  <xdr:twoCellAnchor>
    <xdr:from>
      <xdr:col>2</xdr:col>
      <xdr:colOff>213360</xdr:colOff>
      <xdr:row>56</xdr:row>
      <xdr:rowOff>91440</xdr:rowOff>
    </xdr:from>
    <xdr:to>
      <xdr:col>7</xdr:col>
      <xdr:colOff>579120</xdr:colOff>
      <xdr:row>66</xdr:row>
      <xdr:rowOff>167640</xdr:rowOff>
    </xdr:to>
    <xdr:sp macro="" textlink="">
      <xdr:nvSpPr>
        <xdr:cNvPr id="11" name="CasellaDiTesto 10">
          <a:extLst>
            <a:ext uri="{FF2B5EF4-FFF2-40B4-BE49-F238E27FC236}">
              <a16:creationId xmlns:a16="http://schemas.microsoft.com/office/drawing/2014/main" id="{9BA37A14-2CA8-454C-B1F0-934B76466136}"/>
            </a:ext>
          </a:extLst>
        </xdr:cNvPr>
        <xdr:cNvSpPr txBox="1"/>
      </xdr:nvSpPr>
      <xdr:spPr>
        <a:xfrm>
          <a:off x="1615440" y="10347960"/>
          <a:ext cx="3413760" cy="1905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t>Measures of long term solvency attempt to examine a firm's</a:t>
          </a:r>
          <a:r>
            <a:rPr lang="it-IT" sz="1100" baseline="0"/>
            <a:t> capacity to meet interest and principal payments in the long term. </a:t>
          </a:r>
        </a:p>
        <a:p>
          <a:endParaRPr lang="it-IT" sz="1100" baseline="0"/>
        </a:p>
        <a:p>
          <a:r>
            <a:rPr lang="it-IT" sz="1100" baseline="0"/>
            <a:t>Interest coverage ratio: Ebit/interest expenses </a:t>
          </a:r>
        </a:p>
        <a:p>
          <a:r>
            <a:rPr lang="it-IT" sz="1100" baseline="0"/>
            <a:t>Capacity of firm to meet interest payments from pre-debt and pre tax earnings. The higher the more secure is the firm to make interest payments from earnings. </a:t>
          </a:r>
        </a:p>
        <a:p>
          <a:r>
            <a:rPr lang="it-IT" sz="1100" baseline="0"/>
            <a:t>EBIT is volatile, can drop if economy enters a recession: two firms can have same ratio but be viewed differently in terms of risk. </a:t>
          </a:r>
          <a:endParaRPr lang="it-IT" sz="1100"/>
        </a:p>
      </xdr:txBody>
    </xdr:sp>
    <xdr:clientData/>
  </xdr:twoCellAnchor>
  <xdr:oneCellAnchor>
    <xdr:from>
      <xdr:col>9</xdr:col>
      <xdr:colOff>358140</xdr:colOff>
      <xdr:row>56</xdr:row>
      <xdr:rowOff>175260</xdr:rowOff>
    </xdr:from>
    <xdr:ext cx="184731" cy="264560"/>
    <xdr:sp macro="" textlink="">
      <xdr:nvSpPr>
        <xdr:cNvPr id="12" name="CasellaDiTesto 11">
          <a:extLst>
            <a:ext uri="{FF2B5EF4-FFF2-40B4-BE49-F238E27FC236}">
              <a16:creationId xmlns:a16="http://schemas.microsoft.com/office/drawing/2014/main" id="{254ACA42-FB26-4695-8D09-6F374DBFF07F}"/>
            </a:ext>
          </a:extLst>
        </xdr:cNvPr>
        <xdr:cNvSpPr txBox="1"/>
      </xdr:nvSpPr>
      <xdr:spPr>
        <a:xfrm>
          <a:off x="6080760" y="1043178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it-IT" sz="1100"/>
        </a:p>
      </xdr:txBody>
    </xdr:sp>
    <xdr:clientData/>
  </xdr:oneCellAnchor>
  <xdr:twoCellAnchor>
    <xdr:from>
      <xdr:col>9</xdr:col>
      <xdr:colOff>205740</xdr:colOff>
      <xdr:row>56</xdr:row>
      <xdr:rowOff>83820</xdr:rowOff>
    </xdr:from>
    <xdr:to>
      <xdr:col>16</xdr:col>
      <xdr:colOff>15240</xdr:colOff>
      <xdr:row>68</xdr:row>
      <xdr:rowOff>53340</xdr:rowOff>
    </xdr:to>
    <xdr:sp macro="" textlink="">
      <xdr:nvSpPr>
        <xdr:cNvPr id="13" name="CasellaDiTesto 12">
          <a:extLst>
            <a:ext uri="{FF2B5EF4-FFF2-40B4-BE49-F238E27FC236}">
              <a16:creationId xmlns:a16="http://schemas.microsoft.com/office/drawing/2014/main" id="{6F870FD8-9F61-4B69-B2A9-BE8ECD55549E}"/>
            </a:ext>
          </a:extLst>
        </xdr:cNvPr>
        <xdr:cNvSpPr txBox="1"/>
      </xdr:nvSpPr>
      <xdr:spPr>
        <a:xfrm>
          <a:off x="5928360" y="10340340"/>
          <a:ext cx="4076700" cy="21640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t>It can be extended in order to cover other fixed obligations such as lease payments:</a:t>
          </a:r>
        </a:p>
        <a:p>
          <a:r>
            <a:rPr lang="it-IT" sz="1100"/>
            <a:t>Fixed charges coverage ratio = EBIT + lease exp /</a:t>
          </a:r>
          <a:r>
            <a:rPr lang="it-IT" sz="1100" baseline="0"/>
            <a:t> fixed charges</a:t>
          </a:r>
        </a:p>
        <a:p>
          <a:r>
            <a:rPr lang="it-IT" sz="1100" baseline="0"/>
            <a:t>It can be restated in terms of cash flows: EBITDA / cash fixed charges</a:t>
          </a:r>
        </a:p>
        <a:p>
          <a:endParaRPr lang="it-IT" sz="1100" baseline="0"/>
        </a:p>
        <a:p>
          <a:r>
            <a:rPr lang="it-IT" sz="1100" baseline="0"/>
            <a:t>In order to consider capex,(a cash flow needed to be considered) if firms want to maintain growth: </a:t>
          </a:r>
        </a:p>
        <a:p>
          <a:r>
            <a:rPr lang="it-IT" sz="1100" baseline="0"/>
            <a:t>Operating cash flows to capex = Cash flows from operations /Capex</a:t>
          </a:r>
        </a:p>
        <a:p>
          <a:endParaRPr lang="it-IT" sz="1100" baseline="0"/>
        </a:p>
        <a:p>
          <a:r>
            <a:rPr lang="it-IT" sz="1100" baseline="0"/>
            <a:t>where cash flow from operations = EBIT(1-t) - changes in WC </a:t>
          </a:r>
          <a:endParaRPr lang="it-IT" sz="1100"/>
        </a:p>
      </xdr:txBody>
    </xdr:sp>
    <xdr:clientData/>
  </xdr:twoCellAnchor>
  <xdr:twoCellAnchor>
    <xdr:from>
      <xdr:col>1</xdr:col>
      <xdr:colOff>434340</xdr:colOff>
      <xdr:row>70</xdr:row>
      <xdr:rowOff>106680</xdr:rowOff>
    </xdr:from>
    <xdr:to>
      <xdr:col>9</xdr:col>
      <xdr:colOff>175260</xdr:colOff>
      <xdr:row>83</xdr:row>
      <xdr:rowOff>38100</xdr:rowOff>
    </xdr:to>
    <xdr:sp macro="" textlink="">
      <xdr:nvSpPr>
        <xdr:cNvPr id="14" name="CasellaDiTesto 13">
          <a:extLst>
            <a:ext uri="{FF2B5EF4-FFF2-40B4-BE49-F238E27FC236}">
              <a16:creationId xmlns:a16="http://schemas.microsoft.com/office/drawing/2014/main" id="{29533C9A-5E06-4630-AD73-0089A3A41F15}"/>
            </a:ext>
          </a:extLst>
        </xdr:cNvPr>
        <xdr:cNvSpPr txBox="1"/>
      </xdr:nvSpPr>
      <xdr:spPr>
        <a:xfrm>
          <a:off x="1043940" y="12923520"/>
          <a:ext cx="4853940" cy="23088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t>Interest coverage ratio</a:t>
          </a:r>
          <a:r>
            <a:rPr lang="it-IT" sz="1100" baseline="0"/>
            <a:t> measure the capacity of firm to meet interest payments but not whether it can pay back the principal of outstanding debt. </a:t>
          </a:r>
        </a:p>
        <a:p>
          <a:endParaRPr lang="it-IT" sz="1100" baseline="0"/>
        </a:p>
        <a:p>
          <a:r>
            <a:rPr lang="it-IT" sz="1100" baseline="0"/>
            <a:t>Debt ratios attempt to do this: </a:t>
          </a:r>
        </a:p>
        <a:p>
          <a:endParaRPr lang="it-IT" sz="1100" baseline="0"/>
        </a:p>
        <a:p>
          <a:r>
            <a:rPr lang="it-IT" sz="1100" baseline="0"/>
            <a:t>Debt to capital ratio: debt/ debt + equity ; measures debt as proprortion of total capital</a:t>
          </a:r>
        </a:p>
        <a:p>
          <a:r>
            <a:rPr lang="it-IT" sz="1100" baseline="0"/>
            <a:t>Debt to equity ratio: debt / equity ; measures debt as proportion of equity in the firm </a:t>
          </a:r>
        </a:p>
        <a:p>
          <a:r>
            <a:rPr lang="it-IT" sz="1100" baseline="0"/>
            <a:t>It can be easily written as : Debt to capital / (1- debt to capital) </a:t>
          </a:r>
        </a:p>
        <a:p>
          <a:endParaRPr lang="it-IT" sz="1100" baseline="0"/>
        </a:p>
        <a:p>
          <a:r>
            <a:rPr lang="it-IT" sz="1100"/>
            <a:t>They</a:t>
          </a:r>
          <a:r>
            <a:rPr lang="it-IT" sz="1100" baseline="0"/>
            <a:t> can be estendend in order to include other sources of financing such as preferred stock </a:t>
          </a:r>
          <a:endParaRPr lang="it-IT" sz="1100"/>
        </a:p>
      </xdr:txBody>
    </xdr:sp>
    <xdr:clientData/>
  </xdr:twoCellAnchor>
  <xdr:twoCellAnchor>
    <xdr:from>
      <xdr:col>10</xdr:col>
      <xdr:colOff>114300</xdr:colOff>
      <xdr:row>70</xdr:row>
      <xdr:rowOff>53340</xdr:rowOff>
    </xdr:from>
    <xdr:to>
      <xdr:col>19</xdr:col>
      <xdr:colOff>594360</xdr:colOff>
      <xdr:row>85</xdr:row>
      <xdr:rowOff>15240</xdr:rowOff>
    </xdr:to>
    <xdr:sp macro="" textlink="">
      <xdr:nvSpPr>
        <xdr:cNvPr id="15" name="CasellaDiTesto 14">
          <a:extLst>
            <a:ext uri="{FF2B5EF4-FFF2-40B4-BE49-F238E27FC236}">
              <a16:creationId xmlns:a16="http://schemas.microsoft.com/office/drawing/2014/main" id="{9D75DC95-A2F9-4383-B3CB-578E94AB2D06}"/>
            </a:ext>
          </a:extLst>
        </xdr:cNvPr>
        <xdr:cNvSpPr txBox="1"/>
      </xdr:nvSpPr>
      <xdr:spPr>
        <a:xfrm>
          <a:off x="6446520" y="12870180"/>
          <a:ext cx="5966460" cy="27051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t>Variants: </a:t>
          </a:r>
        </a:p>
        <a:p>
          <a:r>
            <a:rPr lang="it-IT" sz="1100"/>
            <a:t>long</a:t>
          </a:r>
          <a:r>
            <a:rPr lang="it-IT" sz="1100" baseline="0"/>
            <a:t> term debt to capital ratio (rationale: short term debt is transitory and will not affect long term solvency) </a:t>
          </a:r>
        </a:p>
        <a:p>
          <a:r>
            <a:rPr lang="it-IT" sz="1100" baseline="0"/>
            <a:t>long term debt to equity ratio </a:t>
          </a:r>
        </a:p>
        <a:p>
          <a:endParaRPr lang="it-IT" sz="1100" baseline="0"/>
        </a:p>
        <a:p>
          <a:r>
            <a:rPr lang="it-IT" sz="1100" baseline="0"/>
            <a:t>Given the willingness of many firms to use short term debt for financing long term projects these variants can provide a misleading picture of the firm's financial leverage risk. </a:t>
          </a:r>
        </a:p>
        <a:p>
          <a:endParaRPr lang="it-IT" sz="1100" baseline="0"/>
        </a:p>
        <a:p>
          <a:r>
            <a:rPr lang="it-IT" sz="1100" baseline="0"/>
            <a:t>Second variant: </a:t>
          </a:r>
        </a:p>
        <a:p>
          <a:r>
            <a:rPr lang="it-IT" sz="1100" baseline="0"/>
            <a:t>Market value debt to capital ratio (we use mv of debt and equity instead of bv) </a:t>
          </a:r>
        </a:p>
        <a:p>
          <a:endParaRPr lang="it-IT" sz="1100" baseline="0"/>
        </a:p>
        <a:p>
          <a:r>
            <a:rPr lang="it-IT" sz="1100" baseline="0"/>
            <a:t>this to reflect the fact that some firms have a significantly greater capacity to borrow than their book values. </a:t>
          </a:r>
          <a:endParaRPr lang="it-IT"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367D94-1688-46C5-820A-0D435FF36E90}">
  <dimension ref="A1:Q119"/>
  <sheetViews>
    <sheetView zoomScale="83" zoomScaleNormal="83" workbookViewId="0">
      <selection activeCell="L114" sqref="L114"/>
    </sheetView>
  </sheetViews>
  <sheetFormatPr defaultRowHeight="14.4" x14ac:dyDescent="0.3"/>
  <cols>
    <col min="1" max="1" width="36.77734375" customWidth="1"/>
    <col min="2" max="2" width="58.88671875" hidden="1" customWidth="1"/>
    <col min="3" max="3" width="11.44140625" customWidth="1"/>
    <col min="4" max="4" width="11.109375" customWidth="1"/>
    <col min="5" max="5" width="11.6640625" customWidth="1"/>
    <col min="6" max="7" width="10.6640625" bestFit="1" customWidth="1"/>
    <col min="8" max="8" width="11.6640625" customWidth="1"/>
    <col min="9" max="9" width="13.109375" customWidth="1"/>
    <col min="11" max="11" width="11.5546875" bestFit="1" customWidth="1"/>
    <col min="12" max="13" width="10.5546875" bestFit="1" customWidth="1"/>
  </cols>
  <sheetData>
    <row r="1" spans="1:10" ht="21.6" thickBot="1" x14ac:dyDescent="0.45">
      <c r="A1" s="276" t="s">
        <v>61</v>
      </c>
      <c r="B1" s="277"/>
      <c r="C1" s="277"/>
      <c r="D1" s="277"/>
      <c r="E1" s="277"/>
      <c r="F1" s="278"/>
    </row>
    <row r="2" spans="1:10" ht="15" thickBot="1" x14ac:dyDescent="0.35">
      <c r="G2" s="53" t="s">
        <v>55</v>
      </c>
      <c r="H2" s="8"/>
      <c r="I2" s="9"/>
      <c r="J2" s="1"/>
    </row>
    <row r="3" spans="1:10" ht="15" thickBot="1" x14ac:dyDescent="0.35">
      <c r="C3" s="10">
        <v>43830</v>
      </c>
      <c r="D3" s="15" t="s">
        <v>62</v>
      </c>
      <c r="E3" s="11">
        <v>43465</v>
      </c>
      <c r="F3" s="12"/>
      <c r="G3" s="51">
        <v>43100</v>
      </c>
      <c r="H3" s="52">
        <v>42735</v>
      </c>
      <c r="I3" s="52">
        <v>42369</v>
      </c>
    </row>
    <row r="4" spans="1:10" s="3" customFormat="1" x14ac:dyDescent="0.3">
      <c r="A4" s="80" t="s">
        <v>31</v>
      </c>
      <c r="B4" s="81" t="s">
        <v>0</v>
      </c>
      <c r="C4" s="74"/>
      <c r="D4" s="74"/>
      <c r="E4" s="74"/>
      <c r="F4" s="74"/>
      <c r="G4" s="74"/>
      <c r="H4" s="74"/>
      <c r="I4" s="82"/>
      <c r="J4"/>
    </row>
    <row r="5" spans="1:10" x14ac:dyDescent="0.3">
      <c r="A5" s="75" t="s">
        <v>56</v>
      </c>
      <c r="B5" s="6" t="s">
        <v>116</v>
      </c>
      <c r="C5" s="6">
        <v>6046</v>
      </c>
      <c r="D5" s="50">
        <f>(SUM(C5,-E5))/E5</f>
        <v>0.14768413059984814</v>
      </c>
      <c r="E5" s="6">
        <v>5268</v>
      </c>
      <c r="F5" s="6"/>
      <c r="G5" s="6">
        <v>4633</v>
      </c>
      <c r="H5" s="6">
        <v>3734</v>
      </c>
      <c r="I5" s="83">
        <v>3947</v>
      </c>
    </row>
    <row r="6" spans="1:10" x14ac:dyDescent="0.3">
      <c r="A6" s="75" t="s">
        <v>63</v>
      </c>
      <c r="B6" s="6" t="s">
        <v>117</v>
      </c>
      <c r="C6" s="6">
        <v>1076</v>
      </c>
      <c r="D6" s="50">
        <f t="shared" ref="D6:D69" si="0">(SUM(C6,-E6))/E6</f>
        <v>7.278165503489531E-2</v>
      </c>
      <c r="E6" s="6">
        <v>1003</v>
      </c>
      <c r="F6" s="6"/>
      <c r="G6" s="6">
        <v>957</v>
      </c>
      <c r="H6" s="6">
        <v>847</v>
      </c>
      <c r="I6" s="83">
        <v>785</v>
      </c>
    </row>
    <row r="7" spans="1:10" x14ac:dyDescent="0.3">
      <c r="A7" s="84" t="s">
        <v>64</v>
      </c>
      <c r="B7" s="6" t="s">
        <v>118</v>
      </c>
      <c r="C7" s="18">
        <f>SUM(C5:C6)</f>
        <v>7122</v>
      </c>
      <c r="D7" s="50">
        <f t="shared" si="0"/>
        <v>0.13570403444426726</v>
      </c>
      <c r="E7" s="18">
        <f t="shared" ref="E7:I7" si="1">SUM(E5:E6)</f>
        <v>6271</v>
      </c>
      <c r="F7" s="18"/>
      <c r="G7" s="18">
        <f t="shared" si="1"/>
        <v>5590</v>
      </c>
      <c r="H7" s="18">
        <f t="shared" si="1"/>
        <v>4581</v>
      </c>
      <c r="I7" s="18">
        <f t="shared" si="1"/>
        <v>4732</v>
      </c>
    </row>
    <row r="8" spans="1:10" x14ac:dyDescent="0.3">
      <c r="A8" s="75" t="s">
        <v>65</v>
      </c>
      <c r="B8" s="6" t="s">
        <v>1</v>
      </c>
      <c r="C8" s="6">
        <v>202</v>
      </c>
      <c r="D8" s="50">
        <f t="shared" si="0"/>
        <v>-9.417040358744394E-2</v>
      </c>
      <c r="E8" s="6">
        <v>223</v>
      </c>
      <c r="F8" s="6"/>
      <c r="G8" s="6">
        <v>206</v>
      </c>
      <c r="H8" s="6">
        <v>279</v>
      </c>
      <c r="I8" s="83">
        <v>189</v>
      </c>
    </row>
    <row r="9" spans="1:10" x14ac:dyDescent="0.3">
      <c r="A9" s="85" t="s">
        <v>32</v>
      </c>
      <c r="B9" s="39" t="s">
        <v>2</v>
      </c>
      <c r="C9" s="38">
        <f>SUM(C7:C8)</f>
        <v>7324</v>
      </c>
      <c r="D9" s="50">
        <f t="shared" si="0"/>
        <v>0.12781028641823222</v>
      </c>
      <c r="E9" s="38">
        <f>SUM(E7:E8)</f>
        <v>6494</v>
      </c>
      <c r="F9" s="38"/>
      <c r="G9" s="38">
        <f t="shared" ref="G9:I9" si="2">SUM(G7:G8)</f>
        <v>5796</v>
      </c>
      <c r="H9" s="38">
        <f t="shared" si="2"/>
        <v>4860</v>
      </c>
      <c r="I9" s="38">
        <f t="shared" si="2"/>
        <v>4921</v>
      </c>
    </row>
    <row r="10" spans="1:10" x14ac:dyDescent="0.3">
      <c r="A10" s="86"/>
      <c r="B10" s="6"/>
      <c r="C10" s="13"/>
      <c r="D10" s="50"/>
      <c r="E10" s="13"/>
      <c r="F10" s="6"/>
      <c r="G10" s="6"/>
      <c r="H10" s="6"/>
      <c r="I10" s="83"/>
    </row>
    <row r="11" spans="1:10" x14ac:dyDescent="0.3">
      <c r="A11" s="87" t="s">
        <v>66</v>
      </c>
      <c r="B11" s="41" t="s">
        <v>3</v>
      </c>
      <c r="C11" s="6"/>
      <c r="D11" s="50"/>
      <c r="E11" s="6"/>
      <c r="F11" s="6"/>
      <c r="G11" s="6"/>
      <c r="H11" s="6"/>
      <c r="I11" s="83"/>
    </row>
    <row r="12" spans="1:10" x14ac:dyDescent="0.3">
      <c r="A12" s="75" t="s">
        <v>67</v>
      </c>
      <c r="B12" s="6" t="s">
        <v>119</v>
      </c>
      <c r="C12" s="6">
        <v>4004</v>
      </c>
      <c r="D12" s="50">
        <f t="shared" si="0"/>
        <v>0.19665271966527198</v>
      </c>
      <c r="E12" s="6">
        <v>3346</v>
      </c>
      <c r="F12" s="6"/>
      <c r="G12" s="6">
        <v>2831</v>
      </c>
      <c r="H12" s="6">
        <v>2101</v>
      </c>
      <c r="I12" s="83">
        <v>2286</v>
      </c>
    </row>
    <row r="13" spans="1:10" x14ac:dyDescent="0.3">
      <c r="A13" s="75" t="s">
        <v>68</v>
      </c>
      <c r="B13" s="6" t="s">
        <v>120</v>
      </c>
      <c r="C13" s="6">
        <v>1152</v>
      </c>
      <c r="D13" s="50">
        <f t="shared" si="0"/>
        <v>0.16835699797160245</v>
      </c>
      <c r="E13" s="6">
        <v>986</v>
      </c>
      <c r="F13" s="6"/>
      <c r="G13" s="6">
        <v>850</v>
      </c>
      <c r="H13" s="6">
        <v>758</v>
      </c>
      <c r="I13" s="83">
        <v>706</v>
      </c>
    </row>
    <row r="14" spans="1:10" x14ac:dyDescent="0.3">
      <c r="A14" s="84" t="s">
        <v>69</v>
      </c>
      <c r="B14" s="6" t="s">
        <v>121</v>
      </c>
      <c r="C14" s="18">
        <f>SUM(C12:C13)</f>
        <v>5156</v>
      </c>
      <c r="D14" s="50">
        <f t="shared" si="0"/>
        <v>0.19021237303785779</v>
      </c>
      <c r="E14" s="18">
        <f t="shared" ref="E14:I14" si="3">SUM(E12:E13)</f>
        <v>4332</v>
      </c>
      <c r="F14" s="18"/>
      <c r="G14" s="18">
        <f t="shared" si="3"/>
        <v>3681</v>
      </c>
      <c r="H14" s="18">
        <f t="shared" si="3"/>
        <v>2859</v>
      </c>
      <c r="I14" s="18">
        <f t="shared" si="3"/>
        <v>2992</v>
      </c>
    </row>
    <row r="15" spans="1:10" x14ac:dyDescent="0.3">
      <c r="A15" s="75" t="s">
        <v>33</v>
      </c>
      <c r="B15" s="6" t="s">
        <v>4</v>
      </c>
      <c r="C15" s="6">
        <v>234</v>
      </c>
      <c r="D15" s="50">
        <f t="shared" si="0"/>
        <v>-0.12030075187969924</v>
      </c>
      <c r="E15" s="6">
        <v>266</v>
      </c>
      <c r="F15" s="6"/>
      <c r="G15" s="6">
        <v>281</v>
      </c>
      <c r="H15" s="6">
        <v>243</v>
      </c>
      <c r="I15" s="83">
        <v>252</v>
      </c>
    </row>
    <row r="16" spans="1:10" x14ac:dyDescent="0.3">
      <c r="A16" s="87" t="s">
        <v>34</v>
      </c>
      <c r="B16" s="41" t="s">
        <v>5</v>
      </c>
      <c r="C16" s="40">
        <f>SUM(C14:C15)</f>
        <v>5390</v>
      </c>
      <c r="D16" s="50">
        <f t="shared" si="0"/>
        <v>0.17224880382775121</v>
      </c>
      <c r="E16" s="40">
        <f t="shared" ref="E16:I16" si="4">SUM(E14:E15)</f>
        <v>4598</v>
      </c>
      <c r="F16" s="40"/>
      <c r="G16" s="40">
        <f t="shared" si="4"/>
        <v>3962</v>
      </c>
      <c r="H16" s="40">
        <f t="shared" si="4"/>
        <v>3102</v>
      </c>
      <c r="I16" s="40">
        <f t="shared" si="4"/>
        <v>3244</v>
      </c>
    </row>
    <row r="17" spans="1:14" x14ac:dyDescent="0.3">
      <c r="A17" s="88" t="s">
        <v>70</v>
      </c>
      <c r="B17" s="43" t="s">
        <v>6</v>
      </c>
      <c r="C17" s="6"/>
      <c r="D17" s="50"/>
      <c r="E17" s="6"/>
      <c r="F17" s="6"/>
      <c r="G17" s="6"/>
      <c r="H17" s="6"/>
      <c r="I17" s="83"/>
    </row>
    <row r="18" spans="1:14" x14ac:dyDescent="0.3">
      <c r="A18" s="89" t="s">
        <v>71</v>
      </c>
      <c r="B18" s="6" t="s">
        <v>122</v>
      </c>
      <c r="C18" s="6">
        <v>527</v>
      </c>
      <c r="D18" s="50">
        <f t="shared" si="0"/>
        <v>6.6801619433198386E-2</v>
      </c>
      <c r="E18" s="6">
        <v>494</v>
      </c>
      <c r="F18" s="6"/>
      <c r="G18" s="6">
        <v>471</v>
      </c>
      <c r="H18" s="6">
        <v>433</v>
      </c>
      <c r="I18" s="83">
        <v>441</v>
      </c>
    </row>
    <row r="19" spans="1:14" x14ac:dyDescent="0.3">
      <c r="A19" s="89" t="s">
        <v>72</v>
      </c>
      <c r="B19" s="6" t="s">
        <v>123</v>
      </c>
      <c r="C19" s="6">
        <v>179</v>
      </c>
      <c r="D19" s="50">
        <f t="shared" si="0"/>
        <v>3.4682080924855488E-2</v>
      </c>
      <c r="E19" s="6">
        <v>173</v>
      </c>
      <c r="F19" s="6"/>
      <c r="G19" s="6">
        <v>160</v>
      </c>
      <c r="H19" s="6">
        <v>146</v>
      </c>
      <c r="I19" s="83">
        <v>163</v>
      </c>
    </row>
    <row r="20" spans="1:14" x14ac:dyDescent="0.3">
      <c r="A20" s="89" t="s">
        <v>73</v>
      </c>
      <c r="B20" s="6" t="s">
        <v>73</v>
      </c>
      <c r="C20" s="6">
        <v>31</v>
      </c>
      <c r="D20" s="50">
        <f t="shared" si="0"/>
        <v>0</v>
      </c>
      <c r="E20" s="6">
        <v>31</v>
      </c>
      <c r="F20" s="6"/>
      <c r="G20" s="6">
        <v>29</v>
      </c>
      <c r="H20" s="6">
        <v>26</v>
      </c>
      <c r="I20" s="83">
        <v>25</v>
      </c>
    </row>
    <row r="21" spans="1:14" x14ac:dyDescent="0.3">
      <c r="A21" s="89" t="s">
        <v>74</v>
      </c>
      <c r="B21" s="6" t="s">
        <v>124</v>
      </c>
      <c r="C21" s="6">
        <v>42</v>
      </c>
      <c r="D21" s="50">
        <f t="shared" si="0"/>
        <v>0.27272727272727271</v>
      </c>
      <c r="E21" s="6">
        <v>33</v>
      </c>
      <c r="F21" s="6"/>
      <c r="G21" s="6">
        <v>27</v>
      </c>
      <c r="H21" s="6">
        <v>36</v>
      </c>
      <c r="I21" s="83">
        <v>27</v>
      </c>
    </row>
    <row r="22" spans="1:14" x14ac:dyDescent="0.3">
      <c r="A22" s="84" t="s">
        <v>75</v>
      </c>
      <c r="B22" s="6" t="s">
        <v>125</v>
      </c>
      <c r="C22" s="18">
        <f>SUM(C18:C21)</f>
        <v>779</v>
      </c>
      <c r="D22" s="50">
        <f t="shared" si="0"/>
        <v>6.5663474692202461E-2</v>
      </c>
      <c r="E22" s="18">
        <f t="shared" ref="E22:I22" si="5">SUM(E18:E21)</f>
        <v>731</v>
      </c>
      <c r="F22" s="18"/>
      <c r="G22" s="18">
        <f t="shared" si="5"/>
        <v>687</v>
      </c>
      <c r="H22" s="18">
        <f t="shared" si="5"/>
        <v>641</v>
      </c>
      <c r="I22" s="18">
        <f t="shared" si="5"/>
        <v>656</v>
      </c>
    </row>
    <row r="23" spans="1:14" x14ac:dyDescent="0.3">
      <c r="A23" s="89" t="s">
        <v>76</v>
      </c>
      <c r="B23" s="6" t="s">
        <v>126</v>
      </c>
      <c r="C23" s="6">
        <v>-79</v>
      </c>
      <c r="D23" s="50">
        <f t="shared" si="0"/>
        <v>0.19696969696969696</v>
      </c>
      <c r="E23" s="6">
        <v>-66</v>
      </c>
      <c r="F23" s="6"/>
      <c r="G23" s="6">
        <v>-52</v>
      </c>
      <c r="H23" s="6">
        <v>-45</v>
      </c>
      <c r="I23" s="83">
        <v>-27</v>
      </c>
    </row>
    <row r="24" spans="1:14" x14ac:dyDescent="0.3">
      <c r="A24" s="88" t="s">
        <v>77</v>
      </c>
      <c r="B24" s="43" t="s">
        <v>125</v>
      </c>
      <c r="C24" s="43">
        <f>SUM(C22:C23)</f>
        <v>700</v>
      </c>
      <c r="D24" s="50">
        <f t="shared" si="0"/>
        <v>5.2631578947368418E-2</v>
      </c>
      <c r="E24" s="43">
        <f t="shared" ref="E24:I24" si="6">SUM(E22:E23)</f>
        <v>665</v>
      </c>
      <c r="F24" s="43"/>
      <c r="G24" s="43">
        <f t="shared" si="6"/>
        <v>635</v>
      </c>
      <c r="H24" s="43">
        <f t="shared" si="6"/>
        <v>596</v>
      </c>
      <c r="I24" s="43">
        <f t="shared" si="6"/>
        <v>629</v>
      </c>
    </row>
    <row r="25" spans="1:14" x14ac:dyDescent="0.3">
      <c r="A25" s="86"/>
      <c r="B25" s="6"/>
      <c r="C25" s="6"/>
      <c r="D25" s="50"/>
      <c r="E25" s="6"/>
      <c r="F25" s="6"/>
      <c r="G25" s="6"/>
      <c r="H25" s="6"/>
      <c r="I25" s="83"/>
    </row>
    <row r="26" spans="1:14" x14ac:dyDescent="0.3">
      <c r="A26" s="90" t="s">
        <v>57</v>
      </c>
      <c r="B26" s="5" t="s">
        <v>7</v>
      </c>
      <c r="C26" s="44">
        <f>SUM(C9,-C16,-C24)</f>
        <v>1234</v>
      </c>
      <c r="D26" s="50">
        <f t="shared" si="0"/>
        <v>2.437043054427295E-3</v>
      </c>
      <c r="E26" s="44">
        <f t="shared" ref="E26:I26" si="7">SUM(E9,-E16,-E24)</f>
        <v>1231</v>
      </c>
      <c r="F26" s="44"/>
      <c r="G26" s="44">
        <f t="shared" si="7"/>
        <v>1199</v>
      </c>
      <c r="H26" s="44">
        <f t="shared" si="7"/>
        <v>1162</v>
      </c>
      <c r="I26" s="44">
        <f t="shared" si="7"/>
        <v>1048</v>
      </c>
      <c r="J26" s="17" t="s">
        <v>78</v>
      </c>
      <c r="K26" s="17"/>
      <c r="L26" s="17"/>
      <c r="M26" s="17"/>
      <c r="N26" s="17"/>
    </row>
    <row r="27" spans="1:14" x14ac:dyDescent="0.3">
      <c r="A27" s="86"/>
      <c r="B27" s="6"/>
      <c r="C27" s="13"/>
      <c r="D27" s="50"/>
      <c r="E27" s="13"/>
      <c r="F27" s="6"/>
      <c r="G27" s="6"/>
      <c r="H27" s="6"/>
      <c r="I27" s="83"/>
    </row>
    <row r="28" spans="1:14" x14ac:dyDescent="0.3">
      <c r="A28" s="87" t="s">
        <v>35</v>
      </c>
      <c r="B28" s="41" t="s">
        <v>8</v>
      </c>
      <c r="C28" s="40"/>
      <c r="D28" s="50"/>
      <c r="E28" s="13"/>
      <c r="F28" s="6"/>
      <c r="G28" s="6"/>
      <c r="H28" s="6"/>
      <c r="I28" s="83"/>
    </row>
    <row r="29" spans="1:14" x14ac:dyDescent="0.3">
      <c r="A29" s="89" t="s">
        <v>79</v>
      </c>
      <c r="B29" s="6" t="s">
        <v>127</v>
      </c>
      <c r="C29" s="16">
        <v>123</v>
      </c>
      <c r="D29" s="50">
        <f t="shared" si="0"/>
        <v>0.35164835164835168</v>
      </c>
      <c r="E29" s="16">
        <v>91</v>
      </c>
      <c r="F29" s="6"/>
      <c r="G29" s="6">
        <v>72</v>
      </c>
      <c r="H29" s="6">
        <v>55</v>
      </c>
      <c r="I29" s="83">
        <v>54</v>
      </c>
    </row>
    <row r="30" spans="1:14" x14ac:dyDescent="0.3">
      <c r="A30" s="89" t="s">
        <v>80</v>
      </c>
      <c r="B30" s="6" t="s">
        <v>128</v>
      </c>
      <c r="C30" s="16">
        <v>379</v>
      </c>
      <c r="D30" s="50">
        <f t="shared" si="0"/>
        <v>1.8817204301075269E-2</v>
      </c>
      <c r="E30" s="16">
        <v>372</v>
      </c>
      <c r="F30" s="6"/>
      <c r="G30" s="6">
        <v>338</v>
      </c>
      <c r="H30" s="6">
        <v>348</v>
      </c>
      <c r="I30" s="83">
        <v>341</v>
      </c>
    </row>
    <row r="31" spans="1:14" x14ac:dyDescent="0.3">
      <c r="A31" s="89" t="s">
        <v>81</v>
      </c>
      <c r="B31" s="6" t="s">
        <v>129</v>
      </c>
      <c r="C31" s="16">
        <v>9</v>
      </c>
      <c r="D31" s="50">
        <f t="shared" si="0"/>
        <v>-0.94374999999999998</v>
      </c>
      <c r="E31" s="16">
        <v>160</v>
      </c>
      <c r="F31" s="6"/>
      <c r="G31" s="6">
        <v>34</v>
      </c>
      <c r="H31" s="6">
        <v>245</v>
      </c>
      <c r="I31" s="83">
        <v>359</v>
      </c>
    </row>
    <row r="32" spans="1:14" x14ac:dyDescent="0.3">
      <c r="A32" s="91" t="s">
        <v>82</v>
      </c>
      <c r="B32" s="4" t="s">
        <v>133</v>
      </c>
      <c r="C32" s="49">
        <f>SUM(C29:C31)</f>
        <v>511</v>
      </c>
      <c r="D32" s="50">
        <f t="shared" si="0"/>
        <v>-0.1797752808988764</v>
      </c>
      <c r="E32" s="49">
        <f t="shared" ref="E32:I32" si="8">SUM(E29:E31)</f>
        <v>623</v>
      </c>
      <c r="F32" s="49"/>
      <c r="G32" s="49">
        <f t="shared" si="8"/>
        <v>444</v>
      </c>
      <c r="H32" s="49">
        <f t="shared" si="8"/>
        <v>648</v>
      </c>
      <c r="I32" s="49">
        <f t="shared" si="8"/>
        <v>754</v>
      </c>
    </row>
    <row r="33" spans="1:9" x14ac:dyDescent="0.3">
      <c r="A33" s="89" t="s">
        <v>83</v>
      </c>
      <c r="B33" s="6" t="s">
        <v>131</v>
      </c>
      <c r="C33" s="16">
        <v>21</v>
      </c>
      <c r="D33" s="50">
        <f t="shared" si="0"/>
        <v>-5.2</v>
      </c>
      <c r="E33" s="16">
        <v>-5</v>
      </c>
      <c r="F33" s="6"/>
      <c r="G33" s="6">
        <v>10</v>
      </c>
      <c r="H33" s="6">
        <v>50</v>
      </c>
      <c r="I33" s="83">
        <v>57</v>
      </c>
    </row>
    <row r="34" spans="1:9" x14ac:dyDescent="0.3">
      <c r="A34" s="89" t="s">
        <v>84</v>
      </c>
      <c r="B34" s="6" t="s">
        <v>132</v>
      </c>
      <c r="C34" s="16">
        <v>15</v>
      </c>
      <c r="D34" s="50">
        <f t="shared" si="0"/>
        <v>-0.4</v>
      </c>
      <c r="E34" s="16">
        <v>25</v>
      </c>
      <c r="F34" s="6"/>
      <c r="G34" s="6">
        <v>35</v>
      </c>
      <c r="H34" s="6">
        <v>21</v>
      </c>
      <c r="I34" s="83">
        <v>22</v>
      </c>
    </row>
    <row r="35" spans="1:9" x14ac:dyDescent="0.3">
      <c r="A35" s="87" t="s">
        <v>85</v>
      </c>
      <c r="B35" s="41" t="s">
        <v>130</v>
      </c>
      <c r="C35" s="40">
        <f>SUM(C32:C34)</f>
        <v>547</v>
      </c>
      <c r="D35" s="50">
        <f t="shared" si="0"/>
        <v>-0.14930015552099535</v>
      </c>
      <c r="E35" s="40">
        <f t="shared" ref="E35:I35" si="9">SUM(E32:E34)</f>
        <v>643</v>
      </c>
      <c r="F35" s="40"/>
      <c r="G35" s="40">
        <f t="shared" si="9"/>
        <v>489</v>
      </c>
      <c r="H35" s="40">
        <f t="shared" si="9"/>
        <v>719</v>
      </c>
      <c r="I35" s="40">
        <f t="shared" si="9"/>
        <v>833</v>
      </c>
    </row>
    <row r="36" spans="1:9" x14ac:dyDescent="0.3">
      <c r="A36" s="86"/>
      <c r="B36" s="6"/>
      <c r="C36" s="13"/>
      <c r="D36" s="50"/>
      <c r="E36" s="13"/>
      <c r="F36" s="6"/>
      <c r="G36" s="6"/>
      <c r="H36" s="6"/>
      <c r="I36" s="83"/>
    </row>
    <row r="37" spans="1:9" x14ac:dyDescent="0.3">
      <c r="A37" s="90" t="s">
        <v>58</v>
      </c>
      <c r="B37" s="5" t="s">
        <v>9</v>
      </c>
      <c r="C37" s="44">
        <f>SUM(C26,-C35)</f>
        <v>687</v>
      </c>
      <c r="D37" s="50">
        <f t="shared" si="0"/>
        <v>0.1683673469387755</v>
      </c>
      <c r="E37" s="44">
        <f t="shared" ref="E37:I37" si="10">SUM(E26,-E35)</f>
        <v>588</v>
      </c>
      <c r="F37" s="44"/>
      <c r="G37" s="44">
        <f t="shared" si="10"/>
        <v>710</v>
      </c>
      <c r="H37" s="44">
        <f t="shared" si="10"/>
        <v>443</v>
      </c>
      <c r="I37" s="44">
        <f t="shared" si="10"/>
        <v>215</v>
      </c>
    </row>
    <row r="38" spans="1:9" x14ac:dyDescent="0.3">
      <c r="A38" s="92"/>
      <c r="B38" s="4"/>
      <c r="C38" s="7"/>
      <c r="D38" s="50"/>
      <c r="E38" s="7"/>
      <c r="F38" s="4"/>
      <c r="G38" s="4"/>
      <c r="H38" s="4"/>
      <c r="I38" s="34"/>
    </row>
    <row r="39" spans="1:9" x14ac:dyDescent="0.3">
      <c r="A39" s="86" t="s">
        <v>59</v>
      </c>
      <c r="B39" s="6" t="s">
        <v>10</v>
      </c>
      <c r="C39" s="13">
        <v>4</v>
      </c>
      <c r="D39" s="50">
        <f t="shared" si="0"/>
        <v>-0.7142857142857143</v>
      </c>
      <c r="E39" s="13">
        <v>14</v>
      </c>
      <c r="F39" s="6"/>
      <c r="G39" s="6">
        <v>0</v>
      </c>
      <c r="H39" s="6">
        <v>52</v>
      </c>
      <c r="I39" s="83">
        <v>1</v>
      </c>
    </row>
    <row r="40" spans="1:9" x14ac:dyDescent="0.3">
      <c r="A40" s="86"/>
      <c r="B40" s="6"/>
      <c r="C40" s="13"/>
      <c r="D40" s="50"/>
      <c r="E40" s="13"/>
      <c r="F40" s="6"/>
      <c r="G40" s="6"/>
      <c r="H40" s="6"/>
      <c r="I40" s="83"/>
    </row>
    <row r="41" spans="1:9" x14ac:dyDescent="0.3">
      <c r="A41" s="93" t="s">
        <v>36</v>
      </c>
      <c r="B41" s="46" t="s">
        <v>11</v>
      </c>
      <c r="C41" s="6"/>
      <c r="D41" s="50"/>
      <c r="E41" s="6"/>
      <c r="F41" s="6"/>
      <c r="G41" s="6"/>
      <c r="H41" s="6"/>
      <c r="I41" s="83"/>
    </row>
    <row r="42" spans="1:9" x14ac:dyDescent="0.3">
      <c r="A42" s="75" t="s">
        <v>89</v>
      </c>
      <c r="B42" s="6" t="s">
        <v>12</v>
      </c>
      <c r="C42" s="6"/>
      <c r="D42" s="50"/>
      <c r="E42" s="6"/>
      <c r="F42" s="6"/>
      <c r="G42" s="6"/>
      <c r="H42" s="6"/>
      <c r="I42" s="83"/>
    </row>
    <row r="43" spans="1:9" x14ac:dyDescent="0.3">
      <c r="A43" s="75" t="s">
        <v>86</v>
      </c>
      <c r="B43" s="6"/>
      <c r="C43" s="6">
        <v>4</v>
      </c>
      <c r="D43" s="50"/>
      <c r="E43" s="6">
        <v>0</v>
      </c>
      <c r="F43" s="6"/>
      <c r="G43" s="6"/>
      <c r="H43" s="6"/>
      <c r="I43" s="83"/>
    </row>
    <row r="44" spans="1:9" x14ac:dyDescent="0.3">
      <c r="A44" s="75" t="s">
        <v>87</v>
      </c>
      <c r="B44" s="6"/>
      <c r="C44" s="6">
        <v>12</v>
      </c>
      <c r="D44" s="50">
        <f t="shared" si="0"/>
        <v>-0.25</v>
      </c>
      <c r="E44" s="6">
        <v>16</v>
      </c>
      <c r="F44" s="6"/>
      <c r="G44" s="6"/>
      <c r="H44" s="6"/>
      <c r="I44" s="83"/>
    </row>
    <row r="45" spans="1:9" x14ac:dyDescent="0.3">
      <c r="A45" s="84" t="s">
        <v>88</v>
      </c>
      <c r="B45" s="6"/>
      <c r="C45" s="6">
        <f>SUM(C43:C44)</f>
        <v>16</v>
      </c>
      <c r="D45" s="50">
        <f t="shared" si="0"/>
        <v>0</v>
      </c>
      <c r="E45" s="6">
        <f t="shared" ref="E45" si="11">SUM(E43:E44)</f>
        <v>16</v>
      </c>
      <c r="F45" s="6"/>
      <c r="G45" s="6">
        <v>19</v>
      </c>
      <c r="H45" s="6">
        <v>34</v>
      </c>
      <c r="I45" s="83">
        <v>28</v>
      </c>
    </row>
    <row r="46" spans="1:9" x14ac:dyDescent="0.3">
      <c r="A46" s="75" t="s">
        <v>95</v>
      </c>
      <c r="B46" s="6" t="s">
        <v>13</v>
      </c>
      <c r="C46" s="6"/>
      <c r="D46" s="50"/>
      <c r="E46" s="6"/>
      <c r="F46" s="6"/>
      <c r="G46" s="6"/>
      <c r="H46" s="6"/>
      <c r="I46" s="83"/>
    </row>
    <row r="47" spans="1:9" x14ac:dyDescent="0.3">
      <c r="A47" s="75" t="s">
        <v>90</v>
      </c>
      <c r="B47" s="6" t="s">
        <v>134</v>
      </c>
      <c r="C47" s="6">
        <v>94</v>
      </c>
      <c r="D47" s="50">
        <f t="shared" si="0"/>
        <v>-7.8431372549019607E-2</v>
      </c>
      <c r="E47" s="6">
        <v>102</v>
      </c>
      <c r="F47" s="6"/>
      <c r="G47" s="6">
        <v>104</v>
      </c>
      <c r="H47" s="6">
        <v>125</v>
      </c>
      <c r="I47" s="83">
        <v>125</v>
      </c>
    </row>
    <row r="48" spans="1:9" x14ac:dyDescent="0.3">
      <c r="A48" s="75" t="s">
        <v>91</v>
      </c>
      <c r="B48" s="6" t="s">
        <v>135</v>
      </c>
      <c r="C48" s="6">
        <v>4</v>
      </c>
      <c r="D48" s="50">
        <f t="shared" si="0"/>
        <v>-0.33333333333333331</v>
      </c>
      <c r="E48" s="6">
        <v>6</v>
      </c>
      <c r="F48" s="6"/>
      <c r="G48" s="6">
        <v>9</v>
      </c>
      <c r="H48" s="6">
        <v>9</v>
      </c>
      <c r="I48" s="83">
        <v>15</v>
      </c>
    </row>
    <row r="49" spans="1:17" x14ac:dyDescent="0.3">
      <c r="A49" s="75" t="s">
        <v>92</v>
      </c>
      <c r="B49" s="6" t="s">
        <v>136</v>
      </c>
      <c r="C49" s="6">
        <v>7</v>
      </c>
      <c r="D49" s="50">
        <f t="shared" si="0"/>
        <v>-0.125</v>
      </c>
      <c r="E49" s="6">
        <v>8</v>
      </c>
      <c r="F49" s="6"/>
      <c r="G49" s="6">
        <v>8</v>
      </c>
      <c r="H49" s="6">
        <v>6</v>
      </c>
      <c r="I49" s="83">
        <v>5</v>
      </c>
    </row>
    <row r="50" spans="1:17" x14ac:dyDescent="0.3">
      <c r="A50" s="75" t="s">
        <v>93</v>
      </c>
      <c r="B50" s="6" t="s">
        <v>137</v>
      </c>
      <c r="C50" s="6">
        <v>1</v>
      </c>
      <c r="D50" s="50">
        <f t="shared" si="0"/>
        <v>-0.5</v>
      </c>
      <c r="E50" s="6">
        <v>2</v>
      </c>
      <c r="F50" s="6"/>
      <c r="G50" s="6">
        <v>2</v>
      </c>
      <c r="H50" s="6">
        <v>1</v>
      </c>
      <c r="I50" s="83">
        <v>0</v>
      </c>
    </row>
    <row r="51" spans="1:17" x14ac:dyDescent="0.3">
      <c r="A51" s="75" t="s">
        <v>94</v>
      </c>
      <c r="B51" s="6" t="s">
        <v>138</v>
      </c>
      <c r="C51" s="6">
        <v>24</v>
      </c>
      <c r="D51" s="50">
        <f t="shared" si="0"/>
        <v>0.7142857142857143</v>
      </c>
      <c r="E51" s="6">
        <v>14</v>
      </c>
      <c r="F51" s="6"/>
      <c r="G51" s="6">
        <v>35</v>
      </c>
      <c r="H51" s="6">
        <v>51</v>
      </c>
      <c r="I51" s="83">
        <v>17</v>
      </c>
    </row>
    <row r="52" spans="1:17" x14ac:dyDescent="0.3">
      <c r="A52" s="84" t="s">
        <v>96</v>
      </c>
      <c r="B52" s="6" t="s">
        <v>139</v>
      </c>
      <c r="C52" s="6">
        <f>SUM(C47:C51)</f>
        <v>130</v>
      </c>
      <c r="D52" s="50">
        <f t="shared" si="0"/>
        <v>-1.5151515151515152E-2</v>
      </c>
      <c r="E52" s="6">
        <f t="shared" ref="E52:H52" si="12">SUM(E47:E51)</f>
        <v>132</v>
      </c>
      <c r="F52" s="6"/>
      <c r="G52" s="6">
        <f t="shared" si="12"/>
        <v>158</v>
      </c>
      <c r="H52" s="6">
        <f t="shared" si="12"/>
        <v>192</v>
      </c>
      <c r="I52" s="83">
        <v>162</v>
      </c>
    </row>
    <row r="53" spans="1:17" x14ac:dyDescent="0.3">
      <c r="A53" s="75" t="s">
        <v>97</v>
      </c>
      <c r="B53" s="6" t="s">
        <v>140</v>
      </c>
      <c r="C53" s="6">
        <v>0</v>
      </c>
      <c r="D53" s="50"/>
      <c r="E53" s="6">
        <v>0</v>
      </c>
      <c r="F53" s="6"/>
      <c r="G53" s="6">
        <v>0</v>
      </c>
      <c r="H53" s="6">
        <v>0</v>
      </c>
      <c r="I53" s="83">
        <v>0</v>
      </c>
    </row>
    <row r="54" spans="1:17" x14ac:dyDescent="0.3">
      <c r="A54" s="84" t="s">
        <v>98</v>
      </c>
      <c r="B54" s="6" t="s">
        <v>141</v>
      </c>
      <c r="C54" s="6">
        <f>SUM(C52:C53)</f>
        <v>130</v>
      </c>
      <c r="D54" s="50">
        <f t="shared" si="0"/>
        <v>-1.5151515151515152E-2</v>
      </c>
      <c r="E54" s="6">
        <f t="shared" ref="E54:I54" si="13">SUM(E52:E53)</f>
        <v>132</v>
      </c>
      <c r="F54" s="6"/>
      <c r="G54" s="6">
        <f t="shared" si="13"/>
        <v>158</v>
      </c>
      <c r="H54" s="6">
        <f t="shared" si="13"/>
        <v>192</v>
      </c>
      <c r="I54" s="6">
        <f t="shared" si="13"/>
        <v>162</v>
      </c>
    </row>
    <row r="55" spans="1:17" ht="13.8" customHeight="1" x14ac:dyDescent="0.3">
      <c r="A55" s="84" t="s">
        <v>37</v>
      </c>
      <c r="B55" s="14" t="s">
        <v>54</v>
      </c>
      <c r="C55" s="6">
        <v>4</v>
      </c>
      <c r="D55" s="50">
        <f t="shared" si="0"/>
        <v>0</v>
      </c>
      <c r="E55" s="6">
        <v>4</v>
      </c>
      <c r="F55" s="6"/>
      <c r="G55" s="6">
        <v>5</v>
      </c>
      <c r="H55" s="6">
        <v>-3</v>
      </c>
      <c r="I55" s="83">
        <v>-4</v>
      </c>
    </row>
    <row r="56" spans="1:17" x14ac:dyDescent="0.3">
      <c r="A56" s="75" t="s">
        <v>38</v>
      </c>
      <c r="B56" s="6" t="s">
        <v>18</v>
      </c>
      <c r="C56" s="6">
        <v>0</v>
      </c>
      <c r="D56" s="50"/>
      <c r="E56" s="6">
        <v>0</v>
      </c>
      <c r="F56" s="6"/>
      <c r="G56" s="6">
        <v>0</v>
      </c>
      <c r="H56" s="6">
        <v>0</v>
      </c>
      <c r="I56" s="83"/>
    </row>
    <row r="57" spans="1:17" x14ac:dyDescent="0.3">
      <c r="A57" s="93" t="s">
        <v>39</v>
      </c>
      <c r="B57" s="46" t="s">
        <v>14</v>
      </c>
      <c r="C57" s="45">
        <f>SUM(C45,-C54,C55)</f>
        <v>-110</v>
      </c>
      <c r="D57" s="50">
        <f t="shared" si="0"/>
        <v>-1.7857142857142856E-2</v>
      </c>
      <c r="E57" s="45">
        <f t="shared" ref="E57:I57" si="14">SUM(E45,-E54,E55)</f>
        <v>-112</v>
      </c>
      <c r="F57" s="45"/>
      <c r="G57" s="45">
        <f t="shared" si="14"/>
        <v>-134</v>
      </c>
      <c r="H57" s="45">
        <f t="shared" si="14"/>
        <v>-161</v>
      </c>
      <c r="I57" s="45">
        <f t="shared" si="14"/>
        <v>-138</v>
      </c>
    </row>
    <row r="58" spans="1:17" ht="15" thickBot="1" x14ac:dyDescent="0.35">
      <c r="A58" s="86"/>
      <c r="B58" s="6"/>
      <c r="C58" s="13"/>
      <c r="D58" s="50"/>
      <c r="E58" s="13"/>
      <c r="F58" s="6"/>
      <c r="G58" s="6"/>
      <c r="H58" s="6"/>
      <c r="I58" s="83"/>
    </row>
    <row r="59" spans="1:17" ht="15" thickBot="1" x14ac:dyDescent="0.35">
      <c r="A59" s="90" t="s">
        <v>60</v>
      </c>
      <c r="B59" s="5" t="s">
        <v>15</v>
      </c>
      <c r="C59" s="44">
        <f>SUM(C37,C39,C57)</f>
        <v>581</v>
      </c>
      <c r="D59" s="50">
        <f t="shared" si="0"/>
        <v>0.18571428571428572</v>
      </c>
      <c r="E59" s="44">
        <f t="shared" ref="E59:I59" si="15">SUM(E37,E39,E57)</f>
        <v>490</v>
      </c>
      <c r="F59" s="44"/>
      <c r="G59" s="44">
        <f t="shared" si="15"/>
        <v>576</v>
      </c>
      <c r="H59" s="44">
        <f t="shared" si="15"/>
        <v>334</v>
      </c>
      <c r="I59" s="44">
        <f t="shared" si="15"/>
        <v>78</v>
      </c>
      <c r="K59" s="19" t="s">
        <v>105</v>
      </c>
      <c r="L59" s="20"/>
      <c r="M59" s="20"/>
      <c r="N59" s="23"/>
      <c r="O59" s="23"/>
      <c r="P59" s="23"/>
      <c r="Q59" s="24"/>
    </row>
    <row r="60" spans="1:17" ht="15" thickBot="1" x14ac:dyDescent="0.35">
      <c r="A60" s="92"/>
      <c r="B60" s="4"/>
      <c r="C60" s="7"/>
      <c r="D60" s="50"/>
      <c r="E60" s="7"/>
      <c r="F60" s="4"/>
      <c r="G60" s="4"/>
      <c r="H60" s="4"/>
      <c r="I60" s="34"/>
      <c r="K60" s="19"/>
      <c r="L60" s="20"/>
      <c r="M60" s="20"/>
      <c r="N60" s="20"/>
      <c r="O60" s="20"/>
      <c r="P60" s="20"/>
      <c r="Q60" s="21"/>
    </row>
    <row r="61" spans="1:17" x14ac:dyDescent="0.3">
      <c r="A61" s="88" t="s">
        <v>40</v>
      </c>
      <c r="B61" s="54" t="s">
        <v>16</v>
      </c>
      <c r="C61" s="13"/>
      <c r="D61" s="50"/>
      <c r="E61" s="13"/>
      <c r="F61" s="6"/>
      <c r="G61" s="6"/>
      <c r="H61" s="6"/>
      <c r="I61" s="83"/>
      <c r="K61" s="30"/>
      <c r="L61" s="31">
        <v>43830</v>
      </c>
      <c r="M61" s="32">
        <v>43465</v>
      </c>
      <c r="N61" s="25"/>
      <c r="O61" s="25"/>
      <c r="P61" s="25"/>
      <c r="Q61" s="26"/>
    </row>
    <row r="62" spans="1:17" x14ac:dyDescent="0.3">
      <c r="A62" s="89" t="s">
        <v>99</v>
      </c>
      <c r="B62" s="6" t="s">
        <v>142</v>
      </c>
      <c r="C62" s="16">
        <v>147</v>
      </c>
      <c r="D62" s="50">
        <f t="shared" si="0"/>
        <v>6.8493150684931503E-3</v>
      </c>
      <c r="E62" s="16">
        <v>146</v>
      </c>
      <c r="F62" s="6"/>
      <c r="G62" s="6">
        <v>107</v>
      </c>
      <c r="H62" s="6">
        <v>138</v>
      </c>
      <c r="I62" s="83">
        <v>105</v>
      </c>
      <c r="K62" s="33" t="s">
        <v>106</v>
      </c>
      <c r="L62" s="4">
        <v>581</v>
      </c>
      <c r="M62" s="34">
        <v>490</v>
      </c>
      <c r="N62" s="1"/>
      <c r="O62" s="1"/>
      <c r="P62" s="1"/>
      <c r="Q62" s="27"/>
    </row>
    <row r="63" spans="1:17" x14ac:dyDescent="0.3">
      <c r="A63" s="89" t="s">
        <v>100</v>
      </c>
      <c r="B63" s="6" t="s">
        <v>143</v>
      </c>
      <c r="C63" s="16">
        <v>30</v>
      </c>
      <c r="D63" s="50">
        <f t="shared" si="0"/>
        <v>0</v>
      </c>
      <c r="E63" s="16">
        <v>30</v>
      </c>
      <c r="F63" s="6"/>
      <c r="G63" s="6">
        <v>26</v>
      </c>
      <c r="H63" s="6">
        <v>25</v>
      </c>
      <c r="I63" s="83">
        <v>23</v>
      </c>
      <c r="K63" s="33" t="s">
        <v>107</v>
      </c>
      <c r="L63" s="4">
        <v>9</v>
      </c>
      <c r="M63" s="34">
        <v>160</v>
      </c>
      <c r="N63" s="1"/>
      <c r="O63" s="1"/>
      <c r="P63" s="1"/>
      <c r="Q63" s="27"/>
    </row>
    <row r="64" spans="1:17" x14ac:dyDescent="0.3">
      <c r="A64" s="89" t="s">
        <v>101</v>
      </c>
      <c r="B64" s="6" t="s">
        <v>144</v>
      </c>
      <c r="C64" s="16">
        <v>5</v>
      </c>
      <c r="D64" s="50">
        <f t="shared" si="0"/>
        <v>1.5</v>
      </c>
      <c r="E64" s="16">
        <v>2</v>
      </c>
      <c r="F64" s="6"/>
      <c r="G64" s="6">
        <v>-1</v>
      </c>
      <c r="H64" s="6">
        <v>4</v>
      </c>
      <c r="I64" s="83">
        <v>-17</v>
      </c>
      <c r="K64" s="33" t="s">
        <v>108</v>
      </c>
      <c r="L64" s="4">
        <v>590</v>
      </c>
      <c r="M64" s="34">
        <v>650</v>
      </c>
      <c r="N64" s="1"/>
      <c r="O64" s="1"/>
      <c r="P64" s="1"/>
      <c r="Q64" s="27"/>
    </row>
    <row r="65" spans="1:17" x14ac:dyDescent="0.3">
      <c r="A65" s="84" t="s">
        <v>104</v>
      </c>
      <c r="B65" s="6" t="s">
        <v>145</v>
      </c>
      <c r="C65" s="18">
        <f>SUM(C62:C64)</f>
        <v>182</v>
      </c>
      <c r="D65" s="50">
        <f t="shared" si="0"/>
        <v>2.247191011235955E-2</v>
      </c>
      <c r="E65" s="18">
        <f t="shared" ref="E65:I65" si="16">SUM(E62:E64)</f>
        <v>178</v>
      </c>
      <c r="F65" s="18"/>
      <c r="G65" s="18">
        <f t="shared" si="16"/>
        <v>132</v>
      </c>
      <c r="H65" s="18">
        <f t="shared" si="16"/>
        <v>167</v>
      </c>
      <c r="I65" s="18">
        <f t="shared" si="16"/>
        <v>111</v>
      </c>
      <c r="K65" s="33" t="s">
        <v>109</v>
      </c>
      <c r="L65" s="4">
        <v>142</v>
      </c>
      <c r="M65" s="34">
        <v>156</v>
      </c>
      <c r="N65" s="1"/>
      <c r="O65" s="1"/>
      <c r="P65" s="1"/>
      <c r="Q65" s="27"/>
    </row>
    <row r="66" spans="1:17" x14ac:dyDescent="0.3">
      <c r="A66" s="89" t="s">
        <v>30</v>
      </c>
      <c r="B66" s="6" t="s">
        <v>146</v>
      </c>
      <c r="C66" s="16">
        <v>71</v>
      </c>
      <c r="D66" s="50">
        <f t="shared" si="0"/>
        <v>1.1515151515151516</v>
      </c>
      <c r="E66" s="16">
        <v>33</v>
      </c>
      <c r="F66" s="6"/>
      <c r="G66" s="6">
        <v>88</v>
      </c>
      <c r="H66" s="6">
        <v>44</v>
      </c>
      <c r="I66" s="83">
        <v>142</v>
      </c>
      <c r="K66" s="33" t="s">
        <v>110</v>
      </c>
      <c r="L66" s="4">
        <v>-2</v>
      </c>
      <c r="M66" s="34">
        <v>-38</v>
      </c>
      <c r="N66" s="1"/>
      <c r="O66" s="1"/>
      <c r="P66" s="1"/>
      <c r="Q66" s="27"/>
    </row>
    <row r="67" spans="1:17" x14ac:dyDescent="0.3">
      <c r="A67" s="89" t="s">
        <v>102</v>
      </c>
      <c r="B67" s="6" t="s">
        <v>147</v>
      </c>
      <c r="C67" s="16">
        <v>-64</v>
      </c>
      <c r="D67" s="50">
        <f t="shared" si="0"/>
        <v>0.18518518518518517</v>
      </c>
      <c r="E67" s="16">
        <v>-54</v>
      </c>
      <c r="F67" s="6"/>
      <c r="G67" s="6">
        <v>-28</v>
      </c>
      <c r="H67" s="6">
        <v>-89</v>
      </c>
      <c r="I67" s="83">
        <v>-120</v>
      </c>
      <c r="K67" s="33" t="s">
        <v>111</v>
      </c>
      <c r="L67" s="4">
        <v>19</v>
      </c>
      <c r="M67" s="34">
        <v>9</v>
      </c>
      <c r="N67" s="1"/>
      <c r="O67" s="1"/>
      <c r="P67" s="1"/>
      <c r="Q67" s="27"/>
    </row>
    <row r="68" spans="1:17" x14ac:dyDescent="0.3">
      <c r="A68" s="88" t="s">
        <v>103</v>
      </c>
      <c r="B68" s="43" t="s">
        <v>148</v>
      </c>
      <c r="C68" s="42">
        <f>SUM(C65:C67)</f>
        <v>189</v>
      </c>
      <c r="D68" s="50">
        <f t="shared" si="0"/>
        <v>0.20382165605095542</v>
      </c>
      <c r="E68" s="42">
        <f t="shared" ref="E68:I68" si="17">SUM(E65:E67)</f>
        <v>157</v>
      </c>
      <c r="F68" s="42"/>
      <c r="G68" s="42">
        <f t="shared" si="17"/>
        <v>192</v>
      </c>
      <c r="H68" s="42">
        <f t="shared" si="17"/>
        <v>122</v>
      </c>
      <c r="I68" s="42">
        <f t="shared" si="17"/>
        <v>133</v>
      </c>
      <c r="K68" s="33" t="s">
        <v>114</v>
      </c>
      <c r="L68" s="4">
        <v>159</v>
      </c>
      <c r="M68" s="34">
        <v>127</v>
      </c>
      <c r="N68" s="1"/>
      <c r="O68" s="1"/>
      <c r="P68" s="1"/>
      <c r="Q68" s="27"/>
    </row>
    <row r="69" spans="1:17" x14ac:dyDescent="0.3">
      <c r="A69" s="90" t="s">
        <v>41</v>
      </c>
      <c r="B69" s="5" t="s">
        <v>17</v>
      </c>
      <c r="C69" s="44">
        <f>SUM(C59,-C68)</f>
        <v>392</v>
      </c>
      <c r="D69" s="50">
        <f t="shared" si="0"/>
        <v>0.17717717717717718</v>
      </c>
      <c r="E69" s="44">
        <f t="shared" ref="E69:I69" si="18">SUM(E59,-E68)</f>
        <v>333</v>
      </c>
      <c r="F69" s="44">
        <f t="shared" si="18"/>
        <v>0</v>
      </c>
      <c r="G69" s="44">
        <f t="shared" si="18"/>
        <v>384</v>
      </c>
      <c r="H69" s="44">
        <f t="shared" si="18"/>
        <v>212</v>
      </c>
      <c r="I69" s="44">
        <f t="shared" si="18"/>
        <v>-55</v>
      </c>
      <c r="K69" s="33" t="s">
        <v>113</v>
      </c>
      <c r="L69" s="4">
        <v>30</v>
      </c>
      <c r="M69" s="34">
        <v>30</v>
      </c>
      <c r="N69" s="1"/>
      <c r="O69" s="1"/>
      <c r="P69" s="1"/>
      <c r="Q69" s="27"/>
    </row>
    <row r="70" spans="1:17" ht="15" thickBot="1" x14ac:dyDescent="0.35">
      <c r="A70" s="86" t="s">
        <v>42</v>
      </c>
      <c r="B70" s="6" t="s">
        <v>19</v>
      </c>
      <c r="C70" s="13">
        <v>1</v>
      </c>
      <c r="D70" s="50">
        <f t="shared" ref="D70:D75" si="19">(SUM(C70,-E70))/E70</f>
        <v>-0.95238095238095233</v>
      </c>
      <c r="E70" s="13">
        <v>21</v>
      </c>
      <c r="F70" s="6"/>
      <c r="G70" s="6">
        <v>-85</v>
      </c>
      <c r="H70" s="6">
        <v>19</v>
      </c>
      <c r="I70" s="83">
        <v>0</v>
      </c>
      <c r="K70" s="35" t="s">
        <v>112</v>
      </c>
      <c r="L70" s="36">
        <v>189</v>
      </c>
      <c r="M70" s="37">
        <v>157</v>
      </c>
      <c r="N70" s="28"/>
      <c r="O70" s="28"/>
      <c r="P70" s="28"/>
      <c r="Q70" s="29"/>
    </row>
    <row r="71" spans="1:17" x14ac:dyDescent="0.3">
      <c r="A71" s="86"/>
      <c r="B71" s="6"/>
      <c r="C71" s="13"/>
      <c r="D71" s="50"/>
      <c r="E71" s="13"/>
      <c r="F71" s="6"/>
      <c r="G71" s="6"/>
      <c r="H71" s="6"/>
      <c r="I71" s="83"/>
      <c r="K71" s="1"/>
      <c r="L71" s="1"/>
      <c r="M71" s="1"/>
      <c r="N71" s="1"/>
      <c r="O71" s="1"/>
      <c r="P71" s="1"/>
      <c r="Q71" s="1"/>
    </row>
    <row r="72" spans="1:17" x14ac:dyDescent="0.3">
      <c r="A72" s="94" t="s">
        <v>43</v>
      </c>
      <c r="B72" s="48" t="s">
        <v>20</v>
      </c>
      <c r="C72" s="47">
        <f>SUM(C69:C70)</f>
        <v>393</v>
      </c>
      <c r="D72" s="50">
        <f t="shared" si="19"/>
        <v>0.11016949152542373</v>
      </c>
      <c r="E72" s="47">
        <f t="shared" ref="E72:I72" si="20">SUM(E69:E70)</f>
        <v>354</v>
      </c>
      <c r="F72" s="47">
        <f t="shared" si="20"/>
        <v>0</v>
      </c>
      <c r="G72" s="47">
        <f t="shared" si="20"/>
        <v>299</v>
      </c>
      <c r="H72" s="47">
        <f t="shared" si="20"/>
        <v>231</v>
      </c>
      <c r="I72" s="47">
        <f t="shared" si="20"/>
        <v>-55</v>
      </c>
    </row>
    <row r="73" spans="1:17" x14ac:dyDescent="0.3">
      <c r="A73" s="86" t="s">
        <v>44</v>
      </c>
      <c r="B73" s="6" t="s">
        <v>21</v>
      </c>
      <c r="C73" s="13">
        <v>-4</v>
      </c>
      <c r="D73" s="50"/>
      <c r="E73" s="13">
        <v>-10</v>
      </c>
      <c r="F73" s="6"/>
      <c r="G73" s="6">
        <v>-6</v>
      </c>
      <c r="H73" s="6">
        <v>1</v>
      </c>
      <c r="I73" s="83">
        <v>130</v>
      </c>
    </row>
    <row r="74" spans="1:17" x14ac:dyDescent="0.3">
      <c r="A74" s="86"/>
      <c r="B74" s="6"/>
      <c r="C74" s="13"/>
      <c r="D74" s="50"/>
      <c r="E74" s="13"/>
      <c r="F74" s="6"/>
      <c r="G74" s="6"/>
      <c r="H74" s="6"/>
      <c r="I74" s="83"/>
    </row>
    <row r="75" spans="1:17" ht="15" thickBot="1" x14ac:dyDescent="0.35">
      <c r="A75" s="95" t="s">
        <v>45</v>
      </c>
      <c r="B75" s="96" t="s">
        <v>22</v>
      </c>
      <c r="C75" s="97">
        <f>SUM(C72:C73)</f>
        <v>389</v>
      </c>
      <c r="D75" s="98">
        <f t="shared" si="19"/>
        <v>0.1308139534883721</v>
      </c>
      <c r="E75" s="97">
        <f t="shared" ref="E75" si="21">SUM(E72:E73)</f>
        <v>344</v>
      </c>
      <c r="F75" s="96"/>
      <c r="G75" s="96">
        <v>293</v>
      </c>
      <c r="H75" s="96">
        <v>232</v>
      </c>
      <c r="I75" s="99">
        <v>73</v>
      </c>
    </row>
    <row r="76" spans="1:17" ht="15" thickBot="1" x14ac:dyDescent="0.35">
      <c r="A76" s="77"/>
      <c r="B76" s="78"/>
      <c r="C76" s="77"/>
      <c r="D76" s="77"/>
      <c r="E76" s="77"/>
      <c r="F76" s="79"/>
      <c r="G76" s="1"/>
      <c r="H76" s="1"/>
      <c r="I76" s="1"/>
    </row>
    <row r="77" spans="1:17" x14ac:dyDescent="0.3">
      <c r="A77" s="106" t="s">
        <v>46</v>
      </c>
      <c r="B77" s="103" t="s">
        <v>23</v>
      </c>
      <c r="C77" s="74"/>
      <c r="D77" s="74"/>
      <c r="E77" s="74"/>
      <c r="F77" s="74"/>
      <c r="G77" s="74"/>
      <c r="H77" s="74"/>
      <c r="I77" s="70"/>
    </row>
    <row r="78" spans="1:17" x14ac:dyDescent="0.3">
      <c r="A78" s="107" t="s">
        <v>47</v>
      </c>
      <c r="B78" s="104" t="s">
        <v>24</v>
      </c>
      <c r="C78" s="6">
        <v>0.1249</v>
      </c>
      <c r="D78" s="6"/>
      <c r="E78" s="6">
        <v>0.1106</v>
      </c>
      <c r="F78" s="6"/>
      <c r="G78" s="6">
        <v>9.4399999999999998E-2</v>
      </c>
      <c r="H78" s="6">
        <v>7.4499999999999997E-2</v>
      </c>
      <c r="I78" s="71"/>
    </row>
    <row r="79" spans="1:17" x14ac:dyDescent="0.3">
      <c r="A79" s="107" t="s">
        <v>48</v>
      </c>
      <c r="B79" s="104" t="s">
        <v>25</v>
      </c>
      <c r="C79" s="6">
        <v>0.12470000000000001</v>
      </c>
      <c r="D79" s="6"/>
      <c r="E79" s="6">
        <v>0.104</v>
      </c>
      <c r="F79" s="6"/>
      <c r="G79" s="6">
        <v>0.1215</v>
      </c>
      <c r="H79" s="6">
        <v>6.8400000000000002E-2</v>
      </c>
      <c r="I79" s="71"/>
    </row>
    <row r="80" spans="1:17" x14ac:dyDescent="0.3">
      <c r="A80" s="107" t="s">
        <v>49</v>
      </c>
      <c r="B80" s="104" t="s">
        <v>26</v>
      </c>
      <c r="C80" s="6">
        <v>2.0000000000000001E-4</v>
      </c>
      <c r="D80" s="6"/>
      <c r="E80" s="6">
        <v>6.6E-3</v>
      </c>
      <c r="F80" s="6"/>
      <c r="G80" s="6">
        <v>-2.7099999999999999E-2</v>
      </c>
      <c r="H80" s="6">
        <v>6.1999999999999998E-3</v>
      </c>
      <c r="I80" s="71"/>
    </row>
    <row r="81" spans="1:9" x14ac:dyDescent="0.3">
      <c r="A81" s="107" t="s">
        <v>50</v>
      </c>
      <c r="B81" s="104" t="s">
        <v>27</v>
      </c>
      <c r="C81" s="6">
        <v>0.1249</v>
      </c>
      <c r="D81" s="6"/>
      <c r="E81" s="6">
        <v>0.1106</v>
      </c>
      <c r="F81" s="6"/>
      <c r="G81" s="6">
        <v>9.4399999999999998E-2</v>
      </c>
      <c r="H81" s="6">
        <v>7.4499999999999997E-2</v>
      </c>
      <c r="I81" s="71"/>
    </row>
    <row r="82" spans="1:9" x14ac:dyDescent="0.3">
      <c r="A82" s="107" t="s">
        <v>51</v>
      </c>
      <c r="B82" s="104" t="s">
        <v>28</v>
      </c>
      <c r="C82" s="6">
        <v>0.12470000000000001</v>
      </c>
      <c r="D82" s="6"/>
      <c r="E82" s="6">
        <v>0.104</v>
      </c>
      <c r="F82" s="6"/>
      <c r="G82" s="6">
        <v>0.1215</v>
      </c>
      <c r="H82" s="6">
        <v>6.8400000000000002E-2</v>
      </c>
      <c r="I82" s="71"/>
    </row>
    <row r="83" spans="1:9" ht="15" thickBot="1" x14ac:dyDescent="0.35">
      <c r="A83" s="108" t="s">
        <v>52</v>
      </c>
      <c r="B83" s="105" t="s">
        <v>29</v>
      </c>
      <c r="C83" s="76">
        <v>2E-3</v>
      </c>
      <c r="D83" s="76"/>
      <c r="E83" s="76">
        <v>6.6E-3</v>
      </c>
      <c r="F83" s="76"/>
      <c r="G83" s="76">
        <v>-2.7099999999999999E-2</v>
      </c>
      <c r="H83" s="76">
        <v>6.1999999999999998E-3</v>
      </c>
      <c r="I83" s="73"/>
    </row>
    <row r="85" spans="1:9" ht="15" thickBot="1" x14ac:dyDescent="0.35">
      <c r="A85" s="2"/>
      <c r="B85" s="2"/>
      <c r="C85" s="2"/>
      <c r="D85" s="2"/>
      <c r="E85" s="2"/>
    </row>
    <row r="86" spans="1:9" x14ac:dyDescent="0.3">
      <c r="A86" s="100" t="s">
        <v>155</v>
      </c>
      <c r="B86" s="25"/>
      <c r="C86" s="31" t="s">
        <v>159</v>
      </c>
      <c r="D86" s="25"/>
      <c r="E86" s="68" t="s">
        <v>163</v>
      </c>
      <c r="F86" s="62"/>
      <c r="G86" s="69" t="s">
        <v>160</v>
      </c>
      <c r="H86" s="69" t="s">
        <v>161</v>
      </c>
      <c r="I86" s="70" t="s">
        <v>164</v>
      </c>
    </row>
    <row r="87" spans="1:9" x14ac:dyDescent="0.3">
      <c r="A87" s="101" t="s">
        <v>156</v>
      </c>
      <c r="B87" s="1"/>
      <c r="C87" s="4">
        <v>7.7499999999999999E-2</v>
      </c>
      <c r="D87" s="22"/>
      <c r="E87" s="4">
        <v>7.0000000000000007E-2</v>
      </c>
      <c r="F87" s="2"/>
      <c r="G87" s="67">
        <v>5.7799999999999997E-2</v>
      </c>
      <c r="H87" s="67">
        <v>4.9200000000000001E-2</v>
      </c>
      <c r="I87" s="71">
        <v>4.1000000000000002E-2</v>
      </c>
    </row>
    <row r="88" spans="1:9" x14ac:dyDescent="0.3">
      <c r="A88" s="101" t="s">
        <v>157</v>
      </c>
      <c r="B88" s="1"/>
      <c r="C88" s="116">
        <f>PRODUCT(C87,C94)</f>
        <v>240.96174884000001</v>
      </c>
      <c r="D88" s="116"/>
      <c r="E88" s="116">
        <f t="shared" ref="E88:I88" si="22">PRODUCT(E87,E94)</f>
        <v>217.64286992000004</v>
      </c>
      <c r="F88" s="116"/>
      <c r="G88" s="116">
        <f t="shared" si="22"/>
        <v>179.71082687679998</v>
      </c>
      <c r="H88" s="116">
        <f t="shared" si="22"/>
        <v>152.9718457152</v>
      </c>
      <c r="I88" s="116">
        <f t="shared" si="22"/>
        <v>127.346</v>
      </c>
    </row>
    <row r="89" spans="1:9" x14ac:dyDescent="0.3">
      <c r="A89" s="101" t="s">
        <v>162</v>
      </c>
      <c r="B89" s="1"/>
      <c r="C89" s="117">
        <f>(C88/C75)</f>
        <v>0.61943894303341906</v>
      </c>
      <c r="D89" s="117"/>
      <c r="E89" s="117">
        <f t="shared" ref="E89:I89" si="23">(E88/E75)</f>
        <v>0.63268276139534896</v>
      </c>
      <c r="F89" s="117"/>
      <c r="G89" s="117">
        <f t="shared" si="23"/>
        <v>0.61334753200273029</v>
      </c>
      <c r="H89" s="117">
        <f t="shared" si="23"/>
        <v>0.65936140394482756</v>
      </c>
      <c r="I89" s="117">
        <f t="shared" si="23"/>
        <v>1.7444657534246575</v>
      </c>
    </row>
    <row r="90" spans="1:9" ht="15" thickBot="1" x14ac:dyDescent="0.35">
      <c r="A90" s="102" t="s">
        <v>158</v>
      </c>
      <c r="B90" s="28"/>
      <c r="C90" s="118">
        <f>SUM(1,-C89)</f>
        <v>0.38056105696658094</v>
      </c>
      <c r="D90" s="118"/>
      <c r="E90" s="118">
        <f t="shared" ref="E90:I90" si="24">SUM(1,-E89)</f>
        <v>0.36731723860465104</v>
      </c>
      <c r="F90" s="118"/>
      <c r="G90" s="118">
        <f t="shared" si="24"/>
        <v>0.38665246799726971</v>
      </c>
      <c r="H90" s="118">
        <f t="shared" si="24"/>
        <v>0.34063859605517244</v>
      </c>
      <c r="I90" s="118">
        <f t="shared" si="24"/>
        <v>-0.74446575342465748</v>
      </c>
    </row>
    <row r="91" spans="1:9" x14ac:dyDescent="0.3">
      <c r="A91" s="2"/>
      <c r="B91" s="2"/>
      <c r="C91" s="2"/>
      <c r="D91" s="2"/>
      <c r="E91" s="2"/>
      <c r="F91" s="2"/>
      <c r="G91" s="2"/>
      <c r="H91" s="2"/>
      <c r="I91" s="2"/>
    </row>
    <row r="92" spans="1:9" ht="15" thickBot="1" x14ac:dyDescent="0.35">
      <c r="A92" s="2"/>
      <c r="B92" s="2"/>
      <c r="C92" s="2"/>
      <c r="D92" s="2"/>
      <c r="E92" s="2"/>
      <c r="F92" s="2"/>
      <c r="G92" s="2"/>
      <c r="H92" s="2"/>
      <c r="I92" s="2"/>
    </row>
    <row r="93" spans="1:9" ht="15" thickBot="1" x14ac:dyDescent="0.35">
      <c r="A93" s="110" t="s">
        <v>115</v>
      </c>
      <c r="B93" s="8"/>
      <c r="C93" s="111"/>
      <c r="D93" s="8"/>
      <c r="E93" s="113"/>
      <c r="F93" s="62"/>
      <c r="G93" s="69"/>
      <c r="H93" s="69"/>
      <c r="I93" s="70"/>
    </row>
    <row r="94" spans="1:9" ht="15" thickBot="1" x14ac:dyDescent="0.35">
      <c r="A94" s="112" t="s">
        <v>47</v>
      </c>
      <c r="B94" s="1"/>
      <c r="C94" s="114">
        <v>3109.1838560000001</v>
      </c>
      <c r="D94" s="1"/>
      <c r="E94" s="115">
        <v>3109.1838560000001</v>
      </c>
      <c r="F94" s="2"/>
      <c r="G94" s="115">
        <v>3109.1838560000001</v>
      </c>
      <c r="H94" s="115">
        <v>3109.1838560000001</v>
      </c>
      <c r="I94" s="71">
        <v>3106</v>
      </c>
    </row>
    <row r="95" spans="1:9" ht="15" thickBot="1" x14ac:dyDescent="0.35">
      <c r="A95" s="102" t="s">
        <v>50</v>
      </c>
      <c r="B95" s="28"/>
      <c r="C95" s="115">
        <v>3109.1838560000001</v>
      </c>
      <c r="D95" s="28"/>
      <c r="E95" s="114">
        <v>3109.1838560000001</v>
      </c>
      <c r="F95" s="65"/>
      <c r="G95" s="72"/>
      <c r="H95" s="72"/>
      <c r="I95" s="73"/>
    </row>
    <row r="96" spans="1:9" x14ac:dyDescent="0.3">
      <c r="A96" s="1"/>
      <c r="B96" s="1"/>
      <c r="C96" s="1"/>
      <c r="D96" s="1"/>
      <c r="E96" s="1"/>
      <c r="F96" s="2"/>
      <c r="G96" s="2"/>
      <c r="H96" s="2"/>
      <c r="I96" s="2"/>
    </row>
    <row r="97" spans="1:9" x14ac:dyDescent="0.3">
      <c r="A97" s="1"/>
      <c r="B97" s="1"/>
      <c r="C97" s="1"/>
      <c r="D97" s="1"/>
      <c r="E97" s="1"/>
      <c r="F97" s="2"/>
      <c r="G97" s="2"/>
      <c r="H97" s="2"/>
      <c r="I97" s="2"/>
    </row>
    <row r="105" spans="1:9" ht="18" x14ac:dyDescent="0.35">
      <c r="A105" s="282"/>
      <c r="B105" s="283"/>
      <c r="C105" s="283"/>
      <c r="D105" s="283"/>
      <c r="E105" s="283"/>
      <c r="F105" s="283"/>
      <c r="G105" s="283"/>
    </row>
    <row r="106" spans="1:9" x14ac:dyDescent="0.3">
      <c r="A106" s="1"/>
      <c r="B106" s="1"/>
      <c r="C106" s="1"/>
      <c r="D106" s="1"/>
      <c r="E106" s="1"/>
      <c r="F106" s="1"/>
      <c r="G106" s="1"/>
    </row>
    <row r="107" spans="1:9" ht="18" x14ac:dyDescent="0.35">
      <c r="A107" s="279"/>
      <c r="B107" s="280"/>
      <c r="C107" s="22"/>
      <c r="D107" s="22"/>
      <c r="E107" s="22"/>
      <c r="F107" s="22"/>
      <c r="G107" s="22"/>
    </row>
    <row r="108" spans="1:9" x14ac:dyDescent="0.3">
      <c r="A108" s="127"/>
      <c r="B108" s="1"/>
      <c r="C108" s="1"/>
      <c r="D108" s="1"/>
      <c r="E108" s="1"/>
      <c r="F108" s="1"/>
      <c r="G108" s="1"/>
    </row>
    <row r="109" spans="1:9" x14ac:dyDescent="0.3">
      <c r="A109" s="1"/>
      <c r="B109" s="281"/>
      <c r="C109" s="1"/>
      <c r="D109" s="1"/>
      <c r="E109" s="1"/>
      <c r="F109" s="1"/>
      <c r="G109" s="1"/>
    </row>
    <row r="110" spans="1:9" x14ac:dyDescent="0.3">
      <c r="A110" s="1"/>
      <c r="B110" s="1"/>
      <c r="C110" s="1"/>
      <c r="D110" s="1"/>
      <c r="E110" s="1"/>
      <c r="F110" s="1"/>
      <c r="G110" s="1"/>
    </row>
    <row r="111" spans="1:9" x14ac:dyDescent="0.3">
      <c r="A111" s="127"/>
      <c r="B111" s="1"/>
      <c r="C111" s="1"/>
      <c r="D111" s="1"/>
      <c r="E111" s="1"/>
      <c r="F111" s="1"/>
      <c r="G111" s="1"/>
    </row>
    <row r="112" spans="1:9" x14ac:dyDescent="0.3">
      <c r="A112" s="1"/>
      <c r="B112" s="281"/>
      <c r="C112" s="1"/>
      <c r="D112" s="1"/>
      <c r="E112" s="1"/>
      <c r="F112" s="1"/>
      <c r="G112" s="1"/>
    </row>
    <row r="113" spans="1:7" x14ac:dyDescent="0.3">
      <c r="A113" s="1"/>
      <c r="B113" s="1"/>
      <c r="C113" s="1"/>
      <c r="D113" s="1"/>
      <c r="E113" s="1"/>
      <c r="F113" s="1"/>
      <c r="G113" s="1"/>
    </row>
    <row r="114" spans="1:7" x14ac:dyDescent="0.3">
      <c r="A114" s="284"/>
      <c r="B114" s="1"/>
      <c r="C114" s="1"/>
      <c r="D114" s="1"/>
      <c r="E114" s="1"/>
      <c r="F114" s="1"/>
      <c r="G114" s="1"/>
    </row>
    <row r="115" spans="1:7" x14ac:dyDescent="0.3">
      <c r="A115" s="284"/>
      <c r="B115" s="281"/>
      <c r="C115" s="1"/>
      <c r="D115" s="1"/>
      <c r="E115" s="1"/>
      <c r="F115" s="1"/>
      <c r="G115" s="1"/>
    </row>
    <row r="116" spans="1:7" x14ac:dyDescent="0.3">
      <c r="A116" s="127"/>
      <c r="B116" s="1"/>
      <c r="C116" s="1"/>
      <c r="D116" s="1"/>
      <c r="E116" s="1"/>
      <c r="F116" s="1"/>
      <c r="G116" s="1"/>
    </row>
    <row r="117" spans="1:7" x14ac:dyDescent="0.3">
      <c r="A117" s="127"/>
      <c r="B117" s="1"/>
      <c r="C117" s="1"/>
      <c r="D117" s="1"/>
      <c r="E117" s="1"/>
      <c r="F117" s="1"/>
      <c r="G117" s="1"/>
    </row>
    <row r="118" spans="1:7" x14ac:dyDescent="0.3">
      <c r="A118" s="127"/>
      <c r="B118" s="1"/>
      <c r="C118" s="1"/>
      <c r="D118" s="1"/>
      <c r="E118" s="1"/>
      <c r="F118" s="1"/>
      <c r="G118" s="1"/>
    </row>
    <row r="119" spans="1:7" x14ac:dyDescent="0.3">
      <c r="A119" s="127"/>
      <c r="B119" s="1"/>
      <c r="C119" s="1"/>
      <c r="D119" s="1"/>
      <c r="E119" s="1"/>
      <c r="F119" s="1"/>
      <c r="G119" s="1"/>
    </row>
  </sheetData>
  <mergeCells count="2">
    <mergeCell ref="A105:G105"/>
    <mergeCell ref="A1:F1"/>
  </mergeCells>
  <pageMargins left="0.7" right="0.7" top="0.75" bottom="0.75" header="0.3" footer="0.3"/>
  <pageSetup paperSize="9" orientation="portrait" horizontalDpi="0"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372618-CC6C-4EA7-A7A1-B3CBE15674E2}">
  <dimension ref="A1:X119"/>
  <sheetViews>
    <sheetView tabSelected="1" topLeftCell="A74" workbookViewId="0">
      <selection activeCell="K45" sqref="K45"/>
    </sheetView>
  </sheetViews>
  <sheetFormatPr defaultRowHeight="14.4" x14ac:dyDescent="0.3"/>
  <cols>
    <col min="1" max="1" width="26.88671875" customWidth="1"/>
    <col min="2" max="2" width="0" hidden="1" customWidth="1"/>
    <col min="3" max="3" width="10.5546875" bestFit="1" customWidth="1"/>
    <col min="5" max="6" width="10.88671875" customWidth="1"/>
    <col min="7" max="7" width="17.6640625" customWidth="1"/>
    <col min="8" max="8" width="18.44140625" customWidth="1"/>
    <col min="9" max="9" width="12.88671875" customWidth="1"/>
    <col min="10" max="11" width="10.5546875" bestFit="1" customWidth="1"/>
    <col min="18" max="18" width="8.77734375" customWidth="1"/>
    <col min="19" max="19" width="12.77734375" customWidth="1"/>
    <col min="20" max="20" width="13" customWidth="1"/>
  </cols>
  <sheetData>
    <row r="1" spans="1:9" ht="18" customHeight="1" thickBot="1" x14ac:dyDescent="0.4">
      <c r="A1" s="57" t="s">
        <v>149</v>
      </c>
      <c r="B1" s="55"/>
      <c r="C1" s="55"/>
      <c r="D1" s="55"/>
      <c r="E1" s="56"/>
      <c r="F1" s="1"/>
    </row>
    <row r="2" spans="1:9" ht="18" customHeight="1" thickBot="1" x14ac:dyDescent="0.4">
      <c r="A2" s="58"/>
      <c r="B2" s="1"/>
      <c r="C2" s="1"/>
      <c r="D2" s="1"/>
      <c r="E2" s="1"/>
      <c r="F2" s="1"/>
      <c r="G2" s="53" t="s">
        <v>55</v>
      </c>
      <c r="H2" s="8"/>
      <c r="I2" s="9"/>
    </row>
    <row r="3" spans="1:9" ht="15" thickBot="1" x14ac:dyDescent="0.35">
      <c r="C3" s="131">
        <v>43830</v>
      </c>
      <c r="E3" s="131">
        <v>43465</v>
      </c>
      <c r="F3" s="22"/>
      <c r="G3" s="133">
        <v>43100</v>
      </c>
      <c r="H3" s="132">
        <v>42735</v>
      </c>
      <c r="I3" s="52">
        <v>42369</v>
      </c>
    </row>
    <row r="4" spans="1:9" x14ac:dyDescent="0.3">
      <c r="A4" s="38" t="s">
        <v>31</v>
      </c>
      <c r="B4" s="39"/>
      <c r="C4" s="134"/>
      <c r="E4" s="74"/>
      <c r="F4" s="109"/>
      <c r="G4" s="74"/>
      <c r="H4" s="74"/>
      <c r="I4" s="82"/>
    </row>
    <row r="5" spans="1:9" hidden="1" x14ac:dyDescent="0.3">
      <c r="A5" s="6" t="s">
        <v>56</v>
      </c>
      <c r="B5" s="6" t="s">
        <v>116</v>
      </c>
      <c r="C5" s="6">
        <v>6046</v>
      </c>
      <c r="E5" s="6">
        <v>5268</v>
      </c>
      <c r="F5" s="4"/>
      <c r="G5" s="6">
        <v>4633</v>
      </c>
      <c r="H5" s="6">
        <v>3734</v>
      </c>
      <c r="I5" s="83">
        <v>3947</v>
      </c>
    </row>
    <row r="6" spans="1:9" hidden="1" x14ac:dyDescent="0.3">
      <c r="A6" s="6" t="s">
        <v>63</v>
      </c>
      <c r="B6" s="6" t="s">
        <v>117</v>
      </c>
      <c r="C6" s="6">
        <v>1076</v>
      </c>
      <c r="E6" s="6">
        <v>1003</v>
      </c>
      <c r="F6" s="4"/>
      <c r="G6" s="6">
        <v>957</v>
      </c>
      <c r="H6" s="6">
        <v>847</v>
      </c>
      <c r="I6" s="83">
        <v>785</v>
      </c>
    </row>
    <row r="7" spans="1:9" x14ac:dyDescent="0.3">
      <c r="A7" s="18" t="s">
        <v>64</v>
      </c>
      <c r="B7" s="6" t="s">
        <v>118</v>
      </c>
      <c r="C7" s="18">
        <f>SUM(C5:C6)</f>
        <v>7122</v>
      </c>
      <c r="E7" s="18">
        <f t="shared" ref="E7:I7" si="0">SUM(E5:E6)</f>
        <v>6271</v>
      </c>
      <c r="F7" s="49"/>
      <c r="G7" s="18">
        <f t="shared" si="0"/>
        <v>5590</v>
      </c>
      <c r="H7" s="18">
        <f t="shared" si="0"/>
        <v>4581</v>
      </c>
      <c r="I7" s="18">
        <f t="shared" si="0"/>
        <v>4732</v>
      </c>
    </row>
    <row r="8" spans="1:9" x14ac:dyDescent="0.3">
      <c r="A8" s="6" t="s">
        <v>65</v>
      </c>
      <c r="B8" s="6" t="s">
        <v>1</v>
      </c>
      <c r="C8" s="6">
        <v>202</v>
      </c>
      <c r="E8" s="6">
        <v>223</v>
      </c>
      <c r="F8" s="4"/>
      <c r="G8" s="6">
        <v>206</v>
      </c>
      <c r="H8" s="6">
        <v>279</v>
      </c>
      <c r="I8" s="83">
        <v>189</v>
      </c>
    </row>
    <row r="9" spans="1:9" x14ac:dyDescent="0.3">
      <c r="A9" s="38" t="s">
        <v>32</v>
      </c>
      <c r="B9" s="39" t="s">
        <v>2</v>
      </c>
      <c r="C9" s="38">
        <f>SUM(C7:C8)</f>
        <v>7324</v>
      </c>
      <c r="E9" s="38">
        <f>SUM(E7:E8)</f>
        <v>6494</v>
      </c>
      <c r="F9" s="7"/>
      <c r="G9" s="38">
        <f t="shared" ref="G9:I9" si="1">SUM(G7:G8)</f>
        <v>5796</v>
      </c>
      <c r="H9" s="38">
        <f t="shared" si="1"/>
        <v>4860</v>
      </c>
      <c r="I9" s="38">
        <f t="shared" si="1"/>
        <v>4921</v>
      </c>
    </row>
    <row r="10" spans="1:9" x14ac:dyDescent="0.3">
      <c r="A10" s="7" t="s">
        <v>201</v>
      </c>
      <c r="B10" s="4"/>
      <c r="C10" s="7">
        <f>SUM(C9,-E9)/E9</f>
        <v>0.12781028641823222</v>
      </c>
      <c r="D10" s="3"/>
      <c r="E10" s="7"/>
      <c r="F10" s="7"/>
      <c r="G10" s="6"/>
      <c r="H10" s="6"/>
      <c r="I10" s="83"/>
    </row>
    <row r="11" spans="1:9" x14ac:dyDescent="0.3">
      <c r="A11" s="13"/>
      <c r="B11" s="6"/>
      <c r="C11" s="13"/>
      <c r="E11" s="13"/>
      <c r="F11" s="7"/>
      <c r="G11" s="6"/>
      <c r="H11" s="6"/>
      <c r="I11" s="83"/>
    </row>
    <row r="12" spans="1:9" x14ac:dyDescent="0.3">
      <c r="A12" s="40" t="s">
        <v>66</v>
      </c>
      <c r="B12" s="41" t="s">
        <v>3</v>
      </c>
      <c r="C12" s="6"/>
      <c r="E12" s="6"/>
      <c r="F12" s="4"/>
      <c r="G12" s="6">
        <v>2831</v>
      </c>
      <c r="H12" s="6">
        <v>2101</v>
      </c>
      <c r="I12" s="83">
        <v>2286</v>
      </c>
    </row>
    <row r="13" spans="1:9" hidden="1" x14ac:dyDescent="0.3">
      <c r="A13" s="6" t="s">
        <v>67</v>
      </c>
      <c r="B13" s="6" t="s">
        <v>119</v>
      </c>
      <c r="C13" s="6">
        <v>4004</v>
      </c>
      <c r="E13" s="6">
        <v>3346</v>
      </c>
      <c r="F13" s="4"/>
      <c r="G13" s="6">
        <v>2831</v>
      </c>
      <c r="H13" s="6">
        <v>2101</v>
      </c>
      <c r="I13" s="83">
        <v>2286</v>
      </c>
    </row>
    <row r="14" spans="1:9" hidden="1" x14ac:dyDescent="0.3">
      <c r="A14" s="6" t="s">
        <v>68</v>
      </c>
      <c r="B14" s="6" t="s">
        <v>120</v>
      </c>
      <c r="C14" s="6">
        <v>1152</v>
      </c>
      <c r="E14" s="6">
        <v>986</v>
      </c>
      <c r="F14" s="4"/>
      <c r="G14" s="6">
        <v>850</v>
      </c>
      <c r="H14" s="6">
        <v>758</v>
      </c>
      <c r="I14" s="83">
        <v>706</v>
      </c>
    </row>
    <row r="15" spans="1:9" x14ac:dyDescent="0.3">
      <c r="A15" s="18" t="s">
        <v>69</v>
      </c>
      <c r="B15" s="6" t="s">
        <v>121</v>
      </c>
      <c r="C15" s="18">
        <f>SUM(C13:C14)</f>
        <v>5156</v>
      </c>
      <c r="E15" s="18">
        <f t="shared" ref="E15" si="2">SUM(E13:E14)</f>
        <v>4332</v>
      </c>
      <c r="F15" s="49"/>
      <c r="G15" s="18">
        <f t="shared" ref="G15:I15" si="3">SUM(G13:G14)</f>
        <v>3681</v>
      </c>
      <c r="H15" s="18">
        <f t="shared" si="3"/>
        <v>2859</v>
      </c>
      <c r="I15" s="18">
        <f t="shared" si="3"/>
        <v>2992</v>
      </c>
    </row>
    <row r="16" spans="1:9" x14ac:dyDescent="0.3">
      <c r="A16" s="6" t="s">
        <v>33</v>
      </c>
      <c r="B16" s="6" t="s">
        <v>4</v>
      </c>
      <c r="C16" s="6">
        <v>234</v>
      </c>
      <c r="E16" s="6">
        <v>266</v>
      </c>
      <c r="F16" s="4"/>
      <c r="G16" s="6">
        <v>281</v>
      </c>
      <c r="H16" s="6">
        <v>243</v>
      </c>
      <c r="I16" s="83">
        <v>252</v>
      </c>
    </row>
    <row r="17" spans="1:9" x14ac:dyDescent="0.3">
      <c r="A17" s="40" t="s">
        <v>34</v>
      </c>
      <c r="B17" s="41" t="s">
        <v>5</v>
      </c>
      <c r="C17" s="40">
        <f>SUM(C15:C16)</f>
        <v>5390</v>
      </c>
      <c r="E17" s="40">
        <f t="shared" ref="E17" si="4">SUM(E15:E16)</f>
        <v>4598</v>
      </c>
      <c r="F17" s="7"/>
      <c r="G17" s="40">
        <f t="shared" ref="G17:I17" si="5">SUM(G15:G16)</f>
        <v>3962</v>
      </c>
      <c r="H17" s="40">
        <f t="shared" si="5"/>
        <v>3102</v>
      </c>
      <c r="I17" s="40">
        <f t="shared" si="5"/>
        <v>3244</v>
      </c>
    </row>
    <row r="18" spans="1:9" x14ac:dyDescent="0.3">
      <c r="A18" s="42" t="s">
        <v>70</v>
      </c>
      <c r="B18" s="43" t="s">
        <v>6</v>
      </c>
      <c r="C18" s="6"/>
      <c r="E18" s="6"/>
      <c r="F18" s="4"/>
      <c r="G18" s="6"/>
      <c r="H18" s="6"/>
      <c r="I18" s="83"/>
    </row>
    <row r="19" spans="1:9" hidden="1" x14ac:dyDescent="0.3">
      <c r="A19" s="16" t="s">
        <v>71</v>
      </c>
      <c r="B19" s="6" t="s">
        <v>122</v>
      </c>
      <c r="C19" s="6">
        <v>527</v>
      </c>
      <c r="E19" s="6">
        <v>494</v>
      </c>
      <c r="F19" s="4"/>
      <c r="G19" s="6">
        <v>471</v>
      </c>
      <c r="H19" s="6">
        <v>433</v>
      </c>
      <c r="I19" s="83">
        <v>441</v>
      </c>
    </row>
    <row r="20" spans="1:9" hidden="1" x14ac:dyDescent="0.3">
      <c r="A20" s="16" t="s">
        <v>72</v>
      </c>
      <c r="B20" s="6" t="s">
        <v>123</v>
      </c>
      <c r="C20" s="6">
        <v>179</v>
      </c>
      <c r="E20" s="6">
        <v>173</v>
      </c>
      <c r="F20" s="4"/>
      <c r="G20" s="6">
        <v>160</v>
      </c>
      <c r="H20" s="6">
        <v>146</v>
      </c>
      <c r="I20" s="83">
        <v>163</v>
      </c>
    </row>
    <row r="21" spans="1:9" hidden="1" x14ac:dyDescent="0.3">
      <c r="A21" s="16" t="s">
        <v>73</v>
      </c>
      <c r="B21" s="6" t="s">
        <v>73</v>
      </c>
      <c r="C21" s="6">
        <v>31</v>
      </c>
      <c r="E21" s="6">
        <v>31</v>
      </c>
      <c r="F21" s="4"/>
      <c r="G21" s="6">
        <v>29</v>
      </c>
      <c r="H21" s="6">
        <v>26</v>
      </c>
      <c r="I21" s="83">
        <v>25</v>
      </c>
    </row>
    <row r="22" spans="1:9" hidden="1" x14ac:dyDescent="0.3">
      <c r="A22" s="16" t="s">
        <v>74</v>
      </c>
      <c r="B22" s="6" t="s">
        <v>124</v>
      </c>
      <c r="C22" s="6">
        <v>42</v>
      </c>
      <c r="E22" s="6">
        <v>33</v>
      </c>
      <c r="F22" s="4"/>
      <c r="G22" s="6">
        <v>27</v>
      </c>
      <c r="H22" s="6">
        <v>36</v>
      </c>
      <c r="I22" s="83">
        <v>27</v>
      </c>
    </row>
    <row r="23" spans="1:9" x14ac:dyDescent="0.3">
      <c r="A23" s="18" t="s">
        <v>75</v>
      </c>
      <c r="B23" s="6" t="s">
        <v>125</v>
      </c>
      <c r="C23" s="18">
        <f>SUM(C19:C22)</f>
        <v>779</v>
      </c>
      <c r="E23" s="18">
        <f t="shared" ref="E23" si="6">SUM(E19:E22)</f>
        <v>731</v>
      </c>
      <c r="F23" s="49"/>
      <c r="G23" s="18">
        <f t="shared" ref="G23:I23" si="7">SUM(G19:G22)</f>
        <v>687</v>
      </c>
      <c r="H23" s="18">
        <f t="shared" si="7"/>
        <v>641</v>
      </c>
      <c r="I23" s="18">
        <f t="shared" si="7"/>
        <v>656</v>
      </c>
    </row>
    <row r="24" spans="1:9" x14ac:dyDescent="0.3">
      <c r="A24" s="16" t="s">
        <v>76</v>
      </c>
      <c r="B24" s="6" t="s">
        <v>126</v>
      </c>
      <c r="C24" s="6">
        <v>-79</v>
      </c>
      <c r="E24" s="6">
        <v>-66</v>
      </c>
      <c r="F24" s="4"/>
      <c r="G24" s="6">
        <v>-52</v>
      </c>
      <c r="H24" s="6">
        <v>-45</v>
      </c>
      <c r="I24" s="83">
        <v>-27</v>
      </c>
    </row>
    <row r="25" spans="1:9" x14ac:dyDescent="0.3">
      <c r="A25" s="42" t="s">
        <v>77</v>
      </c>
      <c r="B25" s="43" t="s">
        <v>125</v>
      </c>
      <c r="C25" s="43">
        <f>SUM(C23:C24)</f>
        <v>700</v>
      </c>
      <c r="E25" s="43">
        <f t="shared" ref="E25" si="8">SUM(E23:E24)</f>
        <v>665</v>
      </c>
      <c r="F25" s="4"/>
      <c r="G25" s="43">
        <f t="shared" ref="G25:I25" si="9">SUM(G23:G24)</f>
        <v>635</v>
      </c>
      <c r="H25" s="43">
        <f t="shared" si="9"/>
        <v>596</v>
      </c>
      <c r="I25" s="43">
        <f t="shared" si="9"/>
        <v>629</v>
      </c>
    </row>
    <row r="26" spans="1:9" x14ac:dyDescent="0.3">
      <c r="A26" s="13"/>
      <c r="B26" s="6"/>
      <c r="C26" s="6"/>
      <c r="E26" s="6"/>
      <c r="F26" s="4"/>
      <c r="G26" s="6"/>
      <c r="H26" s="6"/>
      <c r="I26" s="83"/>
    </row>
    <row r="27" spans="1:9" x14ac:dyDescent="0.3">
      <c r="A27" s="44" t="s">
        <v>150</v>
      </c>
      <c r="B27" s="5" t="s">
        <v>7</v>
      </c>
      <c r="C27" s="44">
        <f>SUM(C9,-C17,-C25)</f>
        <v>1234</v>
      </c>
      <c r="E27" s="44">
        <f t="shared" ref="E27:I27" si="10">SUM(E9,-E17,-E25)</f>
        <v>1231</v>
      </c>
      <c r="F27" s="7"/>
      <c r="G27" s="44">
        <f t="shared" si="10"/>
        <v>1199</v>
      </c>
      <c r="H27" s="44">
        <f t="shared" si="10"/>
        <v>1162</v>
      </c>
      <c r="I27" s="44">
        <f t="shared" si="10"/>
        <v>1048</v>
      </c>
    </row>
    <row r="28" spans="1:9" x14ac:dyDescent="0.3">
      <c r="A28" s="13" t="s">
        <v>151</v>
      </c>
      <c r="B28" s="6"/>
      <c r="C28" s="59">
        <f xml:space="preserve"> (C27/C9)</f>
        <v>0.16848716548334244</v>
      </c>
      <c r="D28" s="59"/>
      <c r="E28" s="59">
        <f xml:space="preserve"> (E27/E9)</f>
        <v>0.18955959347089621</v>
      </c>
      <c r="F28" s="59"/>
      <c r="G28" s="59">
        <f t="shared" ref="G28:I28" si="11" xml:space="preserve"> (G27/G9)</f>
        <v>0.20686680469289165</v>
      </c>
      <c r="H28" s="59">
        <f t="shared" si="11"/>
        <v>0.23909465020576132</v>
      </c>
      <c r="I28" s="59">
        <f t="shared" si="11"/>
        <v>0.21296484454379191</v>
      </c>
    </row>
    <row r="29" spans="1:9" x14ac:dyDescent="0.3">
      <c r="A29" s="40" t="s">
        <v>35</v>
      </c>
      <c r="B29" s="41" t="s">
        <v>8</v>
      </c>
      <c r="C29" s="40"/>
      <c r="E29" s="13"/>
      <c r="F29" s="7"/>
      <c r="G29" s="6">
        <v>72</v>
      </c>
      <c r="H29" s="6">
        <v>55</v>
      </c>
      <c r="I29" s="83">
        <v>54</v>
      </c>
    </row>
    <row r="30" spans="1:9" x14ac:dyDescent="0.3">
      <c r="A30" s="16" t="s">
        <v>79</v>
      </c>
      <c r="B30" s="6" t="s">
        <v>127</v>
      </c>
      <c r="C30" s="16">
        <v>123</v>
      </c>
      <c r="E30" s="16">
        <v>91</v>
      </c>
      <c r="F30" s="126"/>
      <c r="G30" s="6">
        <v>72</v>
      </c>
      <c r="H30" s="6">
        <v>55</v>
      </c>
      <c r="I30" s="83">
        <v>54</v>
      </c>
    </row>
    <row r="31" spans="1:9" x14ac:dyDescent="0.3">
      <c r="A31" s="16" t="s">
        <v>80</v>
      </c>
      <c r="B31" s="6" t="s">
        <v>128</v>
      </c>
      <c r="C31" s="16">
        <v>379</v>
      </c>
      <c r="E31" s="16">
        <v>372</v>
      </c>
      <c r="F31" s="126"/>
      <c r="G31" s="6">
        <v>338</v>
      </c>
      <c r="H31" s="6">
        <v>348</v>
      </c>
      <c r="I31" s="83">
        <v>341</v>
      </c>
    </row>
    <row r="32" spans="1:9" x14ac:dyDescent="0.3">
      <c r="A32" s="16" t="s">
        <v>81</v>
      </c>
      <c r="B32" s="6" t="s">
        <v>129</v>
      </c>
      <c r="C32" s="16">
        <v>9</v>
      </c>
      <c r="E32" s="16">
        <v>160</v>
      </c>
      <c r="F32" s="126"/>
      <c r="G32" s="6">
        <v>34</v>
      </c>
      <c r="H32" s="6">
        <v>245</v>
      </c>
      <c r="I32" s="83">
        <v>359</v>
      </c>
    </row>
    <row r="33" spans="1:9" x14ac:dyDescent="0.3">
      <c r="A33" s="49" t="s">
        <v>82</v>
      </c>
      <c r="B33" s="4" t="s">
        <v>133</v>
      </c>
      <c r="C33" s="49">
        <f>SUM(C30:C32)</f>
        <v>511</v>
      </c>
      <c r="E33" s="49">
        <f t="shared" ref="E33" si="12">SUM(E30:E32)</f>
        <v>623</v>
      </c>
      <c r="F33" s="49"/>
      <c r="G33" s="49">
        <f t="shared" ref="G33:I33" si="13">SUM(G30:G32)</f>
        <v>444</v>
      </c>
      <c r="H33" s="49">
        <f t="shared" si="13"/>
        <v>648</v>
      </c>
      <c r="I33" s="49">
        <f t="shared" si="13"/>
        <v>754</v>
      </c>
    </row>
    <row r="34" spans="1:9" x14ac:dyDescent="0.3">
      <c r="A34" s="16" t="s">
        <v>83</v>
      </c>
      <c r="B34" s="6" t="s">
        <v>131</v>
      </c>
      <c r="C34" s="16">
        <v>21</v>
      </c>
      <c r="E34" s="16">
        <v>-5</v>
      </c>
      <c r="F34" s="126"/>
      <c r="G34" s="6">
        <v>10</v>
      </c>
      <c r="H34" s="6">
        <v>50</v>
      </c>
      <c r="I34" s="83">
        <v>57</v>
      </c>
    </row>
    <row r="35" spans="1:9" x14ac:dyDescent="0.3">
      <c r="A35" s="16" t="s">
        <v>84</v>
      </c>
      <c r="B35" s="6" t="s">
        <v>132</v>
      </c>
      <c r="C35" s="16">
        <v>15</v>
      </c>
      <c r="E35" s="16">
        <v>25</v>
      </c>
      <c r="F35" s="126"/>
      <c r="G35" s="6">
        <v>35</v>
      </c>
      <c r="H35" s="6">
        <v>21</v>
      </c>
      <c r="I35" s="83">
        <v>22</v>
      </c>
    </row>
    <row r="36" spans="1:9" x14ac:dyDescent="0.3">
      <c r="A36" s="40" t="s">
        <v>85</v>
      </c>
      <c r="B36" s="41" t="s">
        <v>130</v>
      </c>
      <c r="C36" s="40">
        <f>SUM(C33:C35)</f>
        <v>547</v>
      </c>
      <c r="E36" s="40">
        <f t="shared" ref="E36:I36" si="14">SUM(E33:E35)</f>
        <v>643</v>
      </c>
      <c r="F36" s="7"/>
      <c r="G36" s="40">
        <f t="shared" si="14"/>
        <v>489</v>
      </c>
      <c r="H36" s="40">
        <f t="shared" si="14"/>
        <v>719</v>
      </c>
      <c r="I36" s="40">
        <f t="shared" si="14"/>
        <v>833</v>
      </c>
    </row>
    <row r="37" spans="1:9" x14ac:dyDescent="0.3">
      <c r="A37" s="13"/>
      <c r="B37" s="6"/>
      <c r="C37" s="13"/>
      <c r="E37" s="13"/>
      <c r="F37" s="127"/>
      <c r="G37" s="127"/>
      <c r="H37" s="1"/>
      <c r="I37" s="127"/>
    </row>
    <row r="38" spans="1:9" x14ac:dyDescent="0.3">
      <c r="A38" s="44" t="s">
        <v>154</v>
      </c>
      <c r="B38" s="5" t="s">
        <v>9</v>
      </c>
      <c r="C38" s="44">
        <f>SUM(C27,-C31,-C32,-C34,-C35)</f>
        <v>810</v>
      </c>
      <c r="D38" s="44"/>
      <c r="E38" s="44">
        <f t="shared" ref="E38:I38" si="15">SUM(E27,-E31,-E32,-E34,-E35)</f>
        <v>679</v>
      </c>
      <c r="F38" s="7"/>
      <c r="G38" s="44">
        <f t="shared" si="15"/>
        <v>782</v>
      </c>
      <c r="H38" s="44">
        <f t="shared" si="15"/>
        <v>498</v>
      </c>
      <c r="I38" s="44">
        <f t="shared" si="15"/>
        <v>269</v>
      </c>
    </row>
    <row r="39" spans="1:9" x14ac:dyDescent="0.3">
      <c r="A39" s="7" t="s">
        <v>151</v>
      </c>
      <c r="B39" s="4"/>
      <c r="C39" s="60">
        <f>(C38/C9)</f>
        <v>0.11059530311305298</v>
      </c>
      <c r="D39" s="60"/>
      <c r="E39" s="60">
        <f>(E38/E9)</f>
        <v>0.10455805358792732</v>
      </c>
      <c r="F39" s="60"/>
      <c r="G39" s="60">
        <f t="shared" ref="G39:I39" si="16">(G38/G9)</f>
        <v>0.13492063492063491</v>
      </c>
      <c r="H39" s="60">
        <f t="shared" si="16"/>
        <v>0.10246913580246914</v>
      </c>
      <c r="I39" s="60">
        <f t="shared" si="16"/>
        <v>5.4663686242633611E-2</v>
      </c>
    </row>
    <row r="40" spans="1:9" x14ac:dyDescent="0.3">
      <c r="A40" s="13"/>
      <c r="B40" s="6" t="s">
        <v>10</v>
      </c>
      <c r="C40" s="13"/>
      <c r="E40" s="13"/>
      <c r="F40" s="127"/>
      <c r="G40" s="127"/>
      <c r="H40" s="1"/>
      <c r="I40" s="127"/>
    </row>
    <row r="41" spans="1:9" x14ac:dyDescent="0.3">
      <c r="A41" s="44" t="s">
        <v>152</v>
      </c>
      <c r="B41" s="5" t="s">
        <v>9</v>
      </c>
      <c r="C41" s="61">
        <f>SUM(C38,-C30)</f>
        <v>687</v>
      </c>
      <c r="D41" s="61"/>
      <c r="E41" s="61">
        <f t="shared" ref="E41:I41" si="17">SUM(E38,-E30)</f>
        <v>588</v>
      </c>
      <c r="F41" s="128"/>
      <c r="G41" s="61">
        <f t="shared" si="17"/>
        <v>710</v>
      </c>
      <c r="H41" s="61">
        <f t="shared" si="17"/>
        <v>443</v>
      </c>
      <c r="I41" s="61">
        <f t="shared" si="17"/>
        <v>215</v>
      </c>
    </row>
    <row r="42" spans="1:9" x14ac:dyDescent="0.3">
      <c r="A42" s="7" t="s">
        <v>151</v>
      </c>
      <c r="B42" s="4"/>
      <c r="C42" s="60">
        <f>(C41/C9)</f>
        <v>9.3801201529219003E-2</v>
      </c>
      <c r="D42" s="60"/>
      <c r="E42" s="60">
        <f>(E41/E9)</f>
        <v>9.0545118570988611E-2</v>
      </c>
      <c r="F42" s="60"/>
      <c r="G42" s="60">
        <f t="shared" ref="G42:I42" si="18">(G41/G9)</f>
        <v>0.12249827467218771</v>
      </c>
      <c r="H42" s="60">
        <f t="shared" si="18"/>
        <v>9.1152263374485593E-2</v>
      </c>
      <c r="I42" s="60">
        <f t="shared" si="18"/>
        <v>4.3690306848201584E-2</v>
      </c>
    </row>
    <row r="43" spans="1:9" x14ac:dyDescent="0.3">
      <c r="A43" s="13" t="s">
        <v>59</v>
      </c>
      <c r="B43" s="6" t="s">
        <v>10</v>
      </c>
      <c r="C43" s="13">
        <v>4</v>
      </c>
      <c r="E43" s="13">
        <v>14</v>
      </c>
      <c r="F43" s="7"/>
      <c r="G43" s="6">
        <v>0</v>
      </c>
      <c r="H43" s="6">
        <v>52</v>
      </c>
      <c r="I43" s="83">
        <v>1</v>
      </c>
    </row>
    <row r="44" spans="1:9" x14ac:dyDescent="0.3">
      <c r="A44" s="13"/>
      <c r="B44" s="6"/>
      <c r="C44" s="13"/>
      <c r="E44" s="6"/>
      <c r="F44" s="4"/>
      <c r="G44" s="6"/>
      <c r="H44" s="6"/>
      <c r="I44" s="83"/>
    </row>
    <row r="45" spans="1:9" x14ac:dyDescent="0.3">
      <c r="A45" s="45" t="s">
        <v>36</v>
      </c>
      <c r="B45" s="45" t="s">
        <v>36</v>
      </c>
      <c r="C45" s="45"/>
      <c r="D45" s="45"/>
      <c r="E45" s="45"/>
      <c r="F45" s="7"/>
      <c r="G45" s="6"/>
      <c r="H45" s="6"/>
      <c r="I45" s="83"/>
    </row>
    <row r="46" spans="1:9" hidden="1" x14ac:dyDescent="0.3">
      <c r="A46" s="6" t="s">
        <v>89</v>
      </c>
      <c r="B46" s="6" t="s">
        <v>12</v>
      </c>
      <c r="C46" s="6"/>
      <c r="E46" s="6"/>
      <c r="F46" s="4"/>
      <c r="G46" s="6"/>
      <c r="H46" s="6"/>
      <c r="I46" s="83"/>
    </row>
    <row r="47" spans="1:9" hidden="1" x14ac:dyDescent="0.3">
      <c r="A47" s="6" t="s">
        <v>86</v>
      </c>
      <c r="B47" s="6"/>
      <c r="C47" s="6">
        <v>4</v>
      </c>
      <c r="E47" s="6">
        <v>0</v>
      </c>
      <c r="F47" s="4"/>
      <c r="G47" s="6"/>
      <c r="H47" s="6"/>
      <c r="I47" s="83"/>
    </row>
    <row r="48" spans="1:9" hidden="1" x14ac:dyDescent="0.3">
      <c r="A48" s="6" t="s">
        <v>87</v>
      </c>
      <c r="B48" s="6"/>
      <c r="C48" s="6">
        <v>12</v>
      </c>
      <c r="E48" s="6">
        <v>16</v>
      </c>
      <c r="F48" s="4"/>
      <c r="G48" s="6"/>
      <c r="H48" s="6"/>
      <c r="I48" s="83"/>
    </row>
    <row r="49" spans="1:24" x14ac:dyDescent="0.3">
      <c r="A49" s="18" t="s">
        <v>88</v>
      </c>
      <c r="B49" s="6"/>
      <c r="C49" s="6">
        <f>SUM(C47:C48)</f>
        <v>16</v>
      </c>
      <c r="E49" s="6">
        <f t="shared" ref="E49" si="19">SUM(E47:E48)</f>
        <v>16</v>
      </c>
      <c r="F49" s="4"/>
      <c r="G49" s="6">
        <v>19</v>
      </c>
      <c r="H49" s="6">
        <v>34</v>
      </c>
      <c r="I49" s="83">
        <v>28</v>
      </c>
    </row>
    <row r="50" spans="1:24" hidden="1" x14ac:dyDescent="0.3">
      <c r="A50" s="6" t="s">
        <v>95</v>
      </c>
      <c r="B50" s="6" t="s">
        <v>13</v>
      </c>
      <c r="C50" s="6"/>
      <c r="E50" s="6"/>
      <c r="F50" s="4"/>
      <c r="G50" s="6"/>
      <c r="H50" s="6"/>
      <c r="I50" s="83"/>
    </row>
    <row r="51" spans="1:24" hidden="1" x14ac:dyDescent="0.3">
      <c r="A51" s="6" t="s">
        <v>90</v>
      </c>
      <c r="B51" s="6" t="s">
        <v>134</v>
      </c>
      <c r="C51" s="6">
        <v>94</v>
      </c>
      <c r="E51" s="6">
        <v>102</v>
      </c>
      <c r="F51" s="4"/>
      <c r="G51" s="6">
        <v>104</v>
      </c>
      <c r="H51" s="6">
        <v>125</v>
      </c>
      <c r="I51" s="83">
        <v>125</v>
      </c>
    </row>
    <row r="52" spans="1:24" hidden="1" x14ac:dyDescent="0.3">
      <c r="A52" s="6" t="s">
        <v>91</v>
      </c>
      <c r="B52" s="6" t="s">
        <v>135</v>
      </c>
      <c r="C52" s="6">
        <v>4</v>
      </c>
      <c r="E52" s="6">
        <v>6</v>
      </c>
      <c r="F52" s="4"/>
      <c r="G52" s="6">
        <v>9</v>
      </c>
      <c r="H52" s="6">
        <v>9</v>
      </c>
      <c r="I52" s="83">
        <v>15</v>
      </c>
    </row>
    <row r="53" spans="1:24" hidden="1" x14ac:dyDescent="0.3">
      <c r="A53" s="6" t="s">
        <v>92</v>
      </c>
      <c r="B53" s="6" t="s">
        <v>136</v>
      </c>
      <c r="C53" s="6">
        <v>7</v>
      </c>
      <c r="E53" s="6">
        <v>8</v>
      </c>
      <c r="F53" s="4"/>
      <c r="G53" s="6">
        <v>8</v>
      </c>
      <c r="H53" s="6">
        <v>6</v>
      </c>
      <c r="I53" s="83">
        <v>5</v>
      </c>
    </row>
    <row r="54" spans="1:24" hidden="1" x14ac:dyDescent="0.3">
      <c r="A54" s="6" t="s">
        <v>93</v>
      </c>
      <c r="B54" s="6" t="s">
        <v>137</v>
      </c>
      <c r="C54" s="6">
        <v>1</v>
      </c>
      <c r="E54" s="6">
        <v>2</v>
      </c>
      <c r="F54" s="4"/>
      <c r="G54" s="6">
        <v>2</v>
      </c>
      <c r="H54" s="6">
        <v>1</v>
      </c>
      <c r="I54" s="83">
        <v>0</v>
      </c>
    </row>
    <row r="55" spans="1:24" hidden="1" x14ac:dyDescent="0.3">
      <c r="A55" s="6" t="s">
        <v>94</v>
      </c>
      <c r="B55" s="6" t="s">
        <v>138</v>
      </c>
      <c r="C55" s="6">
        <v>24</v>
      </c>
      <c r="E55" s="6">
        <v>14</v>
      </c>
      <c r="F55" s="4"/>
      <c r="G55" s="6">
        <v>35</v>
      </c>
      <c r="H55" s="6">
        <v>51</v>
      </c>
      <c r="I55" s="83">
        <v>17</v>
      </c>
    </row>
    <row r="56" spans="1:24" ht="15" customHeight="1" x14ac:dyDescent="0.3">
      <c r="A56" s="18" t="s">
        <v>96</v>
      </c>
      <c r="B56" s="6" t="s">
        <v>139</v>
      </c>
      <c r="C56" s="6">
        <f>SUM(C51:C55)</f>
        <v>130</v>
      </c>
      <c r="E56" s="6">
        <f t="shared" ref="E56:H56" si="20">SUM(E51:E55)</f>
        <v>132</v>
      </c>
      <c r="F56" s="4"/>
      <c r="G56" s="6">
        <f t="shared" si="20"/>
        <v>158</v>
      </c>
      <c r="H56" s="6">
        <f t="shared" si="20"/>
        <v>192</v>
      </c>
      <c r="I56" s="83">
        <v>162</v>
      </c>
    </row>
    <row r="57" spans="1:24" x14ac:dyDescent="0.3">
      <c r="A57" s="6" t="s">
        <v>97</v>
      </c>
      <c r="B57" s="6" t="s">
        <v>140</v>
      </c>
      <c r="C57" s="6">
        <v>0</v>
      </c>
      <c r="E57" s="6">
        <v>0</v>
      </c>
      <c r="F57" s="4"/>
      <c r="G57" s="6">
        <v>0</v>
      </c>
      <c r="H57" s="6">
        <v>0</v>
      </c>
      <c r="I57" s="83">
        <v>0</v>
      </c>
    </row>
    <row r="58" spans="1:24" ht="18" customHeight="1" x14ac:dyDescent="0.3">
      <c r="A58" s="18" t="s">
        <v>98</v>
      </c>
      <c r="B58" s="6" t="s">
        <v>141</v>
      </c>
      <c r="C58" s="6">
        <f>SUM(C56:C57)</f>
        <v>130</v>
      </c>
      <c r="E58" s="6">
        <f t="shared" ref="E58:I58" si="21">SUM(E56:E57)</f>
        <v>132</v>
      </c>
      <c r="F58" s="4"/>
      <c r="G58" s="6">
        <f t="shared" si="21"/>
        <v>158</v>
      </c>
      <c r="H58" s="6">
        <f t="shared" si="21"/>
        <v>192</v>
      </c>
      <c r="I58" s="6">
        <f t="shared" si="21"/>
        <v>162</v>
      </c>
    </row>
    <row r="59" spans="1:24" ht="15.6" customHeight="1" x14ac:dyDescent="0.3">
      <c r="A59" s="18" t="s">
        <v>37</v>
      </c>
      <c r="B59" s="14" t="s">
        <v>54</v>
      </c>
      <c r="C59" s="6">
        <v>4</v>
      </c>
      <c r="E59" s="6">
        <v>4</v>
      </c>
      <c r="F59" s="4"/>
      <c r="G59" s="6">
        <v>5</v>
      </c>
      <c r="H59" s="6">
        <v>-3</v>
      </c>
      <c r="I59" s="83">
        <v>-4</v>
      </c>
    </row>
    <row r="60" spans="1:24" ht="15" thickBot="1" x14ac:dyDescent="0.35">
      <c r="A60" s="6" t="s">
        <v>38</v>
      </c>
      <c r="B60" s="6" t="s">
        <v>18</v>
      </c>
      <c r="C60" s="6">
        <v>0</v>
      </c>
      <c r="E60" s="6">
        <v>0</v>
      </c>
      <c r="F60" s="4"/>
      <c r="G60" s="6">
        <v>0</v>
      </c>
      <c r="H60" s="6">
        <v>0</v>
      </c>
      <c r="I60" s="83"/>
    </row>
    <row r="61" spans="1:24" ht="15" thickBot="1" x14ac:dyDescent="0.35">
      <c r="A61" s="45" t="s">
        <v>39</v>
      </c>
      <c r="B61" s="46" t="s">
        <v>14</v>
      </c>
      <c r="C61" s="45">
        <f>SUM(C49,-C58,C59)</f>
        <v>-110</v>
      </c>
      <c r="E61" s="45">
        <f t="shared" ref="E61:I61" si="22">SUM(E49,-E58,E59)</f>
        <v>-112</v>
      </c>
      <c r="F61" s="7"/>
      <c r="G61" s="45">
        <f t="shared" si="22"/>
        <v>-134</v>
      </c>
      <c r="H61" s="45">
        <f t="shared" si="22"/>
        <v>-161</v>
      </c>
      <c r="I61" s="45">
        <f t="shared" si="22"/>
        <v>-138</v>
      </c>
      <c r="J61" s="1"/>
      <c r="K61" s="1"/>
      <c r="L61" s="1"/>
      <c r="M61" s="1"/>
      <c r="N61" s="1"/>
      <c r="O61" s="1"/>
      <c r="R61" s="19" t="s">
        <v>105</v>
      </c>
      <c r="S61" s="20"/>
      <c r="T61" s="20"/>
      <c r="U61" s="23"/>
      <c r="V61" s="23"/>
      <c r="W61" s="23"/>
      <c r="X61" s="24"/>
    </row>
    <row r="62" spans="1:24" ht="15" thickBot="1" x14ac:dyDescent="0.35">
      <c r="A62" s="13"/>
      <c r="B62" s="6"/>
      <c r="C62" s="13"/>
      <c r="E62" s="13"/>
      <c r="F62" s="7"/>
      <c r="G62" s="6"/>
      <c r="H62" s="6"/>
      <c r="I62" s="83"/>
      <c r="J62" s="1"/>
      <c r="K62" s="1"/>
      <c r="L62" s="1"/>
      <c r="M62" s="1"/>
      <c r="N62" s="1"/>
      <c r="O62" s="1"/>
      <c r="R62" s="19"/>
      <c r="S62" s="20"/>
      <c r="T62" s="20"/>
      <c r="U62" s="20"/>
      <c r="V62" s="20"/>
      <c r="W62" s="20"/>
      <c r="X62" s="21"/>
    </row>
    <row r="63" spans="1:24" x14ac:dyDescent="0.3">
      <c r="A63" s="44" t="s">
        <v>153</v>
      </c>
      <c r="B63" s="5" t="s">
        <v>15</v>
      </c>
      <c r="C63" s="44">
        <f>SUM(C41,C43,C61)</f>
        <v>581</v>
      </c>
      <c r="D63" s="44"/>
      <c r="E63" s="44">
        <f>SUM(E41,E43,E61)</f>
        <v>490</v>
      </c>
      <c r="F63" s="7"/>
      <c r="G63" s="44">
        <f t="shared" ref="G63:I63" si="23">SUM(G41,G43,G61)</f>
        <v>576</v>
      </c>
      <c r="H63" s="44">
        <f t="shared" si="23"/>
        <v>334</v>
      </c>
      <c r="I63" s="44">
        <f t="shared" si="23"/>
        <v>78</v>
      </c>
      <c r="J63" s="22"/>
      <c r="K63" s="22"/>
      <c r="L63" s="1"/>
      <c r="M63" s="1"/>
      <c r="N63" s="1"/>
      <c r="O63" s="1"/>
      <c r="R63" s="30"/>
      <c r="S63" s="31">
        <v>43830</v>
      </c>
      <c r="T63" s="32">
        <v>43465</v>
      </c>
      <c r="U63" s="25"/>
      <c r="V63" s="25"/>
      <c r="W63" s="25"/>
      <c r="X63" s="26"/>
    </row>
    <row r="64" spans="1:24" x14ac:dyDescent="0.3">
      <c r="A64" s="7" t="s">
        <v>151</v>
      </c>
      <c r="B64" s="4"/>
      <c r="C64" s="60">
        <f>(C63/C9)</f>
        <v>7.9328235936646646E-2</v>
      </c>
      <c r="D64" s="60"/>
      <c r="E64" s="60">
        <f>(E63/E9)</f>
        <v>7.5454265475823831E-2</v>
      </c>
      <c r="F64" s="60"/>
      <c r="G64" s="4"/>
      <c r="H64" s="4"/>
      <c r="I64" s="34"/>
      <c r="J64" s="1"/>
      <c r="K64" s="1"/>
      <c r="L64" s="1"/>
      <c r="M64" s="1"/>
      <c r="N64" s="1"/>
      <c r="O64" s="1"/>
      <c r="R64" s="33" t="s">
        <v>106</v>
      </c>
      <c r="S64" s="4">
        <v>581</v>
      </c>
      <c r="T64" s="34">
        <v>490</v>
      </c>
      <c r="U64" s="1"/>
      <c r="V64" s="1"/>
      <c r="W64" s="1"/>
      <c r="X64" s="27"/>
    </row>
    <row r="65" spans="1:24" x14ac:dyDescent="0.3">
      <c r="A65" s="42" t="s">
        <v>40</v>
      </c>
      <c r="B65" s="42" t="s">
        <v>40</v>
      </c>
      <c r="C65" s="42"/>
      <c r="D65" s="42"/>
      <c r="E65" s="42"/>
      <c r="F65" s="7"/>
      <c r="G65" s="42"/>
      <c r="H65" s="42"/>
      <c r="I65" s="42"/>
      <c r="J65" s="1"/>
      <c r="K65" s="1"/>
      <c r="L65" s="1"/>
      <c r="M65" s="1"/>
      <c r="N65" s="1"/>
      <c r="O65" s="1"/>
      <c r="R65" s="33" t="s">
        <v>107</v>
      </c>
      <c r="S65" s="4">
        <v>9</v>
      </c>
      <c r="T65" s="34">
        <v>160</v>
      </c>
      <c r="U65" s="1"/>
      <c r="V65" s="1"/>
      <c r="W65" s="1"/>
      <c r="X65" s="27"/>
    </row>
    <row r="66" spans="1:24" x14ac:dyDescent="0.3">
      <c r="A66" s="16" t="s">
        <v>99</v>
      </c>
      <c r="B66" s="6" t="s">
        <v>142</v>
      </c>
      <c r="C66" s="16">
        <v>147</v>
      </c>
      <c r="E66" s="16">
        <v>146</v>
      </c>
      <c r="F66" s="126"/>
      <c r="G66" s="6">
        <v>107</v>
      </c>
      <c r="H66" s="6">
        <v>138</v>
      </c>
      <c r="I66" s="83">
        <v>105</v>
      </c>
      <c r="J66" s="1"/>
      <c r="K66" s="1"/>
      <c r="L66" s="1"/>
      <c r="M66" s="1"/>
      <c r="N66" s="1"/>
      <c r="O66" s="1"/>
      <c r="R66" s="33" t="s">
        <v>108</v>
      </c>
      <c r="S66" s="4">
        <v>590</v>
      </c>
      <c r="T66" s="34">
        <v>650</v>
      </c>
      <c r="U66" s="1"/>
      <c r="V66" s="1"/>
      <c r="W66" s="1"/>
      <c r="X66" s="27"/>
    </row>
    <row r="67" spans="1:24" x14ac:dyDescent="0.3">
      <c r="A67" s="16" t="s">
        <v>100</v>
      </c>
      <c r="B67" s="6" t="s">
        <v>143</v>
      </c>
      <c r="C67" s="16">
        <v>30</v>
      </c>
      <c r="E67" s="16">
        <v>30</v>
      </c>
      <c r="F67" s="126"/>
      <c r="G67" s="6">
        <v>26</v>
      </c>
      <c r="H67" s="6">
        <v>25</v>
      </c>
      <c r="I67" s="83">
        <v>23</v>
      </c>
      <c r="J67" s="1"/>
      <c r="K67" s="1"/>
      <c r="L67" s="1"/>
      <c r="M67" s="1"/>
      <c r="N67" s="1"/>
      <c r="O67" s="1"/>
      <c r="R67" s="33" t="s">
        <v>109</v>
      </c>
      <c r="S67" s="4">
        <v>142</v>
      </c>
      <c r="T67" s="34">
        <v>156</v>
      </c>
      <c r="U67" s="1"/>
      <c r="V67" s="1"/>
      <c r="W67" s="1"/>
      <c r="X67" s="27"/>
    </row>
    <row r="68" spans="1:24" x14ac:dyDescent="0.3">
      <c r="A68" s="16" t="s">
        <v>101</v>
      </c>
      <c r="B68" s="6" t="s">
        <v>144</v>
      </c>
      <c r="C68" s="16">
        <v>5</v>
      </c>
      <c r="E68" s="16">
        <v>2</v>
      </c>
      <c r="F68" s="126"/>
      <c r="G68" s="6">
        <v>-1</v>
      </c>
      <c r="H68" s="6">
        <v>4</v>
      </c>
      <c r="I68" s="83">
        <v>-17</v>
      </c>
      <c r="J68" s="1"/>
      <c r="K68" s="1"/>
      <c r="L68" s="1"/>
      <c r="M68" s="1"/>
      <c r="N68" s="1"/>
      <c r="O68" s="1"/>
      <c r="R68" s="33" t="s">
        <v>110</v>
      </c>
      <c r="S68" s="4">
        <v>-2</v>
      </c>
      <c r="T68" s="34">
        <v>-38</v>
      </c>
      <c r="U68" s="1"/>
      <c r="V68" s="1"/>
      <c r="W68" s="1"/>
      <c r="X68" s="27"/>
    </row>
    <row r="69" spans="1:24" x14ac:dyDescent="0.3">
      <c r="A69" s="18" t="s">
        <v>104</v>
      </c>
      <c r="B69" s="6" t="s">
        <v>145</v>
      </c>
      <c r="C69" s="18">
        <f>SUM(C66:C68)</f>
        <v>182</v>
      </c>
      <c r="E69" s="18">
        <f t="shared" ref="E69:I69" si="24">SUM(E66:E68)</f>
        <v>178</v>
      </c>
      <c r="F69" s="49"/>
      <c r="G69" s="18">
        <f t="shared" si="24"/>
        <v>132</v>
      </c>
      <c r="H69" s="18">
        <f t="shared" si="24"/>
        <v>167</v>
      </c>
      <c r="I69" s="18">
        <f t="shared" si="24"/>
        <v>111</v>
      </c>
      <c r="J69" s="1"/>
      <c r="K69" s="1"/>
      <c r="L69" s="1"/>
      <c r="M69" s="1"/>
      <c r="N69" s="1"/>
      <c r="O69" s="1"/>
      <c r="R69" s="33" t="s">
        <v>111</v>
      </c>
      <c r="S69" s="4">
        <v>19</v>
      </c>
      <c r="T69" s="34">
        <v>9</v>
      </c>
      <c r="U69" s="1"/>
      <c r="V69" s="1"/>
      <c r="W69" s="1"/>
      <c r="X69" s="27"/>
    </row>
    <row r="70" spans="1:24" x14ac:dyDescent="0.3">
      <c r="A70" s="16" t="s">
        <v>30</v>
      </c>
      <c r="B70" s="6" t="s">
        <v>146</v>
      </c>
      <c r="C70" s="16">
        <v>71</v>
      </c>
      <c r="E70" s="16">
        <v>33</v>
      </c>
      <c r="F70" s="126"/>
      <c r="G70" s="6">
        <v>88</v>
      </c>
      <c r="H70" s="6">
        <v>44</v>
      </c>
      <c r="I70" s="83">
        <v>142</v>
      </c>
      <c r="J70" s="1"/>
      <c r="K70" s="1"/>
      <c r="L70" s="1"/>
      <c r="M70" s="1"/>
      <c r="N70" s="1"/>
      <c r="O70" s="1"/>
      <c r="R70" s="33" t="s">
        <v>114</v>
      </c>
      <c r="S70" s="4">
        <v>159</v>
      </c>
      <c r="T70" s="34">
        <v>127</v>
      </c>
      <c r="U70" s="1"/>
      <c r="V70" s="1"/>
      <c r="W70" s="1"/>
      <c r="X70" s="27"/>
    </row>
    <row r="71" spans="1:24" x14ac:dyDescent="0.3">
      <c r="A71" s="16" t="s">
        <v>102</v>
      </c>
      <c r="B71" s="6" t="s">
        <v>147</v>
      </c>
      <c r="C71" s="16">
        <v>-64</v>
      </c>
      <c r="E71" s="16">
        <v>-54</v>
      </c>
      <c r="F71" s="126"/>
      <c r="G71" s="6">
        <v>-28</v>
      </c>
      <c r="H71" s="6">
        <v>-89</v>
      </c>
      <c r="I71" s="83">
        <v>-120</v>
      </c>
      <c r="J71" s="1"/>
      <c r="K71" s="1"/>
      <c r="L71" s="1"/>
      <c r="M71" s="1"/>
      <c r="N71" s="1"/>
      <c r="O71" s="1"/>
      <c r="R71" s="33" t="s">
        <v>113</v>
      </c>
      <c r="S71" s="4">
        <v>30</v>
      </c>
      <c r="T71" s="34">
        <v>30</v>
      </c>
      <c r="U71" s="1"/>
      <c r="V71" s="1"/>
      <c r="W71" s="1"/>
      <c r="X71" s="27"/>
    </row>
    <row r="72" spans="1:24" ht="15" thickBot="1" x14ac:dyDescent="0.35">
      <c r="A72" s="42" t="s">
        <v>197</v>
      </c>
      <c r="B72" s="43" t="s">
        <v>148</v>
      </c>
      <c r="C72" s="42">
        <f>SUM(C69:C71)</f>
        <v>189</v>
      </c>
      <c r="E72" s="42">
        <f t="shared" ref="E72:I72" si="25">SUM(E69:E71)</f>
        <v>157</v>
      </c>
      <c r="F72" s="7"/>
      <c r="G72" s="42">
        <f t="shared" si="25"/>
        <v>192</v>
      </c>
      <c r="H72" s="42">
        <f t="shared" si="25"/>
        <v>122</v>
      </c>
      <c r="I72" s="42">
        <f t="shared" si="25"/>
        <v>133</v>
      </c>
      <c r="J72" s="1"/>
      <c r="K72" s="1"/>
      <c r="L72" s="1"/>
      <c r="M72" s="1"/>
      <c r="N72" s="1"/>
      <c r="O72" s="1"/>
      <c r="R72" s="35" t="s">
        <v>112</v>
      </c>
      <c r="S72" s="36">
        <v>189</v>
      </c>
      <c r="T72" s="37">
        <v>157</v>
      </c>
      <c r="U72" s="28"/>
      <c r="V72" s="28"/>
      <c r="W72" s="28"/>
      <c r="X72" s="29"/>
    </row>
    <row r="73" spans="1:24" x14ac:dyDescent="0.3">
      <c r="A73" s="44" t="s">
        <v>41</v>
      </c>
      <c r="B73" s="5" t="s">
        <v>17</v>
      </c>
      <c r="C73" s="44">
        <f>SUM(C63,-C72)</f>
        <v>392</v>
      </c>
      <c r="D73" s="44"/>
      <c r="E73" s="44">
        <f t="shared" ref="E73:I73" si="26">SUM(E63,-E72)</f>
        <v>333</v>
      </c>
      <c r="F73" s="7"/>
      <c r="G73" s="44">
        <f t="shared" si="26"/>
        <v>384</v>
      </c>
      <c r="H73" s="44">
        <f t="shared" si="26"/>
        <v>212</v>
      </c>
      <c r="I73" s="44">
        <f t="shared" si="26"/>
        <v>-55</v>
      </c>
    </row>
    <row r="74" spans="1:24" x14ac:dyDescent="0.3">
      <c r="A74" s="13" t="s">
        <v>42</v>
      </c>
      <c r="B74" s="6" t="s">
        <v>19</v>
      </c>
      <c r="C74" s="13">
        <v>1</v>
      </c>
      <c r="E74" s="13">
        <v>21</v>
      </c>
      <c r="F74" s="7"/>
      <c r="G74" s="6">
        <v>-85</v>
      </c>
      <c r="H74" s="6">
        <v>19</v>
      </c>
      <c r="I74" s="83">
        <v>0</v>
      </c>
    </row>
    <row r="75" spans="1:24" x14ac:dyDescent="0.3">
      <c r="A75" s="13"/>
      <c r="B75" s="6"/>
      <c r="C75" s="13"/>
      <c r="E75" s="13"/>
      <c r="F75" s="7"/>
      <c r="G75" s="6"/>
      <c r="H75" s="6"/>
      <c r="I75" s="83"/>
    </row>
    <row r="76" spans="1:24" x14ac:dyDescent="0.3">
      <c r="A76" s="47" t="s">
        <v>43</v>
      </c>
      <c r="B76" s="48" t="s">
        <v>20</v>
      </c>
      <c r="C76" s="47">
        <f>SUM(C73:C74)</f>
        <v>393</v>
      </c>
      <c r="D76" s="47"/>
      <c r="E76" s="47">
        <f t="shared" ref="E76" si="27">SUM(E73:E74)</f>
        <v>354</v>
      </c>
      <c r="F76" s="7"/>
      <c r="G76" s="47">
        <f t="shared" ref="G76:I76" si="28">SUM(G73:G74)</f>
        <v>299</v>
      </c>
      <c r="H76" s="47">
        <f t="shared" si="28"/>
        <v>231</v>
      </c>
      <c r="I76" s="47">
        <f t="shared" si="28"/>
        <v>-55</v>
      </c>
    </row>
    <row r="77" spans="1:24" x14ac:dyDescent="0.3">
      <c r="A77" s="13" t="s">
        <v>44</v>
      </c>
      <c r="B77" s="6" t="s">
        <v>21</v>
      </c>
      <c r="C77" s="13">
        <v>-4</v>
      </c>
      <c r="E77">
        <v>-10</v>
      </c>
      <c r="F77" s="3"/>
      <c r="G77" s="6">
        <v>-6</v>
      </c>
      <c r="H77" s="6">
        <v>1</v>
      </c>
      <c r="I77" s="83">
        <v>130</v>
      </c>
    </row>
    <row r="78" spans="1:24" x14ac:dyDescent="0.3">
      <c r="A78" s="13"/>
      <c r="B78" s="6"/>
      <c r="C78" s="13"/>
      <c r="F78" s="3"/>
      <c r="G78" s="6"/>
      <c r="H78" s="6"/>
      <c r="I78" s="83"/>
    </row>
    <row r="79" spans="1:24" ht="15" thickBot="1" x14ac:dyDescent="0.35">
      <c r="A79" s="44" t="s">
        <v>45</v>
      </c>
      <c r="B79" s="5" t="s">
        <v>22</v>
      </c>
      <c r="C79" s="44">
        <f>SUM(C76:C77)</f>
        <v>389</v>
      </c>
      <c r="D79" s="44"/>
      <c r="E79" s="44">
        <f t="shared" ref="E79" si="29">SUM(E76:E77)</f>
        <v>344</v>
      </c>
      <c r="F79" s="130"/>
      <c r="G79" s="96">
        <v>293</v>
      </c>
      <c r="H79" s="96">
        <v>232</v>
      </c>
      <c r="I79" s="99">
        <v>73</v>
      </c>
    </row>
    <row r="80" spans="1:24" x14ac:dyDescent="0.3">
      <c r="A80" s="13" t="s">
        <v>196</v>
      </c>
      <c r="B80" s="67"/>
      <c r="C80" s="125">
        <f>(C79/C9)</f>
        <v>5.3113052976515564E-2</v>
      </c>
      <c r="D80" s="125"/>
      <c r="E80" s="125">
        <f>(E79/E9)</f>
        <v>5.2971974129966119E-2</v>
      </c>
      <c r="F80" s="125"/>
      <c r="G80" s="125">
        <f t="shared" ref="G80:I80" si="30">(G79/G9)</f>
        <v>5.0552104899930984E-2</v>
      </c>
      <c r="H80" s="125">
        <f t="shared" si="30"/>
        <v>4.7736625514403296E-2</v>
      </c>
      <c r="I80" s="125">
        <f t="shared" si="30"/>
        <v>1.4834383255435887E-2</v>
      </c>
    </row>
    <row r="81" spans="1:9" x14ac:dyDescent="0.3">
      <c r="A81" s="67" t="s">
        <v>198</v>
      </c>
      <c r="B81" s="67"/>
      <c r="C81" s="116">
        <v>240.96199999999999</v>
      </c>
      <c r="D81" s="116"/>
      <c r="E81" s="116">
        <v>217.643</v>
      </c>
      <c r="F81" s="129"/>
      <c r="G81" s="1">
        <v>179.71100000000001</v>
      </c>
      <c r="H81" s="129">
        <v>152.97200000000001</v>
      </c>
      <c r="I81" s="129">
        <v>127.346</v>
      </c>
    </row>
    <row r="82" spans="1:9" x14ac:dyDescent="0.3">
      <c r="A82" s="67" t="s">
        <v>199</v>
      </c>
      <c r="B82" s="67"/>
      <c r="C82" s="117">
        <f>(C81/C79)</f>
        <v>0.619439588688946</v>
      </c>
      <c r="D82" s="117"/>
      <c r="E82" s="117">
        <f t="shared" ref="E82" si="31">(E81/E79)</f>
        <v>0.63268313953488375</v>
      </c>
      <c r="F82" s="117"/>
      <c r="G82" s="117">
        <f t="shared" ref="G82" si="32">(G81/G79)</f>
        <v>0.61334812286689422</v>
      </c>
      <c r="H82" s="117">
        <f t="shared" ref="H82" si="33">(H81/H79)</f>
        <v>0.6593620689655173</v>
      </c>
      <c r="I82" s="117">
        <f t="shared" ref="I82" si="34">(I81/I79)</f>
        <v>1.7444657534246575</v>
      </c>
    </row>
    <row r="83" spans="1:9" ht="15" thickBot="1" x14ac:dyDescent="0.35">
      <c r="A83" t="s">
        <v>200</v>
      </c>
      <c r="C83" s="118">
        <f>SUM(1,-C82)</f>
        <v>0.380560411311054</v>
      </c>
      <c r="D83" s="118"/>
      <c r="E83" s="118">
        <f t="shared" ref="E83" si="35">SUM(1,-E82)</f>
        <v>0.36731686046511625</v>
      </c>
      <c r="F83" s="118"/>
      <c r="G83" s="118">
        <f t="shared" ref="G83" si="36">SUM(1,-G82)</f>
        <v>0.38665187713310578</v>
      </c>
      <c r="H83" s="118">
        <f t="shared" ref="H83" si="37">SUM(1,-H82)</f>
        <v>0.3406379310344827</v>
      </c>
      <c r="I83" s="118">
        <f t="shared" ref="I83" si="38">SUM(1,-I82)</f>
        <v>-0.74446575342465748</v>
      </c>
    </row>
    <row r="85" spans="1:9" ht="15" thickBot="1" x14ac:dyDescent="0.35"/>
    <row r="86" spans="1:9" ht="15" thickBot="1" x14ac:dyDescent="0.35">
      <c r="A86" s="122" t="s">
        <v>165</v>
      </c>
    </row>
    <row r="87" spans="1:9" ht="15" thickBot="1" x14ac:dyDescent="0.35"/>
    <row r="88" spans="1:9" x14ac:dyDescent="0.3">
      <c r="A88" s="19" t="s">
        <v>166</v>
      </c>
      <c r="B88" s="20"/>
      <c r="C88" s="20">
        <v>2018</v>
      </c>
      <c r="D88" s="20"/>
      <c r="E88" s="21">
        <v>2023</v>
      </c>
      <c r="F88" s="192" t="s">
        <v>228</v>
      </c>
    </row>
    <row r="89" spans="1:9" x14ac:dyDescent="0.3">
      <c r="A89" s="120" t="s">
        <v>167</v>
      </c>
      <c r="B89" s="2"/>
      <c r="C89" s="2">
        <v>359</v>
      </c>
      <c r="D89" s="2"/>
      <c r="E89" s="64">
        <v>323</v>
      </c>
      <c r="F89" s="190"/>
    </row>
    <row r="90" spans="1:9" x14ac:dyDescent="0.3">
      <c r="A90" s="120" t="s">
        <v>168</v>
      </c>
      <c r="B90" s="2"/>
      <c r="C90" s="2">
        <v>187</v>
      </c>
      <c r="D90" s="2"/>
      <c r="E90" s="64">
        <v>323</v>
      </c>
      <c r="F90" s="190"/>
    </row>
    <row r="91" spans="1:9" x14ac:dyDescent="0.3">
      <c r="A91" s="120" t="s">
        <v>169</v>
      </c>
      <c r="B91" s="2"/>
      <c r="C91" s="2">
        <v>269</v>
      </c>
      <c r="D91" s="2"/>
      <c r="E91" s="64">
        <v>381</v>
      </c>
      <c r="F91" s="190"/>
    </row>
    <row r="92" spans="1:9" x14ac:dyDescent="0.3">
      <c r="A92" s="120" t="s">
        <v>170</v>
      </c>
      <c r="B92" s="2"/>
      <c r="C92" s="2">
        <v>406</v>
      </c>
      <c r="D92" s="2"/>
      <c r="E92" s="64">
        <v>518</v>
      </c>
      <c r="F92" s="190"/>
    </row>
    <row r="93" spans="1:9" x14ac:dyDescent="0.3">
      <c r="A93" s="120" t="s">
        <v>171</v>
      </c>
      <c r="B93" s="2"/>
      <c r="C93" s="2">
        <v>-29</v>
      </c>
      <c r="D93" s="2"/>
      <c r="E93" s="64">
        <v>-14</v>
      </c>
      <c r="F93" s="190"/>
    </row>
    <row r="94" spans="1:9" ht="15" thickBot="1" x14ac:dyDescent="0.35">
      <c r="A94" s="121" t="s">
        <v>172</v>
      </c>
      <c r="B94" s="65"/>
      <c r="C94" s="65">
        <f>SUM(C89:C93)</f>
        <v>1192</v>
      </c>
      <c r="D94" s="65"/>
      <c r="E94" s="66">
        <f>SUM(E89:E93)</f>
        <v>1531</v>
      </c>
      <c r="F94" s="191">
        <f>(E94-C94)/C94</f>
        <v>0.28439597315436244</v>
      </c>
      <c r="G94" s="189"/>
    </row>
    <row r="95" spans="1:9" ht="15" thickBot="1" x14ac:dyDescent="0.35"/>
    <row r="96" spans="1:9" x14ac:dyDescent="0.3">
      <c r="A96" s="19" t="s">
        <v>182</v>
      </c>
      <c r="B96" s="20"/>
      <c r="C96" s="20" t="s">
        <v>173</v>
      </c>
      <c r="D96" s="20"/>
      <c r="E96" s="21" t="s">
        <v>173</v>
      </c>
      <c r="F96" s="1"/>
    </row>
    <row r="97" spans="1:6" x14ac:dyDescent="0.3">
      <c r="A97" s="120" t="s">
        <v>180</v>
      </c>
      <c r="B97" s="2"/>
      <c r="C97" s="2">
        <v>2607</v>
      </c>
      <c r="D97" s="2" t="s">
        <v>170</v>
      </c>
      <c r="E97" s="64">
        <v>1459</v>
      </c>
      <c r="F97" s="2"/>
    </row>
    <row r="98" spans="1:6" x14ac:dyDescent="0.3">
      <c r="A98" s="120" t="s">
        <v>181</v>
      </c>
      <c r="B98" s="2"/>
      <c r="C98" s="2">
        <v>1378</v>
      </c>
      <c r="D98" s="2" t="s">
        <v>174</v>
      </c>
      <c r="E98" s="64">
        <v>504</v>
      </c>
      <c r="F98" s="2"/>
    </row>
    <row r="99" spans="1:6" x14ac:dyDescent="0.3">
      <c r="A99" s="120"/>
      <c r="B99" s="2"/>
      <c r="C99" s="2"/>
      <c r="D99" s="2" t="s">
        <v>169</v>
      </c>
      <c r="E99" s="64">
        <v>943</v>
      </c>
      <c r="F99" s="2"/>
    </row>
    <row r="100" spans="1:6" x14ac:dyDescent="0.3">
      <c r="A100" s="120"/>
      <c r="B100" s="2"/>
      <c r="C100" s="2"/>
      <c r="D100" s="2" t="s">
        <v>175</v>
      </c>
      <c r="E100" s="64">
        <v>287</v>
      </c>
      <c r="F100" s="2"/>
    </row>
    <row r="101" spans="1:6" x14ac:dyDescent="0.3">
      <c r="A101" s="120"/>
      <c r="B101" s="2"/>
      <c r="C101" s="2"/>
      <c r="D101" s="2" t="s">
        <v>176</v>
      </c>
      <c r="E101" s="64">
        <v>295</v>
      </c>
      <c r="F101" s="2"/>
    </row>
    <row r="102" spans="1:6" x14ac:dyDescent="0.3">
      <c r="A102" s="120"/>
      <c r="B102" s="2"/>
      <c r="C102" s="2"/>
      <c r="D102" s="2" t="s">
        <v>177</v>
      </c>
      <c r="E102" s="64">
        <v>402</v>
      </c>
      <c r="F102" s="2"/>
    </row>
    <row r="103" spans="1:6" x14ac:dyDescent="0.3">
      <c r="A103" s="120"/>
      <c r="B103" s="2"/>
      <c r="C103" s="2"/>
      <c r="D103" s="2" t="s">
        <v>178</v>
      </c>
      <c r="E103" s="64">
        <v>97</v>
      </c>
      <c r="F103" s="2"/>
    </row>
    <row r="104" spans="1:6" ht="15" thickBot="1" x14ac:dyDescent="0.35">
      <c r="A104" s="121" t="s">
        <v>179</v>
      </c>
      <c r="B104" s="65"/>
      <c r="C104" s="65">
        <f>SUM(C97:C98)</f>
        <v>3985</v>
      </c>
      <c r="D104" s="65" t="s">
        <v>179</v>
      </c>
      <c r="E104" s="66">
        <f>SUM(E97:E103)</f>
        <v>3987</v>
      </c>
      <c r="F104" s="2"/>
    </row>
    <row r="105" spans="1:6" ht="15" thickBot="1" x14ac:dyDescent="0.35"/>
    <row r="106" spans="1:6" x14ac:dyDescent="0.3">
      <c r="A106" s="119" t="s">
        <v>183</v>
      </c>
      <c r="B106" s="62"/>
      <c r="C106" s="63"/>
    </row>
    <row r="107" spans="1:6" x14ac:dyDescent="0.3">
      <c r="A107" s="120" t="s">
        <v>184</v>
      </c>
      <c r="B107" s="2"/>
      <c r="C107" s="123">
        <v>3</v>
      </c>
    </row>
    <row r="108" spans="1:6" x14ac:dyDescent="0.3">
      <c r="A108" s="120" t="s">
        <v>185</v>
      </c>
      <c r="B108" s="2"/>
      <c r="C108" s="64">
        <v>-6.8</v>
      </c>
    </row>
    <row r="109" spans="1:6" x14ac:dyDescent="0.3">
      <c r="A109" s="120" t="s">
        <v>186</v>
      </c>
      <c r="B109" s="2"/>
      <c r="C109" s="64">
        <v>0.3</v>
      </c>
    </row>
    <row r="110" spans="1:6" x14ac:dyDescent="0.3">
      <c r="A110" s="120" t="s">
        <v>187</v>
      </c>
      <c r="B110" s="2"/>
      <c r="C110" s="64">
        <v>0.1</v>
      </c>
    </row>
    <row r="111" spans="1:6" x14ac:dyDescent="0.3">
      <c r="A111" s="120" t="s">
        <v>188</v>
      </c>
      <c r="B111" s="2"/>
      <c r="C111" s="64">
        <v>0.8</v>
      </c>
    </row>
    <row r="112" spans="1:6" x14ac:dyDescent="0.3">
      <c r="A112" s="120" t="s">
        <v>189</v>
      </c>
      <c r="B112" s="2"/>
      <c r="C112" s="64">
        <v>0.6</v>
      </c>
    </row>
    <row r="113" spans="1:3" x14ac:dyDescent="0.3">
      <c r="A113" s="120" t="s">
        <v>190</v>
      </c>
      <c r="B113" s="2"/>
      <c r="C113" s="64">
        <v>1.3</v>
      </c>
    </row>
    <row r="114" spans="1:3" x14ac:dyDescent="0.3">
      <c r="A114" s="120" t="s">
        <v>191</v>
      </c>
      <c r="B114" s="2"/>
      <c r="C114" s="64">
        <v>3.2</v>
      </c>
    </row>
    <row r="115" spans="1:3" x14ac:dyDescent="0.3">
      <c r="A115" s="120" t="s">
        <v>192</v>
      </c>
      <c r="B115" s="2"/>
      <c r="C115" s="64">
        <v>0.5</v>
      </c>
    </row>
    <row r="116" spans="1:3" x14ac:dyDescent="0.3">
      <c r="A116" s="120" t="s">
        <v>193</v>
      </c>
      <c r="B116" s="2"/>
      <c r="C116" s="123">
        <v>2.9</v>
      </c>
    </row>
    <row r="117" spans="1:3" x14ac:dyDescent="0.3">
      <c r="A117" s="120" t="s">
        <v>194</v>
      </c>
      <c r="B117" s="2"/>
      <c r="C117" s="64">
        <v>0.1</v>
      </c>
    </row>
    <row r="118" spans="1:3" x14ac:dyDescent="0.3">
      <c r="A118" s="120" t="s">
        <v>176</v>
      </c>
      <c r="B118" s="2"/>
      <c r="C118" s="64">
        <v>0.3</v>
      </c>
    </row>
    <row r="119" spans="1:3" ht="15" thickBot="1" x14ac:dyDescent="0.35">
      <c r="A119" s="121" t="s">
        <v>195</v>
      </c>
      <c r="B119" s="65"/>
      <c r="C119" s="124">
        <v>3.3</v>
      </c>
    </row>
  </sheetData>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5F9C83-65FF-4A0E-B53C-847E857B3324}">
  <dimension ref="A1:S18"/>
  <sheetViews>
    <sheetView zoomScale="78" workbookViewId="0">
      <selection activeCell="J27" sqref="J27"/>
    </sheetView>
  </sheetViews>
  <sheetFormatPr defaultRowHeight="14.4" x14ac:dyDescent="0.3"/>
  <cols>
    <col min="1" max="1" width="17.21875" customWidth="1"/>
    <col min="2" max="2" width="22.88671875" customWidth="1"/>
    <col min="3" max="6" width="15.5546875" customWidth="1"/>
    <col min="7" max="7" width="11.77734375" customWidth="1"/>
    <col min="8" max="8" width="19" customWidth="1"/>
    <col min="9" max="10" width="10.5546875" bestFit="1" customWidth="1"/>
    <col min="11" max="11" width="20.44140625" customWidth="1"/>
    <col min="12" max="12" width="10.5546875" bestFit="1" customWidth="1"/>
    <col min="13" max="13" width="13.88671875" customWidth="1"/>
    <col min="14" max="14" width="18" customWidth="1"/>
    <col min="15" max="16" width="10.5546875" bestFit="1" customWidth="1"/>
    <col min="17" max="17" width="16.77734375" customWidth="1"/>
    <col min="18" max="19" width="10.5546875" bestFit="1" customWidth="1"/>
  </cols>
  <sheetData>
    <row r="1" spans="1:19" ht="16.2" thickBot="1" x14ac:dyDescent="0.35">
      <c r="A1" s="135" t="s">
        <v>352</v>
      </c>
      <c r="B1" s="55"/>
      <c r="C1" s="55"/>
      <c r="D1" s="55"/>
      <c r="E1" s="55"/>
      <c r="F1" s="55"/>
      <c r="G1" s="55"/>
      <c r="H1" s="56"/>
    </row>
    <row r="2" spans="1:19" ht="15" thickBot="1" x14ac:dyDescent="0.35"/>
    <row r="3" spans="1:19" ht="15" thickBot="1" x14ac:dyDescent="0.35">
      <c r="A3" s="146"/>
      <c r="B3" s="153" t="s">
        <v>353</v>
      </c>
      <c r="C3" s="154" t="s">
        <v>203</v>
      </c>
      <c r="D3" s="147" t="s">
        <v>204</v>
      </c>
      <c r="E3" s="148">
        <v>43922</v>
      </c>
      <c r="F3" s="148">
        <v>43556</v>
      </c>
      <c r="G3" s="285">
        <v>43830</v>
      </c>
      <c r="H3" s="289" t="s">
        <v>354</v>
      </c>
      <c r="I3" s="290">
        <v>43191</v>
      </c>
      <c r="J3" s="290">
        <v>43465</v>
      </c>
      <c r="K3" s="289" t="s">
        <v>355</v>
      </c>
      <c r="L3" s="290">
        <v>42826</v>
      </c>
      <c r="M3" s="290">
        <v>43100</v>
      </c>
      <c r="N3" s="289" t="s">
        <v>356</v>
      </c>
      <c r="O3" s="290">
        <v>42461</v>
      </c>
      <c r="P3" s="290">
        <v>42735</v>
      </c>
      <c r="Q3" s="289" t="s">
        <v>357</v>
      </c>
      <c r="R3" s="290">
        <v>42095</v>
      </c>
      <c r="S3" s="291">
        <v>42369</v>
      </c>
    </row>
    <row r="4" spans="1:19" x14ac:dyDescent="0.3">
      <c r="A4" s="143" t="s">
        <v>31</v>
      </c>
      <c r="B4" s="155">
        <f>SUM(G4,C4)</f>
        <v>6921</v>
      </c>
      <c r="C4" s="155">
        <f>SUM(E4,-F4)</f>
        <v>-403</v>
      </c>
      <c r="D4" s="152">
        <f>(SUM(E4,-F4)/F4)</f>
        <v>-0.19099526066350711</v>
      </c>
      <c r="E4" s="144">
        <v>1707</v>
      </c>
      <c r="F4" s="145">
        <v>2110</v>
      </c>
      <c r="G4" s="145">
        <v>7324</v>
      </c>
      <c r="H4" s="155">
        <f>F4-I4+J4</f>
        <v>6792</v>
      </c>
      <c r="I4" s="155">
        <v>1812</v>
      </c>
      <c r="J4" s="155">
        <v>6494</v>
      </c>
      <c r="K4" s="155">
        <f>I4-L4+M4</f>
        <v>5986</v>
      </c>
      <c r="L4" s="155">
        <v>1622</v>
      </c>
      <c r="M4" s="155">
        <v>5796</v>
      </c>
      <c r="N4" s="155">
        <f>L4-O4+P4</f>
        <v>5195</v>
      </c>
      <c r="O4" s="155">
        <v>1287</v>
      </c>
      <c r="P4" s="155">
        <v>4860</v>
      </c>
      <c r="Q4" s="155">
        <f>O4-R4+S4</f>
        <v>4829</v>
      </c>
      <c r="R4" s="155">
        <v>1379</v>
      </c>
      <c r="S4" s="292">
        <v>4921</v>
      </c>
    </row>
    <row r="5" spans="1:19" x14ac:dyDescent="0.3">
      <c r="A5" s="120" t="s">
        <v>205</v>
      </c>
      <c r="B5" s="4">
        <f t="shared" ref="B5:B18" si="0">SUM(G5,C5)</f>
        <v>4981</v>
      </c>
      <c r="C5" s="4">
        <f t="shared" ref="C5:C18" si="1">SUM(E5,-F5)</f>
        <v>-409</v>
      </c>
      <c r="D5" s="137"/>
      <c r="E5" s="67">
        <v>1196</v>
      </c>
      <c r="F5" s="67">
        <v>1605</v>
      </c>
      <c r="G5" s="180">
        <v>5390</v>
      </c>
      <c r="H5" s="67">
        <f t="shared" ref="H5:H18" si="2">F5-I5+J5</f>
        <v>4964</v>
      </c>
      <c r="I5" s="67">
        <v>1239</v>
      </c>
      <c r="J5" s="67">
        <v>4598</v>
      </c>
      <c r="K5" s="67">
        <f t="shared" ref="K5:K18" si="3">I5-L5+M5</f>
        <v>4132</v>
      </c>
      <c r="L5" s="67">
        <v>1069</v>
      </c>
      <c r="M5" s="67">
        <v>3962</v>
      </c>
      <c r="N5" s="67">
        <f t="shared" ref="N5:N18" si="4">L5-O5+P5</f>
        <v>3354</v>
      </c>
      <c r="O5" s="67">
        <v>817</v>
      </c>
      <c r="P5" s="67">
        <v>3102</v>
      </c>
      <c r="Q5" s="67">
        <f t="shared" ref="Q5:Q18" si="5">O5-R5+S5</f>
        <v>3176</v>
      </c>
      <c r="R5" s="67">
        <v>885</v>
      </c>
      <c r="S5" s="71">
        <v>3244</v>
      </c>
    </row>
    <row r="6" spans="1:19" x14ac:dyDescent="0.3">
      <c r="A6" s="120" t="s">
        <v>206</v>
      </c>
      <c r="B6" s="4">
        <f t="shared" si="0"/>
        <v>703</v>
      </c>
      <c r="C6" s="4">
        <f t="shared" si="1"/>
        <v>3</v>
      </c>
      <c r="D6" s="137"/>
      <c r="E6" s="67">
        <v>180</v>
      </c>
      <c r="F6" s="67">
        <v>177</v>
      </c>
      <c r="G6" s="180">
        <v>700</v>
      </c>
      <c r="H6" s="67">
        <f t="shared" si="2"/>
        <v>677</v>
      </c>
      <c r="I6" s="67">
        <v>165</v>
      </c>
      <c r="J6" s="67">
        <v>665</v>
      </c>
      <c r="K6" s="67">
        <f t="shared" si="3"/>
        <v>640</v>
      </c>
      <c r="L6" s="67">
        <v>160</v>
      </c>
      <c r="M6" s="67">
        <v>635</v>
      </c>
      <c r="N6" s="67">
        <f t="shared" si="4"/>
        <v>600</v>
      </c>
      <c r="O6" s="67">
        <v>156</v>
      </c>
      <c r="P6" s="67">
        <v>596</v>
      </c>
      <c r="Q6" s="67">
        <f t="shared" si="5"/>
        <v>628</v>
      </c>
      <c r="R6" s="67">
        <v>157</v>
      </c>
      <c r="S6" s="71">
        <v>629</v>
      </c>
    </row>
    <row r="7" spans="1:19" x14ac:dyDescent="0.3">
      <c r="A7" s="150" t="s">
        <v>185</v>
      </c>
      <c r="B7" s="48">
        <f t="shared" si="0"/>
        <v>1237</v>
      </c>
      <c r="C7" s="48">
        <f t="shared" si="1"/>
        <v>3</v>
      </c>
      <c r="D7" s="138">
        <f t="shared" ref="D7:D18" si="6">(SUM(E7,-F7)/F7)</f>
        <v>9.1463414634146336E-3</v>
      </c>
      <c r="E7" s="48">
        <f t="shared" ref="E7:F7" si="7">SUM(E4,-E5,-E6)</f>
        <v>331</v>
      </c>
      <c r="F7" s="48">
        <f t="shared" si="7"/>
        <v>328</v>
      </c>
      <c r="G7" s="286">
        <f>SUM(G4,-G5,-G6)</f>
        <v>1234</v>
      </c>
      <c r="H7" s="48">
        <f t="shared" si="2"/>
        <v>1151</v>
      </c>
      <c r="I7" s="286">
        <f t="shared" ref="H7:J7" si="8">SUM(I4,-I5,-I6)</f>
        <v>408</v>
      </c>
      <c r="J7" s="286">
        <f t="shared" si="8"/>
        <v>1231</v>
      </c>
      <c r="K7" s="48">
        <f t="shared" si="3"/>
        <v>1214</v>
      </c>
      <c r="L7" s="286">
        <f t="shared" ref="L7" si="9">SUM(L4,-L5,-L6)</f>
        <v>393</v>
      </c>
      <c r="M7" s="286">
        <f t="shared" ref="M7" si="10">SUM(M4,-M5,-M6)</f>
        <v>1199</v>
      </c>
      <c r="N7" s="48">
        <f t="shared" si="4"/>
        <v>1241</v>
      </c>
      <c r="O7" s="286">
        <f t="shared" ref="O7:P7" si="11">SUM(O4,-O5,-O6)</f>
        <v>314</v>
      </c>
      <c r="P7" s="286">
        <f t="shared" si="11"/>
        <v>1162</v>
      </c>
      <c r="Q7" s="48">
        <f t="shared" si="5"/>
        <v>1025</v>
      </c>
      <c r="R7" s="286">
        <f t="shared" ref="R7:S7" si="12">SUM(R4,-R5,-R6)</f>
        <v>337</v>
      </c>
      <c r="S7" s="139">
        <f t="shared" si="12"/>
        <v>1048</v>
      </c>
    </row>
    <row r="8" spans="1:19" x14ac:dyDescent="0.3">
      <c r="A8" s="120" t="s">
        <v>207</v>
      </c>
      <c r="B8" s="4">
        <f t="shared" si="0"/>
        <v>551</v>
      </c>
      <c r="C8" s="4">
        <f t="shared" si="1"/>
        <v>4</v>
      </c>
      <c r="D8" s="137"/>
      <c r="E8" s="67">
        <v>135</v>
      </c>
      <c r="F8" s="67">
        <v>131</v>
      </c>
      <c r="G8" s="180">
        <v>547</v>
      </c>
      <c r="H8" s="67">
        <f t="shared" si="2"/>
        <v>653</v>
      </c>
      <c r="I8" s="67">
        <v>121</v>
      </c>
      <c r="J8" s="67">
        <v>643</v>
      </c>
      <c r="K8" s="67">
        <f t="shared" si="3"/>
        <v>500</v>
      </c>
      <c r="L8" s="67">
        <v>110</v>
      </c>
      <c r="M8" s="67">
        <v>489</v>
      </c>
      <c r="N8" s="67">
        <f t="shared" si="4"/>
        <v>711</v>
      </c>
      <c r="O8" s="67">
        <v>118</v>
      </c>
      <c r="P8" s="67">
        <v>719</v>
      </c>
      <c r="Q8" s="67">
        <f t="shared" si="5"/>
        <v>842</v>
      </c>
      <c r="R8" s="67">
        <v>109</v>
      </c>
      <c r="S8" s="71">
        <v>833</v>
      </c>
    </row>
    <row r="9" spans="1:19" x14ac:dyDescent="0.3">
      <c r="A9" s="150" t="s">
        <v>202</v>
      </c>
      <c r="B9" s="48">
        <f t="shared" si="0"/>
        <v>686</v>
      </c>
      <c r="C9" s="48">
        <f t="shared" si="1"/>
        <v>-1</v>
      </c>
      <c r="D9" s="138">
        <f t="shared" si="6"/>
        <v>-5.076142131979695E-3</v>
      </c>
      <c r="E9" s="48">
        <f t="shared" ref="E9:F9" si="13">SUM(E7,-E8)</f>
        <v>196</v>
      </c>
      <c r="F9" s="48">
        <f t="shared" si="13"/>
        <v>197</v>
      </c>
      <c r="G9" s="286">
        <f>SUM(G7,-G8)</f>
        <v>687</v>
      </c>
      <c r="H9" s="48">
        <f t="shared" si="2"/>
        <v>498</v>
      </c>
      <c r="I9" s="286">
        <f t="shared" ref="H9:M9" si="14">SUM(I7,-I8)</f>
        <v>287</v>
      </c>
      <c r="J9" s="286">
        <f t="shared" si="14"/>
        <v>588</v>
      </c>
      <c r="K9" s="48">
        <f t="shared" si="3"/>
        <v>714</v>
      </c>
      <c r="L9" s="286">
        <f t="shared" si="14"/>
        <v>283</v>
      </c>
      <c r="M9" s="286">
        <f t="shared" si="14"/>
        <v>710</v>
      </c>
      <c r="N9" s="48">
        <f t="shared" si="4"/>
        <v>530</v>
      </c>
      <c r="O9" s="286">
        <f t="shared" ref="O9:P9" si="15">SUM(O7,-O8)</f>
        <v>196</v>
      </c>
      <c r="P9" s="286">
        <f t="shared" si="15"/>
        <v>443</v>
      </c>
      <c r="Q9" s="48">
        <f t="shared" si="5"/>
        <v>183</v>
      </c>
      <c r="R9" s="286">
        <f t="shared" ref="R9:S9" si="16">SUM(R7,-R8)</f>
        <v>228</v>
      </c>
      <c r="S9" s="139">
        <f t="shared" si="16"/>
        <v>215</v>
      </c>
    </row>
    <row r="10" spans="1:19" x14ac:dyDescent="0.3">
      <c r="A10" s="136" t="s">
        <v>211</v>
      </c>
      <c r="B10" s="155">
        <f t="shared" si="0"/>
        <v>4</v>
      </c>
      <c r="C10" s="4">
        <f t="shared" si="1"/>
        <v>0</v>
      </c>
      <c r="D10" s="149" t="e">
        <f t="shared" si="6"/>
        <v>#DIV/0!</v>
      </c>
      <c r="E10" s="67"/>
      <c r="F10" s="67"/>
      <c r="G10" s="180">
        <v>4</v>
      </c>
      <c r="H10" s="67">
        <f t="shared" si="2"/>
        <v>14</v>
      </c>
      <c r="I10" s="67"/>
      <c r="J10" s="67">
        <v>14</v>
      </c>
      <c r="K10" s="67">
        <f t="shared" si="3"/>
        <v>0</v>
      </c>
      <c r="L10" s="67"/>
      <c r="M10" s="67">
        <v>0</v>
      </c>
      <c r="N10" s="67">
        <f t="shared" si="4"/>
        <v>0</v>
      </c>
      <c r="O10" s="67">
        <v>52</v>
      </c>
      <c r="P10" s="67">
        <v>52</v>
      </c>
      <c r="Q10" s="67">
        <f t="shared" si="5"/>
        <v>51</v>
      </c>
      <c r="R10" s="67">
        <v>0</v>
      </c>
      <c r="S10" s="71">
        <v>-1</v>
      </c>
    </row>
    <row r="11" spans="1:19" x14ac:dyDescent="0.3">
      <c r="A11" s="120" t="s">
        <v>208</v>
      </c>
      <c r="B11" s="4">
        <f t="shared" si="0"/>
        <v>-104</v>
      </c>
      <c r="C11" s="4">
        <f t="shared" si="1"/>
        <v>6</v>
      </c>
      <c r="D11" s="149"/>
      <c r="E11" s="67">
        <v>-18</v>
      </c>
      <c r="F11" s="67">
        <v>-24</v>
      </c>
      <c r="G11" s="180">
        <v>-110</v>
      </c>
      <c r="H11" s="67">
        <f t="shared" si="2"/>
        <v>-107</v>
      </c>
      <c r="I11" s="67">
        <v>-29</v>
      </c>
      <c r="J11" s="67">
        <v>-112</v>
      </c>
      <c r="K11" s="67">
        <f t="shared" si="3"/>
        <v>-138</v>
      </c>
      <c r="L11" s="67">
        <v>-25</v>
      </c>
      <c r="M11" s="67">
        <v>-134</v>
      </c>
      <c r="N11" s="67">
        <f t="shared" si="4"/>
        <v>-156</v>
      </c>
      <c r="O11" s="67">
        <v>-30</v>
      </c>
      <c r="P11" s="67">
        <v>-161</v>
      </c>
      <c r="Q11" s="67">
        <f t="shared" si="5"/>
        <v>-127</v>
      </c>
      <c r="R11" s="67">
        <v>-41</v>
      </c>
      <c r="S11" s="71">
        <v>-138</v>
      </c>
    </row>
    <row r="12" spans="1:19" x14ac:dyDescent="0.3">
      <c r="A12" s="150" t="s">
        <v>153</v>
      </c>
      <c r="B12" s="48">
        <f t="shared" si="0"/>
        <v>586</v>
      </c>
      <c r="C12" s="48">
        <f t="shared" si="1"/>
        <v>5</v>
      </c>
      <c r="D12" s="138">
        <f t="shared" si="6"/>
        <v>2.8901734104046242E-2</v>
      </c>
      <c r="E12" s="48">
        <f t="shared" ref="E12:F12" si="17">SUM(E9:E11)</f>
        <v>178</v>
      </c>
      <c r="F12" s="48">
        <f t="shared" si="17"/>
        <v>173</v>
      </c>
      <c r="G12" s="286">
        <f>SUM(G9:G11)</f>
        <v>581</v>
      </c>
      <c r="H12" s="48">
        <f t="shared" si="2"/>
        <v>405</v>
      </c>
      <c r="I12" s="286">
        <f t="shared" ref="H12:M12" si="18">SUM(I9:I11)</f>
        <v>258</v>
      </c>
      <c r="J12" s="286">
        <f t="shared" si="18"/>
        <v>490</v>
      </c>
      <c r="K12" s="48">
        <f t="shared" si="3"/>
        <v>576</v>
      </c>
      <c r="L12" s="286">
        <f t="shared" si="18"/>
        <v>258</v>
      </c>
      <c r="M12" s="286">
        <f t="shared" si="18"/>
        <v>576</v>
      </c>
      <c r="N12" s="48">
        <f t="shared" si="4"/>
        <v>374</v>
      </c>
      <c r="O12" s="286">
        <f t="shared" ref="O12:P12" si="19">SUM(O9:O11)</f>
        <v>218</v>
      </c>
      <c r="P12" s="286">
        <f t="shared" si="19"/>
        <v>334</v>
      </c>
      <c r="Q12" s="48">
        <f t="shared" si="5"/>
        <v>107</v>
      </c>
      <c r="R12" s="286">
        <f t="shared" ref="R12:S12" si="20">SUM(R9:R11)</f>
        <v>187</v>
      </c>
      <c r="S12" s="139">
        <f t="shared" si="20"/>
        <v>76</v>
      </c>
    </row>
    <row r="13" spans="1:19" x14ac:dyDescent="0.3">
      <c r="A13" s="120" t="s">
        <v>40</v>
      </c>
      <c r="B13" s="4">
        <f t="shared" si="0"/>
        <v>188</v>
      </c>
      <c r="C13" s="4">
        <f t="shared" si="1"/>
        <v>-1</v>
      </c>
      <c r="D13" s="149"/>
      <c r="E13" s="67">
        <v>58</v>
      </c>
      <c r="F13" s="67">
        <v>59</v>
      </c>
      <c r="G13" s="180">
        <v>189</v>
      </c>
      <c r="H13" s="67">
        <f t="shared" si="2"/>
        <v>133</v>
      </c>
      <c r="I13" s="67">
        <v>83</v>
      </c>
      <c r="J13" s="67">
        <v>157</v>
      </c>
      <c r="K13" s="67">
        <f t="shared" si="3"/>
        <v>197</v>
      </c>
      <c r="L13" s="67">
        <v>78</v>
      </c>
      <c r="M13" s="67">
        <v>192</v>
      </c>
      <c r="N13" s="67">
        <f t="shared" si="4"/>
        <v>148</v>
      </c>
      <c r="O13" s="67">
        <v>52</v>
      </c>
      <c r="P13" s="67">
        <v>122</v>
      </c>
      <c r="Q13" s="67">
        <f t="shared" si="5"/>
        <v>125</v>
      </c>
      <c r="R13" s="67">
        <v>60</v>
      </c>
      <c r="S13" s="71">
        <v>133</v>
      </c>
    </row>
    <row r="14" spans="1:19" x14ac:dyDescent="0.3">
      <c r="A14" s="136" t="s">
        <v>212</v>
      </c>
      <c r="B14" s="155">
        <f t="shared" si="0"/>
        <v>392</v>
      </c>
      <c r="C14" s="4">
        <f t="shared" si="1"/>
        <v>0</v>
      </c>
      <c r="D14" s="149" t="e">
        <f t="shared" si="6"/>
        <v>#DIV/0!</v>
      </c>
      <c r="E14" s="67">
        <v>0</v>
      </c>
      <c r="F14" s="67">
        <v>0</v>
      </c>
      <c r="G14" s="180">
        <f>SUM(G12,-G13)</f>
        <v>392</v>
      </c>
      <c r="H14" s="67">
        <f t="shared" si="2"/>
        <v>158</v>
      </c>
      <c r="I14" s="180">
        <f t="shared" ref="H14:M14" si="21">SUM(I12,-I13)</f>
        <v>175</v>
      </c>
      <c r="J14" s="180">
        <f t="shared" si="21"/>
        <v>333</v>
      </c>
      <c r="K14" s="67">
        <f t="shared" si="3"/>
        <v>379</v>
      </c>
      <c r="L14" s="180">
        <f t="shared" si="21"/>
        <v>180</v>
      </c>
      <c r="M14" s="180">
        <f t="shared" si="21"/>
        <v>384</v>
      </c>
      <c r="N14" s="67">
        <f t="shared" si="4"/>
        <v>226</v>
      </c>
      <c r="O14" s="180">
        <f t="shared" ref="O14:P14" si="22">SUM(O12,-O13)</f>
        <v>166</v>
      </c>
      <c r="P14" s="180">
        <f t="shared" si="22"/>
        <v>212</v>
      </c>
      <c r="Q14" s="67">
        <f t="shared" si="5"/>
        <v>-18</v>
      </c>
      <c r="R14" s="180">
        <f t="shared" ref="R14:S14" si="23">SUM(R12,-R13)</f>
        <v>127</v>
      </c>
      <c r="S14" s="71">
        <f t="shared" si="23"/>
        <v>-57</v>
      </c>
    </row>
    <row r="15" spans="1:19" x14ac:dyDescent="0.3">
      <c r="A15" s="136" t="s">
        <v>213</v>
      </c>
      <c r="B15" s="155">
        <f t="shared" si="0"/>
        <v>1</v>
      </c>
      <c r="C15" s="4">
        <f t="shared" si="1"/>
        <v>0</v>
      </c>
      <c r="D15" s="149" t="e">
        <f t="shared" si="6"/>
        <v>#DIV/0!</v>
      </c>
      <c r="E15" s="67">
        <v>0</v>
      </c>
      <c r="F15" s="67">
        <v>0</v>
      </c>
      <c r="G15" s="180">
        <v>1</v>
      </c>
      <c r="H15" s="67">
        <f t="shared" si="2"/>
        <v>19</v>
      </c>
      <c r="I15" s="67">
        <v>2</v>
      </c>
      <c r="J15" s="67">
        <v>21</v>
      </c>
      <c r="K15" s="67">
        <f t="shared" si="3"/>
        <v>-87</v>
      </c>
      <c r="L15" s="67">
        <v>4</v>
      </c>
      <c r="M15" s="67">
        <v>-85</v>
      </c>
      <c r="N15" s="67">
        <f t="shared" si="4"/>
        <v>23</v>
      </c>
      <c r="O15" s="67">
        <v>0</v>
      </c>
      <c r="P15" s="67">
        <v>19</v>
      </c>
      <c r="Q15" s="67">
        <f t="shared" si="5"/>
        <v>0</v>
      </c>
      <c r="R15" s="67">
        <v>0</v>
      </c>
      <c r="S15" s="71">
        <v>0</v>
      </c>
    </row>
    <row r="16" spans="1:19" x14ac:dyDescent="0.3">
      <c r="A16" s="151" t="s">
        <v>209</v>
      </c>
      <c r="B16" s="4">
        <f t="shared" si="0"/>
        <v>399</v>
      </c>
      <c r="C16" s="4">
        <f t="shared" si="1"/>
        <v>6</v>
      </c>
      <c r="D16" s="149"/>
      <c r="E16" s="67">
        <v>120</v>
      </c>
      <c r="F16" s="67">
        <v>114</v>
      </c>
      <c r="G16" s="180">
        <f>SUM(G14:G15)</f>
        <v>393</v>
      </c>
      <c r="H16" s="67">
        <f t="shared" si="2"/>
        <v>291</v>
      </c>
      <c r="I16" s="180">
        <f t="shared" ref="H16:M16" si="24">SUM(I14:I15)</f>
        <v>177</v>
      </c>
      <c r="J16" s="180">
        <f t="shared" si="24"/>
        <v>354</v>
      </c>
      <c r="K16" s="67">
        <f t="shared" si="3"/>
        <v>292</v>
      </c>
      <c r="L16" s="180">
        <f t="shared" si="24"/>
        <v>184</v>
      </c>
      <c r="M16" s="180">
        <f t="shared" si="24"/>
        <v>299</v>
      </c>
      <c r="N16" s="67">
        <f t="shared" si="4"/>
        <v>249</v>
      </c>
      <c r="O16" s="180">
        <f t="shared" ref="O16:P16" si="25">SUM(O14:O15)</f>
        <v>166</v>
      </c>
      <c r="P16" s="180">
        <f t="shared" si="25"/>
        <v>231</v>
      </c>
      <c r="Q16" s="67">
        <f t="shared" si="5"/>
        <v>-18</v>
      </c>
      <c r="R16" s="180">
        <f t="shared" ref="R16:S16" si="26">SUM(R14:R15)</f>
        <v>127</v>
      </c>
      <c r="S16" s="71">
        <f t="shared" si="26"/>
        <v>-57</v>
      </c>
    </row>
    <row r="17" spans="1:19" ht="15" thickBot="1" x14ac:dyDescent="0.35">
      <c r="A17" s="120" t="s">
        <v>44</v>
      </c>
      <c r="B17" s="156">
        <f t="shared" si="0"/>
        <v>-2</v>
      </c>
      <c r="C17" s="156">
        <f t="shared" si="1"/>
        <v>2</v>
      </c>
      <c r="D17" s="158"/>
      <c r="E17" s="159">
        <v>-8</v>
      </c>
      <c r="F17" s="159">
        <v>-10</v>
      </c>
      <c r="G17" s="287">
        <v>-4</v>
      </c>
      <c r="H17" s="159">
        <f t="shared" si="2"/>
        <v>-16</v>
      </c>
      <c r="I17" s="159">
        <v>-4</v>
      </c>
      <c r="J17" s="159">
        <v>-10</v>
      </c>
      <c r="K17" s="159">
        <f t="shared" si="3"/>
        <v>-6</v>
      </c>
      <c r="L17" s="159">
        <v>-4</v>
      </c>
      <c r="M17" s="159">
        <v>-6</v>
      </c>
      <c r="N17" s="159">
        <f t="shared" si="4"/>
        <v>5</v>
      </c>
      <c r="O17" s="159">
        <v>-8</v>
      </c>
      <c r="P17" s="159">
        <v>1</v>
      </c>
      <c r="Q17" s="159">
        <f t="shared" si="5"/>
        <v>132</v>
      </c>
      <c r="R17" s="159">
        <v>-10</v>
      </c>
      <c r="S17" s="160">
        <v>130</v>
      </c>
    </row>
    <row r="18" spans="1:19" ht="15" thickBot="1" x14ac:dyDescent="0.35">
      <c r="A18" s="140" t="s">
        <v>210</v>
      </c>
      <c r="B18" s="141">
        <f t="shared" si="0"/>
        <v>397</v>
      </c>
      <c r="C18" s="141">
        <f t="shared" si="1"/>
        <v>8</v>
      </c>
      <c r="D18" s="157">
        <f t="shared" si="6"/>
        <v>7.6923076923076927E-2</v>
      </c>
      <c r="E18" s="142">
        <f t="shared" ref="E18:F18" si="27">SUM(E16,E17)</f>
        <v>112</v>
      </c>
      <c r="F18" s="142">
        <f t="shared" si="27"/>
        <v>104</v>
      </c>
      <c r="G18" s="288">
        <f>SUM(G16,G17)</f>
        <v>389</v>
      </c>
      <c r="H18" s="141">
        <f t="shared" si="2"/>
        <v>275</v>
      </c>
      <c r="I18" s="288">
        <f t="shared" ref="H18:M18" si="28">SUM(I16,I17)</f>
        <v>173</v>
      </c>
      <c r="J18" s="288">
        <f t="shared" si="28"/>
        <v>344</v>
      </c>
      <c r="K18" s="141">
        <f t="shared" si="3"/>
        <v>286</v>
      </c>
      <c r="L18" s="288">
        <f t="shared" si="28"/>
        <v>180</v>
      </c>
      <c r="M18" s="288">
        <f t="shared" si="28"/>
        <v>293</v>
      </c>
      <c r="N18" s="141">
        <f t="shared" si="4"/>
        <v>254</v>
      </c>
      <c r="O18" s="288">
        <f t="shared" ref="O18:P18" si="29">SUM(O16,O17)</f>
        <v>158</v>
      </c>
      <c r="P18" s="288">
        <f t="shared" si="29"/>
        <v>232</v>
      </c>
      <c r="Q18" s="141">
        <f t="shared" si="5"/>
        <v>114</v>
      </c>
      <c r="R18" s="288">
        <f t="shared" ref="R18:S18" si="30">SUM(R16,R17)</f>
        <v>117</v>
      </c>
      <c r="S18" s="142">
        <f t="shared" si="30"/>
        <v>73</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3EC5EB-3EA3-41FC-BD61-B127DEE946BB}">
  <dimension ref="A1:V99"/>
  <sheetViews>
    <sheetView zoomScale="89" workbookViewId="0">
      <selection activeCell="K46" sqref="K46"/>
    </sheetView>
  </sheetViews>
  <sheetFormatPr defaultRowHeight="14.4" x14ac:dyDescent="0.3"/>
  <cols>
    <col min="1" max="1" width="24.33203125" customWidth="1"/>
    <col min="2" max="2" width="12.88671875" bestFit="1" customWidth="1"/>
    <col min="3" max="3" width="10.5546875" bestFit="1" customWidth="1"/>
    <col min="4" max="4" width="15" customWidth="1"/>
    <col min="5" max="5" width="13.21875" customWidth="1"/>
    <col min="6" max="6" width="12.88671875" customWidth="1"/>
    <col min="7" max="7" width="10.5546875" bestFit="1" customWidth="1"/>
    <col min="8" max="8" width="12" customWidth="1"/>
    <col min="9" max="10" width="11.21875" customWidth="1"/>
    <col min="11" max="11" width="17.33203125" customWidth="1"/>
    <col min="12" max="12" width="13.33203125" customWidth="1"/>
    <col min="13" max="13" width="15.33203125" customWidth="1"/>
    <col min="14" max="14" width="12.109375" customWidth="1"/>
    <col min="15" max="15" width="15.109375" customWidth="1"/>
    <col min="16" max="16" width="12.21875" customWidth="1"/>
    <col min="17" max="17" width="13.5546875" customWidth="1"/>
    <col min="18" max="18" width="14.88671875" customWidth="1"/>
    <col min="19" max="19" width="11.6640625" customWidth="1"/>
    <col min="20" max="20" width="13.44140625" customWidth="1"/>
    <col min="21" max="22" width="10.5546875" bestFit="1" customWidth="1"/>
  </cols>
  <sheetData>
    <row r="1" spans="1:20" ht="15" thickBot="1" x14ac:dyDescent="0.35">
      <c r="A1" s="169" t="s">
        <v>221</v>
      </c>
      <c r="B1" s="55"/>
      <c r="C1" s="55"/>
      <c r="D1" s="56"/>
      <c r="E1" s="25"/>
      <c r="F1" s="110" t="s">
        <v>222</v>
      </c>
      <c r="G1" s="8"/>
      <c r="H1" s="8"/>
      <c r="I1" s="9"/>
      <c r="K1" s="169" t="s">
        <v>274</v>
      </c>
      <c r="L1" s="55"/>
      <c r="M1" s="55"/>
      <c r="N1" s="55"/>
      <c r="O1" s="55"/>
      <c r="P1" s="55"/>
      <c r="Q1" s="187"/>
      <c r="R1" s="55"/>
      <c r="S1" s="55"/>
      <c r="T1" s="56"/>
    </row>
    <row r="2" spans="1:20" x14ac:dyDescent="0.3">
      <c r="A2" s="171"/>
      <c r="B2" s="175" t="s">
        <v>215</v>
      </c>
      <c r="C2" s="172">
        <v>43830</v>
      </c>
      <c r="D2" s="172">
        <v>43465</v>
      </c>
      <c r="E2" s="4"/>
      <c r="F2" s="177">
        <v>43100</v>
      </c>
      <c r="G2" s="172">
        <v>42735</v>
      </c>
      <c r="H2" s="183">
        <v>42369</v>
      </c>
      <c r="I2" s="226">
        <v>42004</v>
      </c>
      <c r="K2" s="171"/>
      <c r="L2" s="175" t="s">
        <v>226</v>
      </c>
      <c r="M2" s="182" t="s">
        <v>224</v>
      </c>
      <c r="N2" s="172">
        <v>43830</v>
      </c>
      <c r="O2" s="172">
        <v>43922</v>
      </c>
      <c r="P2" s="183">
        <v>43556</v>
      </c>
      <c r="Q2" s="188" t="s">
        <v>225</v>
      </c>
      <c r="R2" s="184">
        <v>43465</v>
      </c>
      <c r="S2" s="172">
        <v>43556</v>
      </c>
      <c r="T2" s="178">
        <v>43191</v>
      </c>
    </row>
    <row r="3" spans="1:20" x14ac:dyDescent="0.3">
      <c r="A3" s="170" t="s">
        <v>217</v>
      </c>
      <c r="B3" s="67">
        <f>SUM(C3,-D3)</f>
        <v>71</v>
      </c>
      <c r="C3" s="67">
        <v>1852</v>
      </c>
      <c r="D3" s="67">
        <v>1781</v>
      </c>
      <c r="E3" s="4"/>
      <c r="F3" s="67">
        <v>1671</v>
      </c>
      <c r="G3" s="67">
        <v>1821</v>
      </c>
      <c r="H3" s="180">
        <v>1485</v>
      </c>
      <c r="I3" s="71">
        <v>1591</v>
      </c>
      <c r="K3" s="170" t="s">
        <v>217</v>
      </c>
      <c r="L3" s="67">
        <f xml:space="preserve"> M3-Q3</f>
        <v>-201</v>
      </c>
      <c r="M3" s="67">
        <f t="shared" ref="M3:M6" si="0" xml:space="preserve"> N3 - P3 + O3</f>
        <v>1831</v>
      </c>
      <c r="N3" s="67">
        <v>1852</v>
      </c>
      <c r="O3" s="67">
        <v>2056</v>
      </c>
      <c r="P3" s="180">
        <v>2077</v>
      </c>
      <c r="Q3" s="71">
        <f t="shared" ref="Q3:Q6" si="1">R3+S3-T3</f>
        <v>2032</v>
      </c>
      <c r="R3" s="185">
        <v>1781</v>
      </c>
      <c r="S3" s="67">
        <v>2077</v>
      </c>
      <c r="T3" s="71">
        <v>1826</v>
      </c>
    </row>
    <row r="4" spans="1:20" x14ac:dyDescent="0.3">
      <c r="A4" s="170" t="s">
        <v>218</v>
      </c>
      <c r="B4" s="67">
        <f t="shared" ref="B4:B8" si="2">SUM(C4,-D4)</f>
        <v>-3</v>
      </c>
      <c r="C4" s="67">
        <v>184</v>
      </c>
      <c r="D4" s="67">
        <v>187</v>
      </c>
      <c r="E4" s="4"/>
      <c r="F4" s="67">
        <v>147</v>
      </c>
      <c r="G4" s="67">
        <v>159</v>
      </c>
      <c r="H4" s="180">
        <v>184</v>
      </c>
      <c r="I4" s="71">
        <v>284</v>
      </c>
      <c r="K4" s="170" t="s">
        <v>223</v>
      </c>
      <c r="L4" s="67">
        <f t="shared" ref="L4:L8" si="3" xml:space="preserve"> M4-Q4</f>
        <v>-57</v>
      </c>
      <c r="M4" s="67">
        <f t="shared" si="0"/>
        <v>169</v>
      </c>
      <c r="N4" s="67">
        <v>184</v>
      </c>
      <c r="O4" s="67">
        <v>104</v>
      </c>
      <c r="P4" s="180">
        <v>119</v>
      </c>
      <c r="Q4" s="71">
        <f t="shared" si="1"/>
        <v>226</v>
      </c>
      <c r="R4" s="185">
        <v>187</v>
      </c>
      <c r="S4" s="67">
        <v>119</v>
      </c>
      <c r="T4" s="71">
        <v>80</v>
      </c>
    </row>
    <row r="5" spans="1:20" x14ac:dyDescent="0.3">
      <c r="A5" s="170"/>
      <c r="B5" s="67"/>
      <c r="C5" s="67"/>
      <c r="D5" s="67"/>
      <c r="E5" s="4"/>
      <c r="F5" s="4"/>
      <c r="G5" s="67"/>
      <c r="H5" s="180"/>
      <c r="I5" s="71"/>
      <c r="K5" s="170"/>
      <c r="L5" s="67">
        <f t="shared" si="3"/>
        <v>0</v>
      </c>
      <c r="M5" s="67"/>
      <c r="N5" s="67"/>
      <c r="O5" s="67"/>
      <c r="P5" s="180"/>
      <c r="Q5" s="71"/>
      <c r="R5" s="185"/>
      <c r="S5" s="67"/>
      <c r="T5" s="71"/>
    </row>
    <row r="6" spans="1:20" x14ac:dyDescent="0.3">
      <c r="A6" s="170" t="s">
        <v>219</v>
      </c>
      <c r="B6" s="67">
        <f t="shared" si="2"/>
        <v>68</v>
      </c>
      <c r="C6" s="67">
        <v>1481</v>
      </c>
      <c r="D6" s="67">
        <v>1413</v>
      </c>
      <c r="E6" s="4"/>
      <c r="F6" s="67">
        <v>1381</v>
      </c>
      <c r="G6" s="67">
        <v>1384</v>
      </c>
      <c r="H6" s="180">
        <v>1170</v>
      </c>
      <c r="I6" s="71">
        <v>1254</v>
      </c>
      <c r="K6" s="170" t="s">
        <v>219</v>
      </c>
      <c r="L6" s="67">
        <f t="shared" si="3"/>
        <v>-101</v>
      </c>
      <c r="M6" s="67">
        <f t="shared" si="0"/>
        <v>1483</v>
      </c>
      <c r="N6" s="67">
        <v>1481</v>
      </c>
      <c r="O6" s="67">
        <v>1323</v>
      </c>
      <c r="P6" s="180">
        <v>1321</v>
      </c>
      <c r="Q6" s="71">
        <f t="shared" si="1"/>
        <v>1584</v>
      </c>
      <c r="R6" s="185">
        <v>1413</v>
      </c>
      <c r="S6" s="67">
        <v>1321</v>
      </c>
      <c r="T6" s="71">
        <v>1150</v>
      </c>
    </row>
    <row r="7" spans="1:20" x14ac:dyDescent="0.3">
      <c r="A7" s="170"/>
      <c r="B7" s="67"/>
      <c r="C7" s="67"/>
      <c r="D7" s="67"/>
      <c r="E7" s="4"/>
      <c r="F7" s="4"/>
      <c r="G7" s="67"/>
      <c r="H7" s="180"/>
      <c r="I7" s="71"/>
      <c r="K7" s="170"/>
      <c r="L7" s="67"/>
      <c r="M7" s="67"/>
      <c r="N7" s="67"/>
      <c r="O7" s="67"/>
      <c r="P7" s="180"/>
      <c r="Q7" s="71"/>
      <c r="R7" s="185"/>
      <c r="S7" s="67"/>
      <c r="T7" s="71"/>
    </row>
    <row r="8" spans="1:20" ht="15" thickBot="1" x14ac:dyDescent="0.35">
      <c r="A8" s="173" t="s">
        <v>220</v>
      </c>
      <c r="B8" s="176">
        <f t="shared" si="2"/>
        <v>0</v>
      </c>
      <c r="C8" s="174">
        <f>(SUM(C3,C4) -C6)</f>
        <v>555</v>
      </c>
      <c r="D8" s="174">
        <f>SUM(D3,D4,-D6)</f>
        <v>555</v>
      </c>
      <c r="E8" s="72"/>
      <c r="F8" s="174">
        <f t="shared" ref="F8:I8" si="4">SUM(F3,F4,-F6)</f>
        <v>437</v>
      </c>
      <c r="G8" s="174">
        <f t="shared" si="4"/>
        <v>596</v>
      </c>
      <c r="H8" s="181">
        <f t="shared" si="4"/>
        <v>499</v>
      </c>
      <c r="I8" s="179">
        <f t="shared" si="4"/>
        <v>621</v>
      </c>
      <c r="K8" s="173" t="s">
        <v>220</v>
      </c>
      <c r="L8" s="176">
        <f t="shared" si="3"/>
        <v>-157</v>
      </c>
      <c r="M8" s="174">
        <f xml:space="preserve"> N8 - P8 + O8</f>
        <v>517</v>
      </c>
      <c r="N8" s="174">
        <f>(SUM(N3,N4) -N6)</f>
        <v>555</v>
      </c>
      <c r="O8" s="174">
        <f t="shared" ref="O8:T8" si="5">(SUM(O3,O4) -O6)</f>
        <v>837</v>
      </c>
      <c r="P8" s="181">
        <f t="shared" si="5"/>
        <v>875</v>
      </c>
      <c r="Q8" s="179">
        <f>R8+S8-T8</f>
        <v>674</v>
      </c>
      <c r="R8" s="186">
        <f t="shared" si="5"/>
        <v>555</v>
      </c>
      <c r="S8" s="174">
        <f t="shared" si="5"/>
        <v>875</v>
      </c>
      <c r="T8" s="179">
        <f t="shared" si="5"/>
        <v>756</v>
      </c>
    </row>
    <row r="10" spans="1:20" ht="15" thickBot="1" x14ac:dyDescent="0.35"/>
    <row r="11" spans="1:20" ht="15" thickBot="1" x14ac:dyDescent="0.35">
      <c r="A11" s="169" t="s">
        <v>275</v>
      </c>
      <c r="B11" s="55"/>
      <c r="C11" s="55"/>
      <c r="D11" s="56"/>
      <c r="E11" s="25"/>
      <c r="F11" s="110" t="s">
        <v>222</v>
      </c>
      <c r="G11" s="8"/>
      <c r="H11" s="8"/>
      <c r="I11" s="9"/>
      <c r="J11" s="2"/>
    </row>
    <row r="12" spans="1:20" x14ac:dyDescent="0.3">
      <c r="A12" s="171"/>
      <c r="B12" s="175" t="s">
        <v>215</v>
      </c>
      <c r="C12" s="172">
        <v>43830</v>
      </c>
      <c r="D12" s="172">
        <v>43465</v>
      </c>
      <c r="E12" s="4"/>
      <c r="F12" s="177">
        <v>43100</v>
      </c>
      <c r="G12" s="172">
        <v>42735</v>
      </c>
      <c r="H12" s="183">
        <v>42369</v>
      </c>
      <c r="I12" s="226">
        <v>42004</v>
      </c>
      <c r="J12" s="2"/>
    </row>
    <row r="13" spans="1:20" x14ac:dyDescent="0.3">
      <c r="A13" s="206" t="s">
        <v>217</v>
      </c>
      <c r="B13" s="67">
        <f>SUM(C13,-D13)</f>
        <v>71</v>
      </c>
      <c r="C13" s="67">
        <v>1852</v>
      </c>
      <c r="D13" s="67">
        <v>1781</v>
      </c>
      <c r="E13" s="4"/>
      <c r="F13" s="67">
        <v>1671</v>
      </c>
      <c r="G13" s="67">
        <v>1821</v>
      </c>
      <c r="H13" s="180">
        <v>1485</v>
      </c>
      <c r="I13" s="71">
        <v>1591</v>
      </c>
      <c r="J13" s="2"/>
    </row>
    <row r="14" spans="1:20" x14ac:dyDescent="0.3">
      <c r="A14" s="206" t="s">
        <v>218</v>
      </c>
      <c r="B14" s="67">
        <f t="shared" ref="B14:B24" si="6">SUM(C14,-D14)</f>
        <v>-3</v>
      </c>
      <c r="C14" s="67">
        <v>184</v>
      </c>
      <c r="D14" s="67">
        <v>187</v>
      </c>
      <c r="E14" s="4"/>
      <c r="F14" s="67">
        <v>147</v>
      </c>
      <c r="G14" s="67">
        <v>159</v>
      </c>
      <c r="H14" s="180">
        <v>184</v>
      </c>
      <c r="I14" s="71">
        <v>284</v>
      </c>
      <c r="J14" s="2"/>
    </row>
    <row r="15" spans="1:20" x14ac:dyDescent="0.3">
      <c r="A15" s="170" t="s">
        <v>279</v>
      </c>
      <c r="B15" s="67">
        <f t="shared" si="6"/>
        <v>0</v>
      </c>
      <c r="C15" s="67">
        <v>0</v>
      </c>
      <c r="D15" s="67">
        <v>0</v>
      </c>
      <c r="E15" s="4"/>
      <c r="F15" s="4">
        <v>0</v>
      </c>
      <c r="G15" s="67">
        <v>0</v>
      </c>
      <c r="H15" s="180">
        <v>0</v>
      </c>
      <c r="I15" s="71">
        <v>0</v>
      </c>
      <c r="J15" s="2"/>
    </row>
    <row r="16" spans="1:20" x14ac:dyDescent="0.3">
      <c r="A16" s="206" t="s">
        <v>280</v>
      </c>
      <c r="B16" s="67">
        <f t="shared" si="6"/>
        <v>60</v>
      </c>
      <c r="C16" s="67">
        <f>SUM(C17:C18)</f>
        <v>259</v>
      </c>
      <c r="D16" s="67">
        <f>SUM(D17:D18)</f>
        <v>199</v>
      </c>
      <c r="E16" s="67"/>
      <c r="F16" s="67">
        <f t="shared" ref="F16:I16" si="7">SUM(F17:F18)</f>
        <v>227</v>
      </c>
      <c r="G16" s="67">
        <f t="shared" si="7"/>
        <v>194</v>
      </c>
      <c r="H16" s="67">
        <f t="shared" si="7"/>
        <v>199</v>
      </c>
      <c r="I16" s="71">
        <f t="shared" si="7"/>
        <v>289</v>
      </c>
      <c r="J16" s="2"/>
    </row>
    <row r="17" spans="1:22" x14ac:dyDescent="0.3">
      <c r="A17" s="170" t="s">
        <v>282</v>
      </c>
      <c r="B17" s="67">
        <f t="shared" si="6"/>
        <v>14</v>
      </c>
      <c r="C17" s="67">
        <v>63</v>
      </c>
      <c r="D17" s="67">
        <v>49</v>
      </c>
      <c r="E17" s="4"/>
      <c r="F17" s="4">
        <v>107</v>
      </c>
      <c r="G17" s="67">
        <v>70</v>
      </c>
      <c r="H17" s="180">
        <v>71</v>
      </c>
      <c r="I17" s="71">
        <v>85</v>
      </c>
      <c r="J17" s="2"/>
    </row>
    <row r="18" spans="1:22" x14ac:dyDescent="0.3">
      <c r="A18" s="170" t="s">
        <v>280</v>
      </c>
      <c r="B18" s="67">
        <f t="shared" si="6"/>
        <v>46</v>
      </c>
      <c r="C18" s="67">
        <v>196</v>
      </c>
      <c r="D18" s="67">
        <v>150</v>
      </c>
      <c r="E18" s="4"/>
      <c r="F18" s="4">
        <v>120</v>
      </c>
      <c r="G18" s="67">
        <v>124</v>
      </c>
      <c r="H18" s="180">
        <v>128</v>
      </c>
      <c r="I18" s="71">
        <v>204</v>
      </c>
      <c r="J18" s="2"/>
    </row>
    <row r="19" spans="1:22" ht="15" thickBot="1" x14ac:dyDescent="0.35">
      <c r="A19" s="170" t="s">
        <v>281</v>
      </c>
      <c r="B19" s="67">
        <f t="shared" si="6"/>
        <v>128</v>
      </c>
      <c r="C19" s="67">
        <f>SUM(C13:C16)</f>
        <v>2295</v>
      </c>
      <c r="D19" s="67">
        <f>SUM(D13:D16)</f>
        <v>2167</v>
      </c>
      <c r="E19" s="67"/>
      <c r="F19" s="67">
        <f t="shared" ref="F19:I19" si="8">SUM(F13:F16)</f>
        <v>2045</v>
      </c>
      <c r="G19" s="67">
        <f t="shared" si="8"/>
        <v>2174</v>
      </c>
      <c r="H19" s="180">
        <f t="shared" si="8"/>
        <v>1868</v>
      </c>
      <c r="I19" s="71">
        <f t="shared" si="8"/>
        <v>2164</v>
      </c>
      <c r="J19" s="2"/>
    </row>
    <row r="20" spans="1:22" x14ac:dyDescent="0.3">
      <c r="A20" s="170"/>
      <c r="B20" s="67"/>
      <c r="C20" s="67"/>
      <c r="D20" s="67"/>
      <c r="E20" s="4"/>
      <c r="F20" s="4"/>
      <c r="G20" s="67"/>
      <c r="H20" s="180"/>
      <c r="I20" s="71"/>
      <c r="J20" s="2"/>
      <c r="K20" s="119" t="s">
        <v>283</v>
      </c>
      <c r="L20" s="203">
        <v>43830</v>
      </c>
      <c r="M20" s="203">
        <v>43465</v>
      </c>
      <c r="N20" s="62"/>
      <c r="O20" s="62"/>
      <c r="P20" s="62"/>
      <c r="Q20" s="203">
        <v>43100</v>
      </c>
      <c r="R20" s="62"/>
      <c r="S20" s="62"/>
      <c r="T20" s="62"/>
      <c r="U20" s="203">
        <v>42735</v>
      </c>
      <c r="V20" s="207">
        <v>42369</v>
      </c>
    </row>
    <row r="21" spans="1:22" x14ac:dyDescent="0.3">
      <c r="A21" s="170" t="s">
        <v>219</v>
      </c>
      <c r="B21" s="67">
        <f t="shared" si="6"/>
        <v>68</v>
      </c>
      <c r="C21" s="67">
        <v>1481</v>
      </c>
      <c r="D21" s="67">
        <v>1413</v>
      </c>
      <c r="E21" s="4"/>
      <c r="F21" s="67">
        <v>1381</v>
      </c>
      <c r="G21" s="67">
        <v>1384</v>
      </c>
      <c r="H21" s="180">
        <v>1170</v>
      </c>
      <c r="I21" s="71">
        <v>1254</v>
      </c>
      <c r="J21" s="2"/>
      <c r="K21" s="120"/>
      <c r="L21" s="2"/>
      <c r="M21" s="2"/>
      <c r="N21" s="2"/>
      <c r="O21" s="2"/>
      <c r="P21" s="2"/>
      <c r="Q21" s="2"/>
      <c r="R21" s="2"/>
      <c r="S21" s="2"/>
      <c r="T21" s="2"/>
      <c r="U21" s="2"/>
      <c r="V21" s="64"/>
    </row>
    <row r="22" spans="1:22" x14ac:dyDescent="0.3">
      <c r="A22" s="170" t="s">
        <v>351</v>
      </c>
      <c r="B22" s="67">
        <f t="shared" si="6"/>
        <v>-28</v>
      </c>
      <c r="C22" s="67">
        <v>6</v>
      </c>
      <c r="D22" s="67">
        <v>34</v>
      </c>
      <c r="E22" s="4"/>
      <c r="F22" s="67">
        <v>4</v>
      </c>
      <c r="G22" s="67">
        <v>33</v>
      </c>
      <c r="H22" s="180"/>
      <c r="I22" s="71"/>
      <c r="J22" s="2"/>
      <c r="K22" s="120"/>
      <c r="L22" s="2"/>
      <c r="M22" s="2"/>
      <c r="N22" s="2"/>
      <c r="O22" s="2"/>
      <c r="P22" s="2"/>
      <c r="Q22" s="2"/>
      <c r="R22" s="2"/>
      <c r="S22" s="2"/>
      <c r="T22" s="2"/>
      <c r="U22" s="2"/>
      <c r="V22" s="64"/>
    </row>
    <row r="23" spans="1:22" x14ac:dyDescent="0.3">
      <c r="A23" s="170" t="s">
        <v>286</v>
      </c>
      <c r="B23" s="67">
        <f t="shared" si="6"/>
        <v>263</v>
      </c>
      <c r="C23" s="67">
        <v>844</v>
      </c>
      <c r="D23" s="67">
        <v>581</v>
      </c>
      <c r="E23" s="4"/>
      <c r="F23" s="67">
        <v>521</v>
      </c>
      <c r="G23" s="67">
        <v>744</v>
      </c>
      <c r="H23" s="180">
        <v>521</v>
      </c>
      <c r="I23" s="71">
        <v>611</v>
      </c>
      <c r="J23" s="2"/>
      <c r="K23" s="120" t="s">
        <v>284</v>
      </c>
      <c r="L23" s="2">
        <v>434</v>
      </c>
      <c r="M23" s="2">
        <v>624</v>
      </c>
      <c r="N23" s="2"/>
      <c r="O23" s="2"/>
      <c r="P23" s="2"/>
      <c r="Q23" s="2">
        <v>691</v>
      </c>
      <c r="R23" s="2"/>
      <c r="S23" s="2"/>
      <c r="T23" s="2"/>
      <c r="U23" s="2">
        <v>402</v>
      </c>
      <c r="V23" s="64">
        <v>636</v>
      </c>
    </row>
    <row r="24" spans="1:22" x14ac:dyDescent="0.3">
      <c r="A24" s="170" t="s">
        <v>287</v>
      </c>
      <c r="B24" s="67">
        <f t="shared" si="6"/>
        <v>303</v>
      </c>
      <c r="C24" s="67">
        <f>SUM(C21:C23)</f>
        <v>2331</v>
      </c>
      <c r="D24" s="67">
        <f>SUM(D21:D23)</f>
        <v>2028</v>
      </c>
      <c r="E24" s="67"/>
      <c r="F24" s="67">
        <f t="shared" ref="F24:I24" si="9">SUM(F21:F23)</f>
        <v>1906</v>
      </c>
      <c r="G24" s="67">
        <f t="shared" si="9"/>
        <v>2161</v>
      </c>
      <c r="H24" s="180">
        <f t="shared" si="9"/>
        <v>1691</v>
      </c>
      <c r="I24" s="71">
        <f t="shared" si="9"/>
        <v>1865</v>
      </c>
      <c r="J24" s="2"/>
      <c r="K24" s="120" t="s">
        <v>214</v>
      </c>
      <c r="L24" s="2">
        <f>L23-M23</f>
        <v>-190</v>
      </c>
      <c r="M24" s="2">
        <f>M23-Q23</f>
        <v>-67</v>
      </c>
      <c r="N24" s="2"/>
      <c r="O24" s="2"/>
      <c r="P24" s="2"/>
      <c r="Q24" s="2">
        <f>Q23-U23</f>
        <v>289</v>
      </c>
      <c r="R24" s="2"/>
      <c r="S24" s="2"/>
      <c r="T24" s="2"/>
      <c r="U24" s="2">
        <f>U23-V23</f>
        <v>-234</v>
      </c>
      <c r="V24" s="64"/>
    </row>
    <row r="25" spans="1:22" x14ac:dyDescent="0.3">
      <c r="A25" s="170"/>
      <c r="B25" s="67"/>
      <c r="C25" s="67"/>
      <c r="D25" s="67"/>
      <c r="E25" s="4"/>
      <c r="F25" s="4"/>
      <c r="G25" s="67"/>
      <c r="H25" s="180"/>
      <c r="I25" s="71"/>
      <c r="J25" s="2"/>
      <c r="K25" s="120" t="s">
        <v>285</v>
      </c>
      <c r="L25" s="2">
        <f>(SUM(L24:U24)/4)</f>
        <v>-50.5</v>
      </c>
      <c r="M25" s="2"/>
      <c r="N25" s="2"/>
      <c r="O25" s="2"/>
      <c r="P25" s="2"/>
      <c r="Q25" s="2"/>
      <c r="R25" s="2"/>
      <c r="S25" s="2"/>
      <c r="T25" s="2"/>
      <c r="U25" s="2"/>
      <c r="V25" s="64"/>
    </row>
    <row r="26" spans="1:22" ht="15" thickBot="1" x14ac:dyDescent="0.35">
      <c r="A26" s="173" t="s">
        <v>220</v>
      </c>
      <c r="B26" s="176">
        <f t="shared" ref="B26" si="10">SUM(C26,-D26)</f>
        <v>-175</v>
      </c>
      <c r="C26" s="174">
        <f>SUM(C19,-C24)</f>
        <v>-36</v>
      </c>
      <c r="D26" s="174">
        <f>SUM(D19,-D24)</f>
        <v>139</v>
      </c>
      <c r="E26" s="174"/>
      <c r="F26" s="174">
        <f t="shared" ref="F26:I26" si="11">SUM(F19,-F24)</f>
        <v>139</v>
      </c>
      <c r="G26" s="174">
        <f t="shared" si="11"/>
        <v>13</v>
      </c>
      <c r="H26" s="181">
        <f t="shared" si="11"/>
        <v>177</v>
      </c>
      <c r="I26" s="179">
        <f t="shared" si="11"/>
        <v>299</v>
      </c>
      <c r="J26" s="2"/>
      <c r="K26" s="121"/>
      <c r="L26" s="65"/>
      <c r="M26" s="65"/>
      <c r="N26" s="65"/>
      <c r="O26" s="65"/>
      <c r="P26" s="65"/>
      <c r="Q26" s="65"/>
      <c r="R26" s="65"/>
      <c r="S26" s="65"/>
      <c r="T26" s="65"/>
      <c r="U26" s="65"/>
      <c r="V26" s="66"/>
    </row>
    <row r="27" spans="1:22" x14ac:dyDescent="0.3">
      <c r="A27" s="1"/>
      <c r="B27" s="1"/>
      <c r="C27" s="1"/>
      <c r="D27" s="1"/>
      <c r="E27" s="1"/>
      <c r="F27" s="1"/>
      <c r="G27" s="1"/>
      <c r="H27" s="1"/>
      <c r="I27" s="2"/>
      <c r="J27" s="2"/>
    </row>
    <row r="28" spans="1:22" x14ac:dyDescent="0.3">
      <c r="A28" s="1"/>
      <c r="B28" s="1"/>
      <c r="C28" s="240">
        <v>43830</v>
      </c>
      <c r="D28" s="240">
        <v>43465</v>
      </c>
      <c r="E28" s="1"/>
      <c r="F28" s="240">
        <v>43100</v>
      </c>
      <c r="G28" s="240">
        <v>42735</v>
      </c>
      <c r="H28" s="240">
        <v>42369</v>
      </c>
      <c r="I28" s="2"/>
      <c r="J28" s="2"/>
    </row>
    <row r="29" spans="1:22" x14ac:dyDescent="0.3">
      <c r="A29" s="4" t="s">
        <v>329</v>
      </c>
      <c r="B29" s="4"/>
      <c r="C29" s="4">
        <f>C8-D8</f>
        <v>0</v>
      </c>
      <c r="D29" s="4">
        <f>D8-F8</f>
        <v>118</v>
      </c>
      <c r="E29" s="4"/>
      <c r="F29" s="4">
        <f>F8-G8</f>
        <v>-159</v>
      </c>
      <c r="G29" s="4">
        <f>G8-H8</f>
        <v>97</v>
      </c>
      <c r="H29" s="4">
        <f>H8-I8</f>
        <v>-122</v>
      </c>
      <c r="I29" s="2"/>
      <c r="J29" s="2"/>
    </row>
    <row r="30" spans="1:22" x14ac:dyDescent="0.3">
      <c r="A30" s="4" t="s">
        <v>331</v>
      </c>
      <c r="B30" s="4"/>
      <c r="C30" s="4">
        <f>C26-D26</f>
        <v>-175</v>
      </c>
      <c r="D30" s="4">
        <f>D26-F26</f>
        <v>0</v>
      </c>
      <c r="E30" s="4"/>
      <c r="F30" s="4">
        <f>F26-G26</f>
        <v>126</v>
      </c>
      <c r="G30" s="4">
        <f>G26-H26</f>
        <v>-164</v>
      </c>
      <c r="H30" s="4">
        <f>H26-I26</f>
        <v>-122</v>
      </c>
      <c r="I30" s="2"/>
      <c r="J30" s="2"/>
    </row>
    <row r="31" spans="1:22" x14ac:dyDescent="0.3">
      <c r="A31" s="1"/>
      <c r="B31" s="22"/>
      <c r="C31" s="1"/>
      <c r="D31" s="1"/>
      <c r="E31" s="1"/>
      <c r="F31" s="1"/>
      <c r="G31" s="1"/>
      <c r="H31" s="1"/>
      <c r="I31" s="2"/>
      <c r="J31" s="2"/>
    </row>
    <row r="32" spans="1:22" x14ac:dyDescent="0.3">
      <c r="A32" s="1"/>
      <c r="B32" s="1"/>
      <c r="C32" s="1"/>
      <c r="D32" s="1"/>
      <c r="E32" s="1"/>
      <c r="F32" s="1"/>
      <c r="G32" s="1"/>
      <c r="H32" s="1"/>
      <c r="I32" s="2"/>
      <c r="J32" s="2"/>
    </row>
    <row r="33" spans="1:10" x14ac:dyDescent="0.3">
      <c r="A33" s="1"/>
      <c r="B33" s="1"/>
      <c r="C33" s="1"/>
      <c r="D33" s="1"/>
      <c r="E33" s="1"/>
      <c r="F33" s="1"/>
      <c r="G33" s="1"/>
      <c r="H33" s="1"/>
      <c r="I33" s="2"/>
      <c r="J33" s="2"/>
    </row>
    <row r="34" spans="1:10" x14ac:dyDescent="0.3">
      <c r="A34" s="1"/>
      <c r="B34" s="1"/>
      <c r="C34" s="2"/>
      <c r="D34" s="2"/>
      <c r="E34" s="2"/>
      <c r="F34" s="2"/>
      <c r="G34" s="2"/>
      <c r="H34" s="2"/>
      <c r="I34" s="2"/>
      <c r="J34" s="2"/>
    </row>
    <row r="35" spans="1:10" x14ac:dyDescent="0.3">
      <c r="A35" s="1"/>
      <c r="B35" s="1"/>
    </row>
    <row r="39" spans="1:10" ht="15" thickBot="1" x14ac:dyDescent="0.35"/>
    <row r="40" spans="1:10" ht="15" thickBot="1" x14ac:dyDescent="0.35">
      <c r="A40" s="168" t="s">
        <v>227</v>
      </c>
      <c r="B40" s="62"/>
      <c r="C40" s="203"/>
      <c r="D40" s="203"/>
      <c r="E40" s="62"/>
      <c r="F40" s="110" t="s">
        <v>222</v>
      </c>
      <c r="G40" s="8"/>
      <c r="H40" s="9"/>
    </row>
    <row r="41" spans="1:10" x14ac:dyDescent="0.3">
      <c r="A41" s="120"/>
      <c r="B41" s="67" t="s">
        <v>302</v>
      </c>
      <c r="C41" s="163">
        <v>43830</v>
      </c>
      <c r="D41" s="163">
        <v>43465</v>
      </c>
      <c r="E41" s="2"/>
      <c r="F41" s="172">
        <v>43100</v>
      </c>
      <c r="G41" s="172">
        <v>42735</v>
      </c>
      <c r="H41" s="178">
        <v>42369</v>
      </c>
    </row>
    <row r="42" spans="1:10" x14ac:dyDescent="0.3">
      <c r="A42" s="120" t="s">
        <v>303</v>
      </c>
      <c r="B42" s="67">
        <f>C42-D42</f>
        <v>75</v>
      </c>
      <c r="C42" s="67">
        <v>380</v>
      </c>
      <c r="D42" s="67">
        <v>305</v>
      </c>
      <c r="E42" s="2"/>
      <c r="F42" s="67">
        <v>306</v>
      </c>
      <c r="G42" s="67">
        <v>259</v>
      </c>
      <c r="H42" s="71">
        <v>253</v>
      </c>
    </row>
    <row r="43" spans="1:10" x14ac:dyDescent="0.3">
      <c r="A43" s="120" t="s">
        <v>306</v>
      </c>
      <c r="B43" s="67">
        <f t="shared" ref="B43:B46" si="12">C43-D43</f>
        <v>7</v>
      </c>
      <c r="C43" s="67">
        <v>379</v>
      </c>
      <c r="D43" s="67">
        <v>372</v>
      </c>
      <c r="E43" s="2"/>
      <c r="F43" s="67">
        <v>338</v>
      </c>
      <c r="G43" s="67">
        <v>348</v>
      </c>
      <c r="H43" s="71">
        <v>341</v>
      </c>
    </row>
    <row r="44" spans="1:10" x14ac:dyDescent="0.3">
      <c r="A44" s="120"/>
      <c r="B44" s="67"/>
      <c r="C44" s="67"/>
      <c r="D44" s="67"/>
      <c r="E44" s="2"/>
      <c r="F44" s="67"/>
      <c r="G44" s="67"/>
      <c r="H44" s="71"/>
    </row>
    <row r="45" spans="1:10" x14ac:dyDescent="0.3">
      <c r="A45" s="120" t="s">
        <v>304</v>
      </c>
      <c r="B45" s="67">
        <f t="shared" si="12"/>
        <v>52</v>
      </c>
      <c r="C45" s="67">
        <v>247</v>
      </c>
      <c r="D45" s="67">
        <v>195</v>
      </c>
      <c r="E45" s="2"/>
      <c r="F45" s="67">
        <v>148</v>
      </c>
      <c r="G45" s="67">
        <v>123</v>
      </c>
      <c r="H45" s="71">
        <v>88</v>
      </c>
    </row>
    <row r="46" spans="1:10" x14ac:dyDescent="0.3">
      <c r="A46" s="120" t="s">
        <v>305</v>
      </c>
      <c r="B46" s="67">
        <f t="shared" si="12"/>
        <v>32</v>
      </c>
      <c r="C46" s="67">
        <v>123</v>
      </c>
      <c r="D46" s="67">
        <v>91</v>
      </c>
      <c r="E46" s="2"/>
      <c r="F46" s="67">
        <v>72</v>
      </c>
      <c r="G46" s="67">
        <v>55</v>
      </c>
      <c r="H46" s="71">
        <v>54</v>
      </c>
    </row>
    <row r="47" spans="1:10" x14ac:dyDescent="0.3">
      <c r="A47" s="120"/>
      <c r="B47" s="67"/>
      <c r="C47" s="67"/>
      <c r="D47" s="67"/>
      <c r="E47" s="2"/>
      <c r="F47" s="67"/>
      <c r="G47" s="67"/>
      <c r="H47" s="71"/>
    </row>
    <row r="48" spans="1:10" x14ac:dyDescent="0.3">
      <c r="A48" s="150" t="s">
        <v>333</v>
      </c>
      <c r="B48" s="48">
        <f>C48-D48</f>
        <v>88</v>
      </c>
      <c r="C48" s="48">
        <f>C42+C45 - (C43+C46)</f>
        <v>125</v>
      </c>
      <c r="D48" s="48">
        <f t="shared" ref="D48:H48" si="13">D42+D45 - (D43+D46)</f>
        <v>37</v>
      </c>
      <c r="E48" s="250">
        <f t="shared" si="13"/>
        <v>0</v>
      </c>
      <c r="F48" s="48">
        <f t="shared" si="13"/>
        <v>44</v>
      </c>
      <c r="G48" s="48">
        <f t="shared" si="13"/>
        <v>-21</v>
      </c>
      <c r="H48" s="139">
        <f t="shared" si="13"/>
        <v>-54</v>
      </c>
    </row>
    <row r="49" spans="1:13" ht="15" thickBot="1" x14ac:dyDescent="0.35">
      <c r="A49" s="121"/>
      <c r="B49" s="65"/>
      <c r="C49" s="65"/>
      <c r="D49" s="65"/>
      <c r="E49" s="65"/>
      <c r="F49" s="65"/>
      <c r="G49" s="65"/>
      <c r="H49" s="66"/>
    </row>
    <row r="50" spans="1:13" x14ac:dyDescent="0.3">
      <c r="A50" s="2"/>
      <c r="B50" s="2"/>
      <c r="C50" s="2"/>
      <c r="D50" s="2"/>
      <c r="E50" s="2"/>
      <c r="F50" s="2"/>
      <c r="G50" s="2"/>
      <c r="H50" s="2"/>
    </row>
    <row r="59" spans="1:13" ht="15" thickBot="1" x14ac:dyDescent="0.35"/>
    <row r="60" spans="1:13" ht="15" thickBot="1" x14ac:dyDescent="0.35">
      <c r="A60" s="168" t="s">
        <v>255</v>
      </c>
      <c r="B60" s="62"/>
      <c r="C60" s="62"/>
      <c r="D60" s="62"/>
      <c r="E60" s="62"/>
      <c r="F60" s="62"/>
      <c r="G60" s="62"/>
      <c r="H60" s="62"/>
      <c r="I60" s="25"/>
      <c r="J60" s="25"/>
      <c r="K60" s="26"/>
      <c r="L60" s="1"/>
      <c r="M60" s="1"/>
    </row>
    <row r="61" spans="1:13" x14ac:dyDescent="0.3">
      <c r="A61" s="216" t="s">
        <v>288</v>
      </c>
      <c r="B61" s="2"/>
      <c r="C61" s="2"/>
      <c r="D61" s="217" t="s">
        <v>289</v>
      </c>
      <c r="E61" s="217"/>
      <c r="F61" s="2"/>
      <c r="G61" s="2"/>
      <c r="H61" s="217" t="s">
        <v>292</v>
      </c>
      <c r="I61" s="217"/>
      <c r="J61" s="217"/>
      <c r="K61" s="27"/>
      <c r="L61" s="1"/>
      <c r="M61" s="1"/>
    </row>
    <row r="62" spans="1:13" x14ac:dyDescent="0.3">
      <c r="A62" s="120" t="s">
        <v>261</v>
      </c>
      <c r="B62" s="197">
        <v>-7.2081146095294803E-4</v>
      </c>
      <c r="C62" s="2"/>
      <c r="D62" s="2" t="s">
        <v>259</v>
      </c>
      <c r="E62" s="199">
        <v>-7.2081146095294803E-4</v>
      </c>
      <c r="F62" s="197"/>
      <c r="G62" s="2"/>
      <c r="H62" s="2"/>
      <c r="I62" s="1"/>
      <c r="J62" s="1"/>
      <c r="K62" s="27"/>
      <c r="L62" s="1"/>
      <c r="M62" s="1"/>
    </row>
    <row r="63" spans="1:13" x14ac:dyDescent="0.3">
      <c r="A63" s="120" t="s">
        <v>262</v>
      </c>
      <c r="B63" s="198">
        <v>1.4999999999999999E-2</v>
      </c>
      <c r="C63" s="2"/>
      <c r="D63" s="2" t="s">
        <v>260</v>
      </c>
      <c r="E63" s="198">
        <v>1.4999999999999999E-2</v>
      </c>
      <c r="F63" s="198"/>
      <c r="G63" s="2"/>
      <c r="H63" s="2" t="s">
        <v>273</v>
      </c>
      <c r="I63" s="213">
        <f>I89</f>
        <v>1.8253033707865168E-2</v>
      </c>
      <c r="J63" s="213"/>
      <c r="K63" s="27"/>
      <c r="L63" s="1"/>
      <c r="M63" s="1"/>
    </row>
    <row r="64" spans="1:13" ht="15" thickBot="1" x14ac:dyDescent="0.35">
      <c r="A64" s="210" t="s">
        <v>256</v>
      </c>
      <c r="B64" s="211">
        <f>SUM(B62:B63)</f>
        <v>1.4279188539047052E-2</v>
      </c>
      <c r="C64" s="199"/>
      <c r="D64" s="212" t="s">
        <v>256</v>
      </c>
      <c r="E64" s="212">
        <f>SUM(E62:E63)</f>
        <v>1.4279188539047052E-2</v>
      </c>
      <c r="F64" s="199"/>
      <c r="G64" s="2"/>
      <c r="H64" s="65"/>
      <c r="I64" s="28"/>
      <c r="J64" s="1"/>
      <c r="K64" s="27"/>
      <c r="L64" s="1"/>
      <c r="M64" s="1"/>
    </row>
    <row r="65" spans="1:13" x14ac:dyDescent="0.3">
      <c r="A65" s="120" t="s">
        <v>258</v>
      </c>
      <c r="B65" s="198">
        <v>0.27900000000000003</v>
      </c>
      <c r="C65" s="2"/>
      <c r="D65" s="2" t="s">
        <v>258</v>
      </c>
      <c r="E65" s="198">
        <v>0.27900000000000003</v>
      </c>
      <c r="F65" s="2"/>
      <c r="G65" s="2"/>
      <c r="H65" s="2" t="s">
        <v>258</v>
      </c>
      <c r="I65" s="198">
        <v>0.27900000000000003</v>
      </c>
      <c r="J65" s="198"/>
      <c r="K65" s="27"/>
      <c r="L65" s="1"/>
      <c r="M65" s="1"/>
    </row>
    <row r="66" spans="1:13" x14ac:dyDescent="0.3">
      <c r="A66" s="120" t="s">
        <v>293</v>
      </c>
      <c r="B66" s="196">
        <f>PRODUCT(B64,(1-B65))</f>
        <v>1.0295294936652924E-2</v>
      </c>
      <c r="C66" s="2"/>
      <c r="D66" s="2" t="s">
        <v>293</v>
      </c>
      <c r="E66" s="196">
        <f>PRODUCT(E64,(1-E65))</f>
        <v>1.0295294936652924E-2</v>
      </c>
      <c r="F66" s="2"/>
      <c r="G66" s="2"/>
      <c r="H66" s="1" t="s">
        <v>294</v>
      </c>
      <c r="I66" s="208">
        <f>PRODUCT(I63,(1-I65))</f>
        <v>1.3160437303370786E-2</v>
      </c>
      <c r="J66" s="208"/>
      <c r="K66" s="27"/>
      <c r="L66" s="1"/>
      <c r="M66" s="1"/>
    </row>
    <row r="67" spans="1:13" x14ac:dyDescent="0.3">
      <c r="A67" s="120"/>
      <c r="B67" s="2"/>
      <c r="C67" s="2"/>
      <c r="D67" s="2"/>
      <c r="E67" s="2"/>
      <c r="F67" s="2"/>
      <c r="G67" s="2"/>
      <c r="H67" s="2"/>
      <c r="I67" s="214"/>
      <c r="J67" s="214"/>
      <c r="K67" s="27"/>
      <c r="L67" s="1"/>
      <c r="M67" s="1"/>
    </row>
    <row r="68" spans="1:13" x14ac:dyDescent="0.3">
      <c r="A68" s="120" t="s">
        <v>295</v>
      </c>
      <c r="B68" s="197">
        <v>-7.2081146095294803E-4</v>
      </c>
      <c r="C68" s="2"/>
      <c r="D68" s="2" t="s">
        <v>295</v>
      </c>
      <c r="E68" s="199">
        <v>-7.2081146095294803E-4</v>
      </c>
      <c r="F68" s="197"/>
      <c r="G68" s="2"/>
      <c r="H68" s="1" t="s">
        <v>295</v>
      </c>
      <c r="I68" s="197">
        <v>-7.2081146095294803E-4</v>
      </c>
      <c r="J68" s="197"/>
      <c r="K68" s="209"/>
      <c r="L68" s="1"/>
      <c r="M68" s="1"/>
    </row>
    <row r="69" spans="1:13" x14ac:dyDescent="0.3">
      <c r="A69" s="120" t="s">
        <v>263</v>
      </c>
      <c r="B69" s="200">
        <v>2.99661426831043E-2</v>
      </c>
      <c r="C69" s="2"/>
      <c r="D69" s="2" t="s">
        <v>263</v>
      </c>
      <c r="E69" s="200">
        <v>2.99661426831043E-2</v>
      </c>
      <c r="F69" s="200"/>
      <c r="G69" s="2"/>
      <c r="H69" s="2" t="s">
        <v>263</v>
      </c>
      <c r="I69" s="200">
        <v>2.99661426831043E-2</v>
      </c>
      <c r="J69" s="200"/>
      <c r="K69" s="64"/>
    </row>
    <row r="70" spans="1:13" x14ac:dyDescent="0.3">
      <c r="A70" s="120" t="s">
        <v>264</v>
      </c>
      <c r="B70" s="196">
        <v>4.0205104717786398E-2</v>
      </c>
      <c r="C70" s="2"/>
      <c r="D70" s="1" t="s">
        <v>264</v>
      </c>
      <c r="E70" s="213">
        <v>4.0205104717786398E-2</v>
      </c>
      <c r="F70" s="2"/>
      <c r="G70" s="2"/>
      <c r="H70" s="2" t="s">
        <v>264</v>
      </c>
      <c r="I70" s="196">
        <v>4.0205104717786398E-2</v>
      </c>
      <c r="J70" s="196"/>
      <c r="K70" s="64"/>
    </row>
    <row r="71" spans="1:13" x14ac:dyDescent="0.3">
      <c r="A71" s="120" t="s">
        <v>296</v>
      </c>
      <c r="B71" s="200">
        <f>SUM(B69:B70)</f>
        <v>7.0171247400890702E-2</v>
      </c>
      <c r="C71" s="2"/>
      <c r="D71" s="1" t="s">
        <v>296</v>
      </c>
      <c r="E71" s="200">
        <f>SUM(E69:E70)</f>
        <v>7.0171247400890702E-2</v>
      </c>
      <c r="F71" s="2"/>
      <c r="G71" s="2"/>
      <c r="H71" s="2" t="s">
        <v>296</v>
      </c>
      <c r="I71" s="200">
        <f>SUM(I69:I70)</f>
        <v>7.0171247400890702E-2</v>
      </c>
      <c r="J71" s="200"/>
      <c r="K71" s="64"/>
    </row>
    <row r="72" spans="1:13" ht="15" thickBot="1" x14ac:dyDescent="0.35">
      <c r="A72" s="121" t="s">
        <v>297</v>
      </c>
      <c r="B72" s="215">
        <v>0.87311649000000002</v>
      </c>
      <c r="C72" s="2"/>
      <c r="D72" s="28" t="s">
        <v>298</v>
      </c>
      <c r="E72" s="28">
        <v>0.83109791342430983</v>
      </c>
      <c r="F72" s="2"/>
      <c r="G72" s="2"/>
      <c r="H72" s="65" t="s">
        <v>297</v>
      </c>
      <c r="I72" s="215">
        <v>0.87311649000000002</v>
      </c>
      <c r="J72" s="249"/>
      <c r="K72" s="64"/>
    </row>
    <row r="73" spans="1:13" x14ac:dyDescent="0.3">
      <c r="A73" s="120" t="s">
        <v>257</v>
      </c>
      <c r="B73" s="199">
        <f>B68+PRODUCT(B72,B71)</f>
        <v>6.0546861768634365E-2</v>
      </c>
      <c r="C73" s="2"/>
      <c r="D73" s="2" t="s">
        <v>257</v>
      </c>
      <c r="E73" s="199">
        <f>E68+PRODUCT(E71:E72)</f>
        <v>5.7598365836308334E-2</v>
      </c>
      <c r="F73" s="2"/>
      <c r="G73" s="2"/>
      <c r="H73" s="1" t="s">
        <v>257</v>
      </c>
      <c r="I73" s="199">
        <f>SUM(I68,PRODUCT(I72,I71))</f>
        <v>6.0546861768634365E-2</v>
      </c>
      <c r="J73" s="199"/>
      <c r="K73" s="64"/>
    </row>
    <row r="74" spans="1:13" x14ac:dyDescent="0.3">
      <c r="A74" s="120"/>
      <c r="B74" s="2"/>
      <c r="C74" s="2"/>
      <c r="D74" s="2"/>
      <c r="E74" s="2"/>
      <c r="F74" s="2"/>
      <c r="G74" s="2"/>
      <c r="H74" s="2"/>
      <c r="I74" s="2"/>
      <c r="J74" s="2"/>
      <c r="K74" s="64"/>
    </row>
    <row r="75" spans="1:13" x14ac:dyDescent="0.3">
      <c r="A75" s="224" t="s">
        <v>299</v>
      </c>
      <c r="B75" s="221">
        <f>B73*(C93/(C93+C95)) + B66*(C95/(C93+C95))</f>
        <v>3.5352511933376234E-2</v>
      </c>
      <c r="C75" s="2"/>
      <c r="D75" s="224" t="s">
        <v>299</v>
      </c>
      <c r="E75" s="222"/>
      <c r="F75" s="2"/>
      <c r="G75" s="2"/>
      <c r="H75" s="224" t="s">
        <v>299</v>
      </c>
      <c r="I75" s="221">
        <f>I73*(C93/(C93+C95)) + I66*(C95/(C93+C95))</f>
        <v>3.6788992498375625E-2</v>
      </c>
      <c r="J75" s="221"/>
      <c r="K75" s="64"/>
    </row>
    <row r="76" spans="1:13" x14ac:dyDescent="0.3">
      <c r="A76" s="224" t="s">
        <v>300</v>
      </c>
      <c r="B76" s="221">
        <f>B73*(C94/(C94+C96)) + B66*(C96/(C94+C96))</f>
        <v>3.9460647259396547E-2</v>
      </c>
      <c r="C76" s="2"/>
      <c r="D76" s="224" t="s">
        <v>300</v>
      </c>
      <c r="E76" s="223">
        <f>E73*(C94/(C94+C96)) + E66*(C96/(C94+C96))</f>
        <v>3.7749378773460775E-2</v>
      </c>
      <c r="F76" s="2"/>
      <c r="G76" s="2"/>
      <c r="H76" s="224" t="s">
        <v>300</v>
      </c>
      <c r="I76" s="221">
        <f>I73*(C94/(C94+C96)) + I66*(C96/(C94+C96))</f>
        <v>4.0662898459764465E-2</v>
      </c>
      <c r="J76" s="221"/>
      <c r="K76" s="64"/>
    </row>
    <row r="77" spans="1:13" ht="15" thickBot="1" x14ac:dyDescent="0.35">
      <c r="A77" s="120"/>
      <c r="B77" s="2"/>
      <c r="C77" s="2"/>
      <c r="D77" s="1"/>
      <c r="E77" s="2"/>
      <c r="F77" s="2"/>
      <c r="G77" s="2"/>
      <c r="H77" s="1"/>
      <c r="I77" s="2"/>
      <c r="J77" s="2"/>
      <c r="K77" s="64"/>
    </row>
    <row r="78" spans="1:13" x14ac:dyDescent="0.3">
      <c r="A78" s="120"/>
      <c r="B78" s="2"/>
      <c r="C78" s="2"/>
      <c r="D78" s="2"/>
      <c r="E78" s="2"/>
      <c r="F78" s="2"/>
      <c r="G78" s="218" t="s">
        <v>290</v>
      </c>
      <c r="H78" s="62"/>
      <c r="I78" s="62"/>
      <c r="J78" s="62"/>
      <c r="K78" s="63"/>
    </row>
    <row r="79" spans="1:13" x14ac:dyDescent="0.3">
      <c r="A79" s="120"/>
      <c r="B79" s="2"/>
      <c r="C79" s="2"/>
      <c r="D79" s="2"/>
      <c r="E79" s="2"/>
      <c r="F79" s="2"/>
      <c r="G79" s="219" t="s">
        <v>301</v>
      </c>
      <c r="H79" s="2"/>
      <c r="I79" s="2"/>
      <c r="J79" s="2"/>
      <c r="K79" s="64"/>
    </row>
    <row r="80" spans="1:13" ht="15" thickBot="1" x14ac:dyDescent="0.35">
      <c r="A80" s="121"/>
      <c r="B80" s="65"/>
      <c r="C80" s="65"/>
      <c r="D80" s="65"/>
      <c r="E80" s="65"/>
      <c r="F80" s="65"/>
      <c r="G80" s="220" t="s">
        <v>291</v>
      </c>
      <c r="H80" s="65"/>
      <c r="I80" s="65"/>
      <c r="J80" s="65"/>
      <c r="K80" s="66"/>
    </row>
    <row r="83" spans="1:12" x14ac:dyDescent="0.3">
      <c r="H83" s="67"/>
      <c r="I83" s="67" t="s">
        <v>271</v>
      </c>
      <c r="J83" s="67"/>
      <c r="K83" s="67" t="s">
        <v>272</v>
      </c>
      <c r="L83" s="67" t="s">
        <v>266</v>
      </c>
    </row>
    <row r="84" spans="1:12" x14ac:dyDescent="0.3">
      <c r="A84" s="2"/>
      <c r="B84" s="2"/>
      <c r="C84" s="2"/>
      <c r="H84" s="67" t="s">
        <v>267</v>
      </c>
      <c r="I84" s="67">
        <v>3.6880000000000003E-2</v>
      </c>
      <c r="J84" s="67"/>
      <c r="K84" s="67">
        <v>2</v>
      </c>
      <c r="L84" s="67">
        <v>500</v>
      </c>
    </row>
    <row r="85" spans="1:12" x14ac:dyDescent="0.3">
      <c r="A85" s="2"/>
      <c r="B85" s="2"/>
      <c r="C85" s="2"/>
      <c r="H85" s="67" t="s">
        <v>268</v>
      </c>
      <c r="I85" s="67">
        <v>1.8360000000000001E-2</v>
      </c>
      <c r="J85" s="67"/>
      <c r="K85" s="67">
        <v>5</v>
      </c>
      <c r="L85" s="67">
        <v>300</v>
      </c>
    </row>
    <row r="86" spans="1:12" x14ac:dyDescent="0.3">
      <c r="A86" s="2"/>
      <c r="B86" s="2"/>
      <c r="C86" s="2"/>
      <c r="H86" s="67" t="s">
        <v>269</v>
      </c>
      <c r="I86" s="67">
        <v>1.7680000000000001E-2</v>
      </c>
      <c r="J86" s="67"/>
      <c r="K86" s="67">
        <v>8</v>
      </c>
      <c r="L86" s="67">
        <v>300</v>
      </c>
    </row>
    <row r="87" spans="1:12" x14ac:dyDescent="0.3">
      <c r="A87" s="2"/>
      <c r="B87" s="2"/>
      <c r="C87" s="2"/>
      <c r="H87" s="67" t="s">
        <v>270</v>
      </c>
      <c r="I87" s="67">
        <v>1.3899999999999999E-2</v>
      </c>
      <c r="J87" s="67"/>
      <c r="K87" s="67">
        <v>10</v>
      </c>
      <c r="L87" s="67">
        <v>400</v>
      </c>
    </row>
    <row r="88" spans="1:12" x14ac:dyDescent="0.3">
      <c r="A88" s="2"/>
      <c r="B88" s="2"/>
      <c r="C88" s="2"/>
    </row>
    <row r="89" spans="1:12" x14ac:dyDescent="0.3">
      <c r="A89" s="2"/>
      <c r="B89" s="2"/>
      <c r="C89" s="2"/>
      <c r="H89" s="167" t="s">
        <v>273</v>
      </c>
      <c r="I89" s="201">
        <f xml:space="preserve"> (PRODUCT(I84:L84) + PRODUCT(I85:L85) + PRODUCT(I86:L86) + PRODUCT(I87:L87)) / (PRODUCT(K84:L84) + PRODUCT(K85:L85) + PRODUCT(K86:L86) + PRODUCT(K87:L87))</f>
        <v>1.8253033707865168E-2</v>
      </c>
      <c r="J89" s="201"/>
    </row>
    <row r="90" spans="1:12" x14ac:dyDescent="0.3">
      <c r="A90" s="2"/>
      <c r="B90" s="2"/>
      <c r="C90" s="2"/>
    </row>
    <row r="91" spans="1:12" ht="15" thickBot="1" x14ac:dyDescent="0.35"/>
    <row r="92" spans="1:12" ht="15" thickBot="1" x14ac:dyDescent="0.35">
      <c r="C92" s="193" t="s">
        <v>276</v>
      </c>
      <c r="D92" s="195" t="s">
        <v>277</v>
      </c>
    </row>
    <row r="93" spans="1:12" ht="15" thickBot="1" x14ac:dyDescent="0.35">
      <c r="A93" s="193" t="s">
        <v>251</v>
      </c>
      <c r="B93" s="194" t="s">
        <v>250</v>
      </c>
      <c r="C93" s="195">
        <v>3289</v>
      </c>
      <c r="D93" s="195">
        <v>3289</v>
      </c>
    </row>
    <row r="94" spans="1:12" ht="15" thickBot="1" x14ac:dyDescent="0.35">
      <c r="A94" s="193" t="s">
        <v>252</v>
      </c>
      <c r="B94" s="194" t="s">
        <v>265</v>
      </c>
      <c r="C94" s="195">
        <f>PRODUCT(1.67,3109.183856)</f>
        <v>5192.33703952</v>
      </c>
      <c r="D94" s="195">
        <f>PRODUCT(1.21,3109.183856)</f>
        <v>3762.1124657599998</v>
      </c>
    </row>
    <row r="95" spans="1:12" ht="15" thickBot="1" x14ac:dyDescent="0.35">
      <c r="A95" s="193" t="s">
        <v>245</v>
      </c>
      <c r="B95" s="194" t="s">
        <v>247</v>
      </c>
      <c r="C95" s="195">
        <v>3307</v>
      </c>
      <c r="D95" s="195">
        <v>3307</v>
      </c>
    </row>
    <row r="96" spans="1:12" x14ac:dyDescent="0.3">
      <c r="A96" s="119" t="s">
        <v>246</v>
      </c>
      <c r="B96" s="62"/>
      <c r="C96" s="63">
        <f>(SUM(C97:C99))</f>
        <v>3754</v>
      </c>
      <c r="D96" s="63">
        <f>(SUM(D97:D99))</f>
        <v>3754</v>
      </c>
    </row>
    <row r="97" spans="1:4" x14ac:dyDescent="0.3">
      <c r="A97" s="120"/>
      <c r="B97" s="67" t="s">
        <v>248</v>
      </c>
      <c r="C97" s="71">
        <v>3635</v>
      </c>
      <c r="D97" s="71">
        <v>3635</v>
      </c>
    </row>
    <row r="98" spans="1:4" x14ac:dyDescent="0.3">
      <c r="A98" s="120"/>
      <c r="B98" s="67" t="s">
        <v>216</v>
      </c>
      <c r="C98" s="71">
        <v>2</v>
      </c>
      <c r="D98" s="71">
        <v>2</v>
      </c>
    </row>
    <row r="99" spans="1:4" ht="15" thickBot="1" x14ac:dyDescent="0.35">
      <c r="A99" s="121"/>
      <c r="B99" s="72" t="s">
        <v>249</v>
      </c>
      <c r="C99" s="73">
        <v>117</v>
      </c>
      <c r="D99" s="73">
        <v>117</v>
      </c>
    </row>
  </sheetData>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461D4C-151F-470B-8443-1903C71474D2}">
  <dimension ref="A1:L21"/>
  <sheetViews>
    <sheetView workbookViewId="0">
      <selection activeCell="F10" sqref="F10"/>
    </sheetView>
  </sheetViews>
  <sheetFormatPr defaultRowHeight="14.4" x14ac:dyDescent="0.3"/>
  <cols>
    <col min="1" max="1" width="32.77734375" customWidth="1"/>
    <col min="2" max="2" width="10.5546875" bestFit="1" customWidth="1"/>
    <col min="3" max="3" width="12.88671875" customWidth="1"/>
    <col min="4" max="4" width="9.88671875" customWidth="1"/>
    <col min="5" max="5" width="13.109375" customWidth="1"/>
    <col min="6" max="6" width="14.77734375" customWidth="1"/>
    <col min="10" max="10" width="25.44140625" customWidth="1"/>
  </cols>
  <sheetData>
    <row r="1" spans="1:12" x14ac:dyDescent="0.3">
      <c r="A1" s="202" t="s">
        <v>239</v>
      </c>
      <c r="B1" s="62"/>
      <c r="C1" s="62"/>
      <c r="D1" s="62"/>
      <c r="E1" s="62"/>
      <c r="F1" s="63"/>
    </row>
    <row r="2" spans="1:12" x14ac:dyDescent="0.3">
      <c r="A2" s="120"/>
      <c r="B2" s="2"/>
      <c r="C2" s="2" t="s">
        <v>31</v>
      </c>
      <c r="D2" s="2" t="s">
        <v>229</v>
      </c>
      <c r="E2" s="2" t="s">
        <v>230</v>
      </c>
      <c r="F2" s="64" t="s">
        <v>238</v>
      </c>
    </row>
    <row r="3" spans="1:12" x14ac:dyDescent="0.3">
      <c r="A3" s="120" t="s">
        <v>231</v>
      </c>
      <c r="B3" s="2"/>
      <c r="C3" s="2">
        <f xml:space="preserve"> SUM(1544.265 +3056-764)</f>
        <v>3836.2650000000003</v>
      </c>
      <c r="D3" s="2">
        <f>(C3/C10)</f>
        <v>0.52576026796023623</v>
      </c>
      <c r="E3" s="2">
        <v>0.41</v>
      </c>
      <c r="F3" s="64">
        <f>PRODUCT(D3,E3)</f>
        <v>0.21556170986369683</v>
      </c>
    </row>
    <row r="4" spans="1:12" x14ac:dyDescent="0.3">
      <c r="A4" s="120" t="s">
        <v>232</v>
      </c>
      <c r="B4" s="2"/>
      <c r="C4" s="2">
        <v>49.814999999999998</v>
      </c>
      <c r="D4" s="2">
        <f>(C4/C10)</f>
        <v>6.8271476940303041E-3</v>
      </c>
      <c r="E4" s="2">
        <v>0.28999999999999998</v>
      </c>
      <c r="F4" s="64">
        <f t="shared" ref="F4:F9" si="0">PRODUCT(D4,E4)</f>
        <v>1.9798728312687879E-3</v>
      </c>
    </row>
    <row r="5" spans="1:12" x14ac:dyDescent="0.3">
      <c r="A5" s="120" t="s">
        <v>237</v>
      </c>
      <c r="B5" s="2"/>
      <c r="C5" s="204">
        <f>514.755 + 764</f>
        <v>1278.7550000000001</v>
      </c>
      <c r="D5" s="2">
        <f>(C5/C10)</f>
        <v>0.17525342265341209</v>
      </c>
      <c r="E5" s="2">
        <v>0.6</v>
      </c>
      <c r="F5" s="64">
        <f t="shared" si="0"/>
        <v>0.10515205359204725</v>
      </c>
    </row>
    <row r="6" spans="1:12" x14ac:dyDescent="0.3">
      <c r="A6" s="120" t="s">
        <v>233</v>
      </c>
      <c r="B6" s="2"/>
      <c r="C6" s="2">
        <v>903</v>
      </c>
      <c r="D6" s="2">
        <f>(C6/C10)</f>
        <v>0.12375618523957373</v>
      </c>
      <c r="E6" s="2">
        <v>0.8</v>
      </c>
      <c r="F6" s="64">
        <f t="shared" si="0"/>
        <v>9.900494819165899E-2</v>
      </c>
    </row>
    <row r="7" spans="1:12" x14ac:dyDescent="0.3">
      <c r="A7" s="120"/>
      <c r="B7" s="2"/>
      <c r="C7" s="2"/>
      <c r="D7" s="2"/>
      <c r="E7" s="2"/>
      <c r="F7" s="64">
        <f t="shared" si="0"/>
        <v>0</v>
      </c>
    </row>
    <row r="8" spans="1:12" x14ac:dyDescent="0.3">
      <c r="A8" s="120" t="s">
        <v>234</v>
      </c>
      <c r="B8" s="2"/>
      <c r="C8" s="2">
        <v>1228.77</v>
      </c>
      <c r="D8" s="2">
        <f>(C8/C10)</f>
        <v>0.16840297645274752</v>
      </c>
      <c r="E8" s="2">
        <v>0.74</v>
      </c>
      <c r="F8" s="64">
        <f t="shared" si="0"/>
        <v>0.12461820257503316</v>
      </c>
    </row>
    <row r="9" spans="1:12" x14ac:dyDescent="0.3">
      <c r="A9" s="120" t="s">
        <v>235</v>
      </c>
      <c r="B9" s="2"/>
      <c r="C9" s="2"/>
      <c r="D9" s="2">
        <f>(C9/C10)</f>
        <v>0</v>
      </c>
      <c r="E9" s="2">
        <v>0.91</v>
      </c>
      <c r="F9" s="64">
        <f t="shared" si="0"/>
        <v>0</v>
      </c>
    </row>
    <row r="10" spans="1:12" ht="15" thickBot="1" x14ac:dyDescent="0.35">
      <c r="A10" s="121" t="s">
        <v>236</v>
      </c>
      <c r="B10" s="65"/>
      <c r="C10" s="65">
        <f>SUM(C3:C9)</f>
        <v>7296.6050000000014</v>
      </c>
      <c r="D10" s="65">
        <f>SUM(D3:D9)</f>
        <v>0.99999999999999989</v>
      </c>
      <c r="E10" s="65"/>
      <c r="F10" s="205">
        <f t="shared" ref="F10" si="1">SUM(F3:F9)</f>
        <v>0.54631678705370501</v>
      </c>
    </row>
    <row r="12" spans="1:12" ht="15" thickBot="1" x14ac:dyDescent="0.35"/>
    <row r="13" spans="1:12" ht="15" thickBot="1" x14ac:dyDescent="0.35">
      <c r="K13" s="193" t="s">
        <v>276</v>
      </c>
      <c r="L13" s="195" t="s">
        <v>277</v>
      </c>
    </row>
    <row r="14" spans="1:12" ht="15" thickBot="1" x14ac:dyDescent="0.35">
      <c r="I14" s="193" t="s">
        <v>251</v>
      </c>
      <c r="J14" s="194" t="s">
        <v>250</v>
      </c>
      <c r="K14" s="195">
        <v>3289</v>
      </c>
      <c r="L14" s="195">
        <v>3289</v>
      </c>
    </row>
    <row r="15" spans="1:12" ht="15" thickBot="1" x14ac:dyDescent="0.35">
      <c r="A15" s="202" t="s">
        <v>240</v>
      </c>
      <c r="B15" s="203">
        <v>43830</v>
      </c>
      <c r="C15" s="63" t="s">
        <v>278</v>
      </c>
      <c r="I15" s="193" t="s">
        <v>252</v>
      </c>
      <c r="J15" s="194" t="s">
        <v>265</v>
      </c>
      <c r="K15" s="195">
        <f>PRODUCT(1.67,3109.183856)</f>
        <v>5192.33703952</v>
      </c>
      <c r="L15" s="195">
        <f>PRODUCT(1.21,3109.183856)</f>
        <v>3762.1124657599998</v>
      </c>
    </row>
    <row r="16" spans="1:12" ht="15" thickBot="1" x14ac:dyDescent="0.35">
      <c r="A16" s="120" t="s">
        <v>241</v>
      </c>
      <c r="B16" s="2">
        <f>F10</f>
        <v>0.54631678705370501</v>
      </c>
      <c r="C16" s="64">
        <f>F10</f>
        <v>0.54631678705370501</v>
      </c>
      <c r="I16" s="193" t="s">
        <v>245</v>
      </c>
      <c r="J16" s="194" t="s">
        <v>247</v>
      </c>
      <c r="K16" s="195">
        <v>3307</v>
      </c>
      <c r="L16" s="195">
        <v>3307</v>
      </c>
    </row>
    <row r="17" spans="1:12" x14ac:dyDescent="0.3">
      <c r="A17" s="120" t="s">
        <v>242</v>
      </c>
      <c r="B17" s="2">
        <f>K16/K14</f>
        <v>1.0054727880814838</v>
      </c>
      <c r="C17" s="64">
        <f>L16/L14</f>
        <v>1.0054727880814838</v>
      </c>
      <c r="I17" s="119" t="s">
        <v>246</v>
      </c>
      <c r="J17" s="62"/>
      <c r="K17" s="63">
        <f>(SUM(K18:K20))</f>
        <v>3754</v>
      </c>
      <c r="L17" s="63">
        <f>(SUM(L18:L20))</f>
        <v>3754</v>
      </c>
    </row>
    <row r="18" spans="1:12" x14ac:dyDescent="0.3">
      <c r="A18" s="120" t="s">
        <v>243</v>
      </c>
      <c r="B18" s="2">
        <f>K17/K15</f>
        <v>0.7229885062212823</v>
      </c>
      <c r="C18" s="64">
        <f>L17/L15</f>
        <v>0.99784364081780286</v>
      </c>
      <c r="I18" s="120"/>
      <c r="J18" s="67" t="s">
        <v>248</v>
      </c>
      <c r="K18" s="71">
        <v>3635</v>
      </c>
      <c r="L18" s="71">
        <v>3635</v>
      </c>
    </row>
    <row r="19" spans="1:12" x14ac:dyDescent="0.3">
      <c r="A19" s="120" t="s">
        <v>244</v>
      </c>
      <c r="B19" s="2">
        <v>0.27900000000000003</v>
      </c>
      <c r="C19" s="64">
        <v>0.27900000000000003</v>
      </c>
      <c r="I19" s="120"/>
      <c r="J19" s="67" t="s">
        <v>216</v>
      </c>
      <c r="K19" s="71">
        <v>2</v>
      </c>
      <c r="L19" s="71">
        <v>2</v>
      </c>
    </row>
    <row r="20" spans="1:12" ht="15" thickBot="1" x14ac:dyDescent="0.35">
      <c r="A20" s="120" t="s">
        <v>253</v>
      </c>
      <c r="B20" s="2">
        <f>PRODUCT(B16,(1+PRODUCT((1-B19),B17)))</f>
        <v>0.94236689111607663</v>
      </c>
      <c r="C20" s="64">
        <f>PRODUCT(B16*(1+PRODUCT((1-B19),C17)))</f>
        <v>0.94236689111607663</v>
      </c>
      <c r="I20" s="121"/>
      <c r="J20" s="72" t="s">
        <v>249</v>
      </c>
      <c r="K20" s="73">
        <v>117</v>
      </c>
      <c r="L20" s="73">
        <v>117</v>
      </c>
    </row>
    <row r="21" spans="1:12" ht="15" thickBot="1" x14ac:dyDescent="0.35">
      <c r="A21" s="121" t="s">
        <v>254</v>
      </c>
      <c r="B21" s="65">
        <f>PRODUCT(B16,(1+PRODUCT((1-B19),B18)))</f>
        <v>0.83109791342430983</v>
      </c>
      <c r="C21" s="66">
        <f>PRODUCT(C16,(1+PRODUCT((1-C19),C18)))</f>
        <v>0.93936181270569696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1BB66B-C038-41A3-A377-50E94E5A5614}">
  <dimension ref="A1:X54"/>
  <sheetViews>
    <sheetView topLeftCell="G16" workbookViewId="0">
      <selection activeCell="N29" sqref="N29:V37"/>
    </sheetView>
  </sheetViews>
  <sheetFormatPr defaultRowHeight="14.4" x14ac:dyDescent="0.3"/>
  <cols>
    <col min="1" max="1" width="25.44140625" customWidth="1"/>
    <col min="2" max="2" width="8.88671875" customWidth="1"/>
    <col min="3" max="3" width="10.5546875" bestFit="1" customWidth="1"/>
    <col min="4" max="4" width="10.5546875" customWidth="1"/>
    <col min="5" max="5" width="10.77734375" bestFit="1" customWidth="1"/>
    <col min="7" max="9" width="10.5546875" bestFit="1" customWidth="1"/>
    <col min="13" max="13" width="20.6640625" customWidth="1"/>
    <col min="16" max="16" width="11.88671875" customWidth="1"/>
    <col min="17" max="17" width="12.109375" customWidth="1"/>
    <col min="18" max="18" width="11.109375" customWidth="1"/>
    <col min="19" max="19" width="12.6640625" customWidth="1"/>
    <col min="20" max="20" width="12.21875" customWidth="1"/>
    <col min="21" max="21" width="10.6640625" customWidth="1"/>
    <col min="22" max="22" width="11.88671875" customWidth="1"/>
    <col min="23" max="23" width="10.5546875" customWidth="1"/>
    <col min="24" max="24" width="11.6640625" customWidth="1"/>
  </cols>
  <sheetData>
    <row r="1" spans="1:24" ht="15" thickBot="1" x14ac:dyDescent="0.35">
      <c r="A1" s="119"/>
      <c r="B1" s="62"/>
      <c r="C1" s="62"/>
      <c r="D1" s="62"/>
      <c r="E1" s="62"/>
      <c r="F1" s="62"/>
      <c r="G1" s="62"/>
      <c r="H1" s="62"/>
      <c r="I1" s="63"/>
    </row>
    <row r="2" spans="1:24" ht="15" thickBot="1" x14ac:dyDescent="0.35">
      <c r="A2" s="169" t="s">
        <v>307</v>
      </c>
      <c r="B2" s="56"/>
      <c r="C2" s="230"/>
      <c r="D2" s="25"/>
      <c r="E2" s="230"/>
      <c r="F2" s="25"/>
      <c r="G2" s="260" t="s">
        <v>319</v>
      </c>
      <c r="H2" s="261"/>
      <c r="I2" s="262"/>
      <c r="M2" s="169" t="s">
        <v>320</v>
      </c>
      <c r="N2" s="56"/>
      <c r="O2" s="241"/>
      <c r="P2" s="55"/>
      <c r="Q2" s="242"/>
      <c r="R2" s="25"/>
      <c r="S2" s="237" t="s">
        <v>319</v>
      </c>
      <c r="T2" s="238"/>
      <c r="U2" s="239"/>
    </row>
    <row r="3" spans="1:24" x14ac:dyDescent="0.3">
      <c r="A3" s="246"/>
      <c r="B3" s="164"/>
      <c r="C3" s="126" t="s">
        <v>332</v>
      </c>
      <c r="D3" s="254">
        <v>43830</v>
      </c>
      <c r="E3" s="255">
        <v>43465</v>
      </c>
      <c r="F3" s="164"/>
      <c r="G3" s="255">
        <v>43100</v>
      </c>
      <c r="H3" s="255">
        <v>42735</v>
      </c>
      <c r="I3" s="263">
        <v>42369</v>
      </c>
      <c r="M3" s="231"/>
      <c r="N3" s="164"/>
      <c r="O3" s="164" t="s">
        <v>302</v>
      </c>
      <c r="P3" s="228">
        <v>43830</v>
      </c>
      <c r="Q3" s="229">
        <v>43465</v>
      </c>
      <c r="R3" s="164"/>
      <c r="S3" s="235">
        <v>43100</v>
      </c>
      <c r="T3" s="235">
        <v>42735</v>
      </c>
      <c r="U3" s="236" t="s">
        <v>309</v>
      </c>
    </row>
    <row r="4" spans="1:24" x14ac:dyDescent="0.3">
      <c r="A4" s="247" t="s">
        <v>321</v>
      </c>
      <c r="B4" s="1"/>
      <c r="C4" s="126"/>
      <c r="D4" s="67">
        <v>389</v>
      </c>
      <c r="E4" s="67">
        <v>344</v>
      </c>
      <c r="F4" s="2"/>
      <c r="G4" s="67">
        <v>293</v>
      </c>
      <c r="H4" s="67">
        <v>232</v>
      </c>
      <c r="I4" s="71">
        <v>73</v>
      </c>
      <c r="M4" s="232" t="s">
        <v>308</v>
      </c>
      <c r="N4" s="1"/>
      <c r="O4" s="164"/>
      <c r="P4" s="165"/>
      <c r="Q4" s="164"/>
      <c r="R4" s="1"/>
      <c r="S4" s="4"/>
      <c r="T4" s="4"/>
      <c r="U4" s="34"/>
      <c r="V4" s="22"/>
      <c r="W4" s="22"/>
      <c r="X4" s="22"/>
    </row>
    <row r="5" spans="1:24" x14ac:dyDescent="0.3">
      <c r="A5" s="247"/>
      <c r="B5" s="1"/>
      <c r="C5" s="126"/>
      <c r="D5" s="256"/>
      <c r="E5" s="126"/>
      <c r="F5" s="1"/>
      <c r="G5" s="4"/>
      <c r="H5" s="4"/>
      <c r="I5" s="34"/>
      <c r="M5" s="232"/>
      <c r="N5" s="1"/>
      <c r="O5" s="164"/>
      <c r="P5" s="165"/>
      <c r="Q5" s="164"/>
      <c r="R5" s="1"/>
      <c r="S5" s="4"/>
      <c r="T5" s="4"/>
      <c r="U5" s="34"/>
      <c r="V5" s="1"/>
      <c r="W5" s="1"/>
      <c r="X5" s="1"/>
    </row>
    <row r="6" spans="1:24" x14ac:dyDescent="0.3">
      <c r="A6" s="247" t="s">
        <v>310</v>
      </c>
      <c r="B6" s="1"/>
      <c r="C6" s="126"/>
      <c r="D6" s="256">
        <f>SUM(D7:D9)</f>
        <v>511</v>
      </c>
      <c r="E6" s="256">
        <f t="shared" ref="E6:I6" si="0">SUM(E7:E9)</f>
        <v>623</v>
      </c>
      <c r="F6" s="227"/>
      <c r="G6" s="256">
        <f t="shared" si="0"/>
        <v>444</v>
      </c>
      <c r="H6" s="256">
        <f t="shared" si="0"/>
        <v>648</v>
      </c>
      <c r="I6" s="264">
        <f t="shared" si="0"/>
        <v>754</v>
      </c>
      <c r="M6" s="232" t="s">
        <v>310</v>
      </c>
      <c r="N6" s="1"/>
      <c r="O6" s="164"/>
      <c r="P6" s="165"/>
      <c r="Q6" s="164"/>
      <c r="R6" s="1"/>
      <c r="S6" s="4"/>
      <c r="T6" s="4"/>
      <c r="U6" s="34"/>
      <c r="V6" s="1"/>
      <c r="W6" s="1"/>
      <c r="X6" s="1"/>
    </row>
    <row r="7" spans="1:24" x14ac:dyDescent="0.3">
      <c r="A7" s="247" t="s">
        <v>305</v>
      </c>
      <c r="B7" s="1"/>
      <c r="C7" s="49"/>
      <c r="D7" s="256">
        <v>123</v>
      </c>
      <c r="E7" s="126">
        <v>91</v>
      </c>
      <c r="F7" s="1"/>
      <c r="G7" s="6">
        <v>72</v>
      </c>
      <c r="H7" s="6">
        <v>55</v>
      </c>
      <c r="I7" s="83">
        <v>54</v>
      </c>
      <c r="M7" s="232" t="s">
        <v>305</v>
      </c>
      <c r="N7" s="1"/>
      <c r="O7" s="166"/>
      <c r="P7" s="165"/>
      <c r="Q7" s="166"/>
      <c r="R7" s="166"/>
      <c r="S7" s="49"/>
      <c r="T7" s="49"/>
      <c r="U7" s="233"/>
      <c r="V7" s="1"/>
      <c r="W7" s="1"/>
      <c r="X7" s="1"/>
    </row>
    <row r="8" spans="1:24" x14ac:dyDescent="0.3">
      <c r="A8" s="247" t="s">
        <v>311</v>
      </c>
      <c r="B8" s="1"/>
      <c r="C8" s="126"/>
      <c r="D8" s="256">
        <v>379</v>
      </c>
      <c r="E8" s="126">
        <v>372</v>
      </c>
      <c r="F8" s="1"/>
      <c r="G8" s="6">
        <v>338</v>
      </c>
      <c r="H8" s="6">
        <v>348</v>
      </c>
      <c r="I8" s="83">
        <v>341</v>
      </c>
      <c r="M8" s="232" t="s">
        <v>311</v>
      </c>
      <c r="N8" s="1"/>
      <c r="O8" s="164"/>
      <c r="P8" s="165"/>
      <c r="Q8" s="164"/>
      <c r="R8" s="1"/>
      <c r="S8" s="4"/>
      <c r="T8" s="4"/>
      <c r="U8" s="34"/>
      <c r="V8" s="1"/>
      <c r="W8" s="1"/>
      <c r="X8" s="1"/>
    </row>
    <row r="9" spans="1:24" x14ac:dyDescent="0.3">
      <c r="A9" s="247" t="s">
        <v>312</v>
      </c>
      <c r="B9" s="1"/>
      <c r="C9" s="126"/>
      <c r="D9" s="256">
        <v>9</v>
      </c>
      <c r="E9" s="126">
        <v>160</v>
      </c>
      <c r="F9" s="1"/>
      <c r="G9" s="6">
        <v>34</v>
      </c>
      <c r="H9" s="6">
        <v>245</v>
      </c>
      <c r="I9" s="83">
        <v>359</v>
      </c>
      <c r="M9" s="232" t="s">
        <v>312</v>
      </c>
      <c r="N9" s="1"/>
      <c r="O9" s="164"/>
      <c r="P9" s="165"/>
      <c r="Q9" s="164"/>
      <c r="R9" s="1"/>
      <c r="S9" s="4"/>
      <c r="T9" s="4"/>
      <c r="U9" s="34"/>
      <c r="V9" s="166"/>
      <c r="W9" s="166"/>
      <c r="X9" s="166"/>
    </row>
    <row r="10" spans="1:24" x14ac:dyDescent="0.3">
      <c r="A10" s="248"/>
      <c r="B10" s="1"/>
      <c r="C10" s="7"/>
      <c r="D10" s="256"/>
      <c r="E10" s="7"/>
      <c r="F10" s="127"/>
      <c r="G10" s="7"/>
      <c r="H10" s="7"/>
      <c r="I10" s="234"/>
      <c r="M10" s="231"/>
      <c r="N10" s="1"/>
      <c r="O10" s="127"/>
      <c r="P10" s="165"/>
      <c r="Q10" s="127"/>
      <c r="R10" s="127"/>
      <c r="S10" s="7"/>
      <c r="T10" s="7"/>
      <c r="U10" s="234"/>
      <c r="V10" s="1"/>
      <c r="W10" s="1"/>
      <c r="X10" s="1"/>
    </row>
    <row r="11" spans="1:24" x14ac:dyDescent="0.3">
      <c r="A11" s="247" t="s">
        <v>330</v>
      </c>
      <c r="B11" s="2"/>
      <c r="C11" s="67"/>
      <c r="D11" s="257">
        <f>SUM(D12:D13)</f>
        <v>627</v>
      </c>
      <c r="E11" s="257">
        <f t="shared" ref="E11:I11" si="1">SUM(E12:E13)</f>
        <v>500</v>
      </c>
      <c r="F11" s="243"/>
      <c r="G11" s="257">
        <f t="shared" si="1"/>
        <v>454</v>
      </c>
      <c r="H11" s="257">
        <f t="shared" si="1"/>
        <v>382</v>
      </c>
      <c r="I11" s="265">
        <f t="shared" si="1"/>
        <v>341</v>
      </c>
      <c r="M11" s="232" t="s">
        <v>313</v>
      </c>
      <c r="N11" s="2"/>
      <c r="O11" s="2"/>
      <c r="P11" s="2"/>
      <c r="Q11" s="2"/>
      <c r="R11" s="2"/>
      <c r="S11" s="67"/>
      <c r="T11" s="67"/>
      <c r="U11" s="71"/>
      <c r="V11" s="1"/>
      <c r="W11" s="1"/>
      <c r="X11" s="1"/>
    </row>
    <row r="12" spans="1:24" x14ac:dyDescent="0.3">
      <c r="A12" s="247" t="s">
        <v>53</v>
      </c>
      <c r="B12" s="2"/>
      <c r="C12" s="67"/>
      <c r="D12" s="258">
        <v>380</v>
      </c>
      <c r="E12" s="4">
        <v>305</v>
      </c>
      <c r="F12" s="2"/>
      <c r="G12" s="67">
        <v>306</v>
      </c>
      <c r="H12" s="67">
        <v>259</v>
      </c>
      <c r="I12" s="71">
        <v>253</v>
      </c>
      <c r="M12" s="232" t="s">
        <v>53</v>
      </c>
      <c r="N12" s="2"/>
      <c r="O12" s="2"/>
      <c r="P12" s="2"/>
      <c r="Q12" s="2"/>
      <c r="R12" s="2"/>
      <c r="S12" s="67"/>
      <c r="T12" s="67"/>
      <c r="U12" s="71"/>
      <c r="V12" s="1"/>
      <c r="W12" s="1"/>
      <c r="X12" s="1"/>
    </row>
    <row r="13" spans="1:24" x14ac:dyDescent="0.3">
      <c r="A13" s="247" t="s">
        <v>327</v>
      </c>
      <c r="B13" s="2"/>
      <c r="C13" s="67"/>
      <c r="D13" s="258">
        <v>247</v>
      </c>
      <c r="E13" s="4">
        <v>195</v>
      </c>
      <c r="F13" s="2"/>
      <c r="G13" s="67">
        <v>148</v>
      </c>
      <c r="H13" s="67">
        <v>123</v>
      </c>
      <c r="I13" s="71">
        <v>88</v>
      </c>
      <c r="M13" s="232" t="s">
        <v>327</v>
      </c>
      <c r="N13" s="2"/>
      <c r="O13" s="2"/>
      <c r="P13" s="2"/>
      <c r="Q13" s="2"/>
      <c r="R13" s="2"/>
      <c r="S13" s="67"/>
      <c r="T13" s="67"/>
      <c r="U13" s="71"/>
      <c r="V13" s="1"/>
      <c r="W13" s="1"/>
      <c r="X13" s="1"/>
    </row>
    <row r="14" spans="1:24" x14ac:dyDescent="0.3">
      <c r="A14" s="247"/>
      <c r="B14" s="2"/>
      <c r="C14" s="67"/>
      <c r="D14" s="257"/>
      <c r="E14" s="67"/>
      <c r="F14" s="2"/>
      <c r="G14" s="67"/>
      <c r="H14" s="67"/>
      <c r="I14" s="71"/>
      <c r="M14" s="232"/>
      <c r="N14" s="2"/>
      <c r="O14" s="2"/>
      <c r="P14" s="2"/>
      <c r="Q14" s="2"/>
      <c r="R14" s="2"/>
      <c r="S14" s="67"/>
      <c r="T14" s="67"/>
      <c r="U14" s="71"/>
      <c r="V14" s="1"/>
      <c r="W14" s="1"/>
      <c r="X14" s="1"/>
    </row>
    <row r="15" spans="1:24" x14ac:dyDescent="0.3">
      <c r="A15" s="247" t="s">
        <v>328</v>
      </c>
      <c r="B15" s="2"/>
      <c r="C15" s="67"/>
      <c r="D15" s="257">
        <v>0</v>
      </c>
      <c r="E15" s="67">
        <v>118</v>
      </c>
      <c r="F15" s="2"/>
      <c r="G15" s="67">
        <v>-159</v>
      </c>
      <c r="H15" s="67">
        <v>97</v>
      </c>
      <c r="I15" s="71">
        <v>-122</v>
      </c>
      <c r="M15" s="232" t="s">
        <v>314</v>
      </c>
      <c r="N15" s="2"/>
      <c r="O15" s="2"/>
      <c r="P15" s="2"/>
      <c r="Q15" s="2"/>
      <c r="R15" s="2"/>
      <c r="S15" s="67"/>
      <c r="T15" s="67"/>
      <c r="U15" s="71"/>
      <c r="V15" s="127"/>
      <c r="W15" s="127"/>
      <c r="X15" s="127"/>
    </row>
    <row r="16" spans="1:24" x14ac:dyDescent="0.3">
      <c r="A16" s="190"/>
      <c r="B16" s="2"/>
      <c r="C16" s="67"/>
      <c r="D16" s="257"/>
      <c r="E16" s="67"/>
      <c r="F16" s="2"/>
      <c r="G16" s="67"/>
      <c r="H16" s="67"/>
      <c r="I16" s="71"/>
      <c r="M16" s="120"/>
      <c r="N16" s="2"/>
      <c r="O16" s="2"/>
      <c r="P16" s="2"/>
      <c r="Q16" s="2"/>
      <c r="R16" s="2"/>
      <c r="S16" s="67"/>
      <c r="T16" s="67"/>
      <c r="U16" s="71"/>
    </row>
    <row r="17" spans="1:22" x14ac:dyDescent="0.3">
      <c r="A17" s="190" t="s">
        <v>334</v>
      </c>
      <c r="B17" s="2"/>
      <c r="C17" s="67"/>
      <c r="D17" s="257">
        <f>D18-D19</f>
        <v>-166</v>
      </c>
      <c r="E17" s="257">
        <f t="shared" ref="E17:H17" si="2">E18-E19</f>
        <v>-453</v>
      </c>
      <c r="F17" s="243"/>
      <c r="G17" s="257">
        <f t="shared" si="2"/>
        <v>130</v>
      </c>
      <c r="H17" s="257">
        <f t="shared" si="2"/>
        <v>-467</v>
      </c>
      <c r="I17" s="71"/>
      <c r="M17" s="120" t="s">
        <v>316</v>
      </c>
      <c r="N17" s="2"/>
      <c r="O17" s="2"/>
      <c r="P17" s="2"/>
      <c r="Q17" s="2"/>
      <c r="R17" s="2"/>
      <c r="S17" s="67"/>
      <c r="T17" s="67"/>
      <c r="U17" s="71"/>
    </row>
    <row r="18" spans="1:22" x14ac:dyDescent="0.3">
      <c r="A18" s="190" t="s">
        <v>317</v>
      </c>
      <c r="B18" s="2"/>
      <c r="C18" s="67"/>
      <c r="D18" s="257">
        <v>491</v>
      </c>
      <c r="E18" s="67">
        <v>68</v>
      </c>
      <c r="F18" s="2"/>
      <c r="G18" s="67">
        <v>743</v>
      </c>
      <c r="H18" s="67">
        <v>780</v>
      </c>
      <c r="I18" s="71"/>
      <c r="M18" s="120" t="s">
        <v>317</v>
      </c>
      <c r="N18" s="2"/>
      <c r="O18" s="2"/>
      <c r="P18" s="2"/>
      <c r="Q18" s="2"/>
      <c r="R18" s="2"/>
      <c r="S18" s="67"/>
      <c r="T18" s="67"/>
      <c r="U18" s="71"/>
    </row>
    <row r="19" spans="1:22" x14ac:dyDescent="0.3">
      <c r="A19" s="190" t="s">
        <v>318</v>
      </c>
      <c r="B19" s="2"/>
      <c r="C19" s="67"/>
      <c r="D19" s="257">
        <v>657</v>
      </c>
      <c r="E19" s="67">
        <v>521</v>
      </c>
      <c r="F19" s="2"/>
      <c r="G19" s="67">
        <v>613</v>
      </c>
      <c r="H19" s="67">
        <v>1247</v>
      </c>
      <c r="I19" s="71"/>
      <c r="M19" s="120" t="s">
        <v>318</v>
      </c>
      <c r="N19" s="2"/>
      <c r="O19" s="2"/>
      <c r="P19" s="2"/>
      <c r="Q19" s="2"/>
      <c r="R19" s="2"/>
      <c r="S19" s="67"/>
      <c r="T19" s="67"/>
      <c r="U19" s="71"/>
    </row>
    <row r="20" spans="1:22" x14ac:dyDescent="0.3">
      <c r="A20" s="190"/>
      <c r="B20" s="2"/>
      <c r="C20" s="67"/>
      <c r="D20" s="257"/>
      <c r="E20" s="67"/>
      <c r="F20" s="2"/>
      <c r="G20" s="67"/>
      <c r="H20" s="67"/>
      <c r="I20" s="71"/>
      <c r="M20" s="120"/>
      <c r="N20" s="2"/>
      <c r="O20" s="2"/>
      <c r="P20" s="2"/>
      <c r="Q20" s="2"/>
      <c r="R20" s="2"/>
      <c r="S20" s="67"/>
      <c r="T20" s="67"/>
      <c r="U20" s="71"/>
    </row>
    <row r="21" spans="1:22" x14ac:dyDescent="0.3">
      <c r="A21" s="266" t="s">
        <v>315</v>
      </c>
      <c r="B21" s="48"/>
      <c r="C21" s="162">
        <f>(D21-E21)/E21</f>
        <v>6.6428571428571432</v>
      </c>
      <c r="D21" s="251">
        <f>D4+D6-D11+D17</f>
        <v>107</v>
      </c>
      <c r="E21" s="251">
        <f t="shared" ref="E21:H21" si="3">E4+E6-E11+E17</f>
        <v>14</v>
      </c>
      <c r="F21" s="259"/>
      <c r="G21" s="251">
        <f t="shared" si="3"/>
        <v>413</v>
      </c>
      <c r="H21" s="251">
        <f t="shared" si="3"/>
        <v>31</v>
      </c>
      <c r="I21" s="139"/>
      <c r="M21" s="120" t="s">
        <v>315</v>
      </c>
      <c r="N21" s="2"/>
      <c r="O21" s="2"/>
      <c r="P21" s="2"/>
      <c r="Q21" s="2"/>
      <c r="R21" s="2"/>
      <c r="S21" s="67"/>
      <c r="T21" s="67"/>
      <c r="U21" s="71"/>
    </row>
    <row r="22" spans="1:22" ht="15" thickBot="1" x14ac:dyDescent="0.35">
      <c r="A22" s="225"/>
      <c r="B22" s="65"/>
      <c r="C22" s="65"/>
      <c r="D22" s="244"/>
      <c r="E22" s="65"/>
      <c r="F22" s="65"/>
      <c r="G22" s="65"/>
      <c r="H22" s="65"/>
      <c r="I22" s="66"/>
      <c r="M22" s="121"/>
      <c r="N22" s="65"/>
      <c r="O22" s="65"/>
      <c r="P22" s="65"/>
      <c r="Q22" s="65"/>
      <c r="R22" s="65"/>
      <c r="S22" s="72"/>
      <c r="T22" s="72"/>
      <c r="U22" s="73"/>
    </row>
    <row r="25" spans="1:22" x14ac:dyDescent="0.3">
      <c r="A25" t="s">
        <v>322</v>
      </c>
    </row>
    <row r="26" spans="1:22" x14ac:dyDescent="0.3">
      <c r="A26" t="s">
        <v>323</v>
      </c>
      <c r="D26" s="245">
        <v>43830</v>
      </c>
      <c r="E26" s="245">
        <v>43465</v>
      </c>
      <c r="G26" s="245">
        <v>43100</v>
      </c>
      <c r="H26" s="245">
        <v>42735</v>
      </c>
      <c r="I26" s="245">
        <v>42369</v>
      </c>
    </row>
    <row r="27" spans="1:22" x14ac:dyDescent="0.3">
      <c r="A27" t="s">
        <v>308</v>
      </c>
      <c r="D27">
        <v>389</v>
      </c>
      <c r="E27">
        <v>344</v>
      </c>
      <c r="G27">
        <v>293</v>
      </c>
      <c r="H27">
        <v>232</v>
      </c>
      <c r="I27">
        <v>73</v>
      </c>
    </row>
    <row r="28" spans="1:22" x14ac:dyDescent="0.3">
      <c r="A28" t="s">
        <v>324</v>
      </c>
    </row>
    <row r="29" spans="1:22" x14ac:dyDescent="0.3">
      <c r="A29" t="s">
        <v>325</v>
      </c>
      <c r="P29" s="163">
        <v>43830</v>
      </c>
      <c r="Q29" s="67" t="s">
        <v>214</v>
      </c>
      <c r="R29" s="163">
        <v>43465</v>
      </c>
      <c r="S29" s="67"/>
      <c r="T29" s="163">
        <v>43100</v>
      </c>
      <c r="U29" s="163">
        <v>42735</v>
      </c>
      <c r="V29" s="163">
        <v>42369</v>
      </c>
    </row>
    <row r="30" spans="1:22" x14ac:dyDescent="0.3">
      <c r="A30" t="s">
        <v>326</v>
      </c>
      <c r="D30">
        <v>1</v>
      </c>
      <c r="E30">
        <v>21</v>
      </c>
      <c r="N30" s="94" t="s">
        <v>40</v>
      </c>
      <c r="O30" s="161" t="s">
        <v>16</v>
      </c>
      <c r="P30" s="47"/>
      <c r="Q30" s="162"/>
      <c r="R30" s="47"/>
      <c r="S30" s="48"/>
      <c r="T30" s="48"/>
      <c r="U30" s="48"/>
      <c r="V30" s="139"/>
    </row>
    <row r="31" spans="1:22" x14ac:dyDescent="0.3">
      <c r="N31" s="89" t="s">
        <v>99</v>
      </c>
      <c r="O31" s="6" t="s">
        <v>142</v>
      </c>
      <c r="P31" s="16">
        <v>147</v>
      </c>
      <c r="Q31" s="50">
        <f t="shared" ref="Q31:Q37" si="4">(SUM(P31,-R31))/R31</f>
        <v>6.8493150684931503E-3</v>
      </c>
      <c r="R31" s="16">
        <v>146</v>
      </c>
      <c r="S31" s="6"/>
      <c r="T31" s="6">
        <v>107</v>
      </c>
      <c r="U31" s="6">
        <v>138</v>
      </c>
      <c r="V31" s="83">
        <v>105</v>
      </c>
    </row>
    <row r="32" spans="1:22" x14ac:dyDescent="0.3">
      <c r="A32" t="s">
        <v>335</v>
      </c>
      <c r="N32" s="89" t="s">
        <v>100</v>
      </c>
      <c r="O32" s="6" t="s">
        <v>143</v>
      </c>
      <c r="P32" s="16">
        <v>30</v>
      </c>
      <c r="Q32" s="50">
        <f t="shared" si="4"/>
        <v>0</v>
      </c>
      <c r="R32" s="16">
        <v>30</v>
      </c>
      <c r="S32" s="6"/>
      <c r="T32" s="6">
        <v>26</v>
      </c>
      <c r="U32" s="6">
        <v>25</v>
      </c>
      <c r="V32" s="83">
        <v>23</v>
      </c>
    </row>
    <row r="33" spans="1:22" x14ac:dyDescent="0.3">
      <c r="N33" s="89" t="s">
        <v>101</v>
      </c>
      <c r="O33" s="6" t="s">
        <v>144</v>
      </c>
      <c r="P33" s="16">
        <v>5</v>
      </c>
      <c r="Q33" s="50">
        <f t="shared" si="4"/>
        <v>1.5</v>
      </c>
      <c r="R33" s="16">
        <v>2</v>
      </c>
      <c r="S33" s="6"/>
      <c r="T33" s="6">
        <v>-1</v>
      </c>
      <c r="U33" s="6">
        <v>4</v>
      </c>
      <c r="V33" s="83">
        <v>-17</v>
      </c>
    </row>
    <row r="34" spans="1:22" x14ac:dyDescent="0.3">
      <c r="N34" s="84" t="s">
        <v>104</v>
      </c>
      <c r="O34" s="6" t="s">
        <v>145</v>
      </c>
      <c r="P34" s="18">
        <f>SUM(P31:P33)</f>
        <v>182</v>
      </c>
      <c r="Q34" s="50">
        <f t="shared" si="4"/>
        <v>2.247191011235955E-2</v>
      </c>
      <c r="R34" s="18">
        <f t="shared" ref="R34" si="5">SUM(R31:R33)</f>
        <v>178</v>
      </c>
      <c r="S34" s="18"/>
      <c r="T34" s="18">
        <f t="shared" ref="T34:V34" si="6">SUM(T31:T33)</f>
        <v>132</v>
      </c>
      <c r="U34" s="18">
        <f t="shared" si="6"/>
        <v>167</v>
      </c>
      <c r="V34" s="18">
        <f t="shared" si="6"/>
        <v>111</v>
      </c>
    </row>
    <row r="35" spans="1:22" ht="15" thickBot="1" x14ac:dyDescent="0.35">
      <c r="N35" s="89" t="s">
        <v>30</v>
      </c>
      <c r="O35" s="6" t="s">
        <v>146</v>
      </c>
      <c r="P35" s="16">
        <v>71</v>
      </c>
      <c r="Q35" s="50">
        <f t="shared" si="4"/>
        <v>1.1515151515151516</v>
      </c>
      <c r="R35" s="16">
        <v>33</v>
      </c>
      <c r="S35" s="6"/>
      <c r="T35" s="6">
        <v>88</v>
      </c>
      <c r="U35" s="6">
        <v>44</v>
      </c>
      <c r="V35" s="83">
        <v>142</v>
      </c>
    </row>
    <row r="36" spans="1:22" ht="15" thickBot="1" x14ac:dyDescent="0.35">
      <c r="A36" s="168" t="s">
        <v>336</v>
      </c>
      <c r="B36" s="62"/>
      <c r="C36" s="62"/>
      <c r="D36" s="62"/>
      <c r="E36" s="62"/>
      <c r="F36" s="62"/>
      <c r="G36" s="267" t="s">
        <v>319</v>
      </c>
      <c r="H36" s="268"/>
      <c r="I36" s="269"/>
      <c r="N36" s="89" t="s">
        <v>102</v>
      </c>
      <c r="O36" s="6" t="s">
        <v>147</v>
      </c>
      <c r="P36" s="16">
        <v>-64</v>
      </c>
      <c r="Q36" s="50">
        <f t="shared" si="4"/>
        <v>0.18518518518518517</v>
      </c>
      <c r="R36" s="16">
        <v>-54</v>
      </c>
      <c r="S36" s="6"/>
      <c r="T36" s="6">
        <v>-28</v>
      </c>
      <c r="U36" s="6">
        <v>-89</v>
      </c>
      <c r="V36" s="83">
        <v>-120</v>
      </c>
    </row>
    <row r="37" spans="1:22" x14ac:dyDescent="0.3">
      <c r="A37" s="253"/>
      <c r="B37" s="2"/>
      <c r="C37" s="67" t="s">
        <v>332</v>
      </c>
      <c r="D37" s="163">
        <v>43830</v>
      </c>
      <c r="E37" s="163">
        <v>43465</v>
      </c>
      <c r="F37" s="252"/>
      <c r="G37" s="163">
        <v>43100</v>
      </c>
      <c r="H37" s="163">
        <v>42735</v>
      </c>
      <c r="I37" s="226">
        <v>42369</v>
      </c>
      <c r="N37" s="88" t="s">
        <v>103</v>
      </c>
      <c r="O37" s="43" t="s">
        <v>148</v>
      </c>
      <c r="P37" s="42">
        <f>SUM(P34:P36)</f>
        <v>189</v>
      </c>
      <c r="Q37" s="50">
        <f t="shared" si="4"/>
        <v>0.20382165605095542</v>
      </c>
      <c r="R37" s="42">
        <f t="shared" ref="R37" si="7">SUM(R34:R36)</f>
        <v>157</v>
      </c>
      <c r="S37" s="42"/>
      <c r="T37" s="42">
        <f t="shared" ref="T37:V37" si="8">SUM(T34:T36)</f>
        <v>192</v>
      </c>
      <c r="U37" s="42">
        <f t="shared" si="8"/>
        <v>122</v>
      </c>
      <c r="V37" s="42">
        <f t="shared" si="8"/>
        <v>133</v>
      </c>
    </row>
    <row r="38" spans="1:22" x14ac:dyDescent="0.3">
      <c r="A38" s="190" t="s">
        <v>152</v>
      </c>
      <c r="B38" s="2"/>
      <c r="C38" s="67"/>
      <c r="D38" s="67">
        <v>687</v>
      </c>
      <c r="E38" s="67">
        <v>588</v>
      </c>
      <c r="F38" s="2"/>
      <c r="G38" s="67">
        <v>710</v>
      </c>
      <c r="H38" s="67">
        <v>443</v>
      </c>
      <c r="I38" s="71">
        <v>215</v>
      </c>
    </row>
    <row r="39" spans="1:22" x14ac:dyDescent="0.3">
      <c r="A39" s="190" t="s">
        <v>338</v>
      </c>
      <c r="B39" s="2"/>
      <c r="C39" s="67"/>
      <c r="D39" s="67">
        <f>PRODUCT(D38,0.275)</f>
        <v>188.92500000000001</v>
      </c>
      <c r="E39" s="67">
        <f t="shared" ref="E39:I39" si="9">PRODUCT(E38,0.275)</f>
        <v>161.70000000000002</v>
      </c>
      <c r="F39" s="2"/>
      <c r="G39" s="67">
        <f t="shared" si="9"/>
        <v>195.25000000000003</v>
      </c>
      <c r="H39" s="67">
        <f t="shared" si="9"/>
        <v>121.825</v>
      </c>
      <c r="I39" s="71">
        <f t="shared" si="9"/>
        <v>59.125000000000007</v>
      </c>
    </row>
    <row r="40" spans="1:22" x14ac:dyDescent="0.3">
      <c r="A40" s="190" t="s">
        <v>337</v>
      </c>
      <c r="B40" s="2"/>
      <c r="C40" s="67"/>
      <c r="D40" s="67">
        <f>D38-D39</f>
        <v>498.07499999999999</v>
      </c>
      <c r="E40" s="67">
        <f t="shared" ref="E40:H40" si="10">E38-E39</f>
        <v>426.29999999999995</v>
      </c>
      <c r="F40" s="2"/>
      <c r="G40" s="67">
        <f t="shared" si="10"/>
        <v>514.75</v>
      </c>
      <c r="H40" s="67">
        <f t="shared" si="10"/>
        <v>321.17500000000001</v>
      </c>
      <c r="I40" s="71">
        <f>I38-I39</f>
        <v>155.875</v>
      </c>
    </row>
    <row r="41" spans="1:22" x14ac:dyDescent="0.3">
      <c r="A41" s="190"/>
      <c r="B41" s="2"/>
      <c r="C41" s="67"/>
      <c r="D41" s="67"/>
      <c r="E41" s="67"/>
      <c r="F41" s="2"/>
      <c r="G41" s="67"/>
      <c r="H41" s="67"/>
      <c r="I41" s="71"/>
    </row>
    <row r="42" spans="1:22" x14ac:dyDescent="0.3">
      <c r="A42" s="190" t="s">
        <v>310</v>
      </c>
      <c r="B42" s="2"/>
      <c r="C42" s="67"/>
      <c r="D42" s="67">
        <v>511</v>
      </c>
      <c r="E42" s="67">
        <v>623</v>
      </c>
      <c r="F42" s="2"/>
      <c r="G42" s="67">
        <v>444</v>
      </c>
      <c r="H42" s="67">
        <v>648</v>
      </c>
      <c r="I42" s="71">
        <v>754</v>
      </c>
    </row>
    <row r="43" spans="1:22" x14ac:dyDescent="0.3">
      <c r="A43" s="190" t="s">
        <v>305</v>
      </c>
      <c r="B43" s="2"/>
      <c r="C43" s="67"/>
      <c r="D43" s="67">
        <v>123</v>
      </c>
      <c r="E43" s="67">
        <v>91</v>
      </c>
      <c r="F43" s="2"/>
      <c r="G43" s="67">
        <v>72</v>
      </c>
      <c r="H43" s="67">
        <v>55</v>
      </c>
      <c r="I43" s="71">
        <v>54</v>
      </c>
    </row>
    <row r="44" spans="1:22" x14ac:dyDescent="0.3">
      <c r="A44" s="190" t="s">
        <v>311</v>
      </c>
      <c r="B44" s="2"/>
      <c r="C44" s="67"/>
      <c r="D44" s="67">
        <v>379</v>
      </c>
      <c r="E44" s="67">
        <v>372</v>
      </c>
      <c r="F44" s="2"/>
      <c r="G44" s="67">
        <v>338</v>
      </c>
      <c r="H44" s="67">
        <v>348</v>
      </c>
      <c r="I44" s="71">
        <v>341</v>
      </c>
    </row>
    <row r="45" spans="1:22" x14ac:dyDescent="0.3">
      <c r="A45" s="190" t="s">
        <v>312</v>
      </c>
      <c r="B45" s="2"/>
      <c r="C45" s="67"/>
      <c r="D45" s="67">
        <v>9</v>
      </c>
      <c r="E45" s="67">
        <v>160</v>
      </c>
      <c r="F45" s="2"/>
      <c r="G45" s="67">
        <v>34</v>
      </c>
      <c r="H45" s="67">
        <v>245</v>
      </c>
      <c r="I45" s="71">
        <v>359</v>
      </c>
    </row>
    <row r="46" spans="1:22" x14ac:dyDescent="0.3">
      <c r="A46" s="190"/>
      <c r="B46" s="2"/>
      <c r="C46" s="67"/>
      <c r="D46" s="67"/>
      <c r="E46" s="67"/>
      <c r="F46" s="2"/>
      <c r="G46" s="67"/>
      <c r="H46" s="67"/>
      <c r="I46" s="71"/>
    </row>
    <row r="47" spans="1:22" x14ac:dyDescent="0.3">
      <c r="A47" s="190" t="s">
        <v>330</v>
      </c>
      <c r="B47" s="2"/>
      <c r="C47" s="67"/>
      <c r="D47" s="67">
        <v>627</v>
      </c>
      <c r="E47" s="67">
        <v>500</v>
      </c>
      <c r="F47" s="2"/>
      <c r="G47" s="67">
        <v>454</v>
      </c>
      <c r="H47" s="67">
        <v>382</v>
      </c>
      <c r="I47" s="71">
        <v>341</v>
      </c>
    </row>
    <row r="48" spans="1:22" x14ac:dyDescent="0.3">
      <c r="A48" s="190" t="s">
        <v>53</v>
      </c>
      <c r="B48" s="2"/>
      <c r="C48" s="67"/>
      <c r="D48" s="67">
        <v>380</v>
      </c>
      <c r="E48" s="67">
        <v>305</v>
      </c>
      <c r="F48" s="2"/>
      <c r="G48" s="67">
        <v>306</v>
      </c>
      <c r="H48" s="67">
        <v>259</v>
      </c>
      <c r="I48" s="71">
        <v>253</v>
      </c>
    </row>
    <row r="49" spans="1:9" x14ac:dyDescent="0.3">
      <c r="A49" s="190" t="s">
        <v>327</v>
      </c>
      <c r="B49" s="2"/>
      <c r="C49" s="67"/>
      <c r="D49" s="67">
        <v>247</v>
      </c>
      <c r="E49" s="67">
        <v>195</v>
      </c>
      <c r="F49" s="2"/>
      <c r="G49" s="67">
        <v>148</v>
      </c>
      <c r="H49" s="67">
        <v>123</v>
      </c>
      <c r="I49" s="71">
        <v>88</v>
      </c>
    </row>
    <row r="50" spans="1:9" x14ac:dyDescent="0.3">
      <c r="A50" s="190"/>
      <c r="B50" s="2"/>
      <c r="C50" s="67"/>
      <c r="D50" s="67"/>
      <c r="E50" s="67"/>
      <c r="F50" s="2"/>
      <c r="G50" s="67"/>
      <c r="H50" s="67"/>
      <c r="I50" s="71"/>
    </row>
    <row r="51" spans="1:9" x14ac:dyDescent="0.3">
      <c r="A51" s="190" t="s">
        <v>328</v>
      </c>
      <c r="B51" s="2"/>
      <c r="C51" s="67"/>
      <c r="D51" s="67">
        <v>0</v>
      </c>
      <c r="E51" s="67">
        <v>118</v>
      </c>
      <c r="F51" s="2"/>
      <c r="G51" s="67">
        <v>-159</v>
      </c>
      <c r="H51" s="67">
        <v>97</v>
      </c>
      <c r="I51" s="71">
        <v>-122</v>
      </c>
    </row>
    <row r="52" spans="1:9" x14ac:dyDescent="0.3">
      <c r="A52" s="190"/>
      <c r="B52" s="2"/>
      <c r="C52" s="67"/>
      <c r="D52" s="67"/>
      <c r="E52" s="67"/>
      <c r="F52" s="2"/>
      <c r="G52" s="67"/>
      <c r="H52" s="67"/>
      <c r="I52" s="71"/>
    </row>
    <row r="53" spans="1:9" x14ac:dyDescent="0.3">
      <c r="A53" s="266" t="s">
        <v>339</v>
      </c>
      <c r="B53" s="270"/>
      <c r="C53" s="270">
        <f>(D53-E53)/ E53</f>
        <v>-0.11413169487595622</v>
      </c>
      <c r="D53" s="48">
        <f>D40 + D42 - D47 - D51</f>
        <v>382.07500000000005</v>
      </c>
      <c r="E53" s="48">
        <f t="shared" ref="E53:I53" si="11">E40 + E42 - E47 - E51</f>
        <v>431.29999999999995</v>
      </c>
      <c r="F53" s="48"/>
      <c r="G53" s="48">
        <f t="shared" si="11"/>
        <v>663.75</v>
      </c>
      <c r="H53" s="48">
        <f t="shared" si="11"/>
        <v>490.17499999999995</v>
      </c>
      <c r="I53" s="48">
        <f t="shared" si="11"/>
        <v>690.875</v>
      </c>
    </row>
    <row r="54" spans="1:9" ht="15" thickBot="1" x14ac:dyDescent="0.35">
      <c r="A54" s="225"/>
      <c r="B54" s="65"/>
      <c r="C54" s="65"/>
      <c r="D54" s="65"/>
      <c r="E54" s="65"/>
      <c r="F54" s="65"/>
      <c r="G54" s="65"/>
      <c r="H54" s="65"/>
      <c r="I54" s="66"/>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CBDA12-BA18-4F58-B4E9-078BBF87197E}">
  <dimension ref="A1:R71"/>
  <sheetViews>
    <sheetView workbookViewId="0">
      <selection activeCell="A71" sqref="A71"/>
    </sheetView>
  </sheetViews>
  <sheetFormatPr defaultRowHeight="14.4" x14ac:dyDescent="0.3"/>
  <cols>
    <col min="2" max="2" width="11.5546875" customWidth="1"/>
    <col min="9" max="9" width="9.6640625" customWidth="1"/>
  </cols>
  <sheetData>
    <row r="1" spans="1:18" ht="15" thickBot="1" x14ac:dyDescent="0.35">
      <c r="A1" s="271" t="s">
        <v>155</v>
      </c>
      <c r="B1" s="272"/>
      <c r="C1" s="62" t="s">
        <v>159</v>
      </c>
      <c r="D1" s="62"/>
      <c r="E1" s="62" t="s">
        <v>163</v>
      </c>
      <c r="F1" s="62"/>
      <c r="G1" s="62" t="s">
        <v>160</v>
      </c>
      <c r="H1" s="62" t="s">
        <v>161</v>
      </c>
      <c r="I1" s="63" t="s">
        <v>164</v>
      </c>
    </row>
    <row r="2" spans="1:18" x14ac:dyDescent="0.3">
      <c r="A2" s="120" t="s">
        <v>156</v>
      </c>
      <c r="B2" s="2"/>
      <c r="C2" s="2">
        <v>7.7499999999999999E-2</v>
      </c>
      <c r="D2" s="2"/>
      <c r="E2" s="2">
        <v>7.0000000000000007E-2</v>
      </c>
      <c r="F2" s="2"/>
      <c r="G2" s="2">
        <v>5.7799999999999997E-2</v>
      </c>
      <c r="H2" s="2">
        <v>4.9200000000000001E-2</v>
      </c>
      <c r="I2" s="64">
        <v>4.1000000000000002E-2</v>
      </c>
    </row>
    <row r="3" spans="1:18" x14ac:dyDescent="0.3">
      <c r="A3" s="120" t="s">
        <v>157</v>
      </c>
      <c r="B3" s="2"/>
      <c r="C3" s="2">
        <v>240.96174884000001</v>
      </c>
      <c r="D3" s="2"/>
      <c r="E3" s="2">
        <v>217.64286992000004</v>
      </c>
      <c r="F3" s="2"/>
      <c r="G3" s="2">
        <v>179.71082687679998</v>
      </c>
      <c r="H3" s="2">
        <v>152.9718457152</v>
      </c>
      <c r="I3" s="64">
        <v>127.346</v>
      </c>
    </row>
    <row r="4" spans="1:18" x14ac:dyDescent="0.3">
      <c r="A4" s="224" t="s">
        <v>162</v>
      </c>
      <c r="B4" s="273"/>
      <c r="C4" s="273">
        <v>0.61943894303341906</v>
      </c>
      <c r="D4" s="2"/>
      <c r="E4" s="273">
        <v>0.63268276139534896</v>
      </c>
      <c r="F4" s="2"/>
      <c r="G4" s="273">
        <v>0.61334753200273029</v>
      </c>
      <c r="H4" s="273">
        <v>0.65936140394482756</v>
      </c>
      <c r="I4" s="274">
        <v>1.7444657534246575</v>
      </c>
    </row>
    <row r="5" spans="1:18" ht="15" thickBot="1" x14ac:dyDescent="0.35">
      <c r="A5" s="121" t="s">
        <v>158</v>
      </c>
      <c r="B5" s="65"/>
      <c r="C5" s="65">
        <v>0.38056105696658094</v>
      </c>
      <c r="D5" s="65"/>
      <c r="E5" s="65">
        <v>0.36731723860465104</v>
      </c>
      <c r="F5" s="65"/>
      <c r="G5" s="65">
        <v>0.38665246799726971</v>
      </c>
      <c r="H5" s="65">
        <v>0.34063859605517244</v>
      </c>
      <c r="I5" s="66">
        <v>-0.74446575342465748</v>
      </c>
    </row>
    <row r="10" spans="1:18" x14ac:dyDescent="0.3">
      <c r="A10" s="275" t="s">
        <v>340</v>
      </c>
      <c r="B10" s="275"/>
      <c r="C10" s="3"/>
      <c r="D10" s="3"/>
      <c r="E10" s="3"/>
      <c r="F10" s="3"/>
    </row>
    <row r="11" spans="1:18" x14ac:dyDescent="0.3">
      <c r="A11" t="s">
        <v>341</v>
      </c>
      <c r="H11" t="s">
        <v>343</v>
      </c>
      <c r="R11" t="s">
        <v>345</v>
      </c>
    </row>
    <row r="14" spans="1:18" x14ac:dyDescent="0.3">
      <c r="A14" t="s">
        <v>341</v>
      </c>
      <c r="H14" t="s">
        <v>344</v>
      </c>
    </row>
    <row r="17" spans="1:2" x14ac:dyDescent="0.3">
      <c r="A17" t="s">
        <v>342</v>
      </c>
    </row>
    <row r="28" spans="1:2" x14ac:dyDescent="0.3">
      <c r="A28" s="275" t="s">
        <v>348</v>
      </c>
      <c r="B28" s="275"/>
    </row>
    <row r="30" spans="1:2" x14ac:dyDescent="0.3">
      <c r="A30" t="s">
        <v>346</v>
      </c>
    </row>
    <row r="44" spans="1:1" x14ac:dyDescent="0.3">
      <c r="A44" t="s">
        <v>347</v>
      </c>
    </row>
    <row r="56" spans="1:1" x14ac:dyDescent="0.3">
      <c r="A56" t="s">
        <v>349</v>
      </c>
    </row>
    <row r="71" spans="1:1" x14ac:dyDescent="0.3">
      <c r="A71" t="s">
        <v>350</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F796E7-F67A-4DAF-82A4-1182099AF78F}">
  <dimension ref="P1:V34"/>
  <sheetViews>
    <sheetView topLeftCell="D19" workbookViewId="0">
      <selection activeCell="Y16" sqref="Y16"/>
    </sheetView>
  </sheetViews>
  <sheetFormatPr defaultRowHeight="14.4" x14ac:dyDescent="0.3"/>
  <cols>
    <col min="16" max="16" width="14.33203125" customWidth="1"/>
  </cols>
  <sheetData>
    <row r="1" spans="16:22" ht="15" thickBot="1" x14ac:dyDescent="0.35">
      <c r="P1" s="122" t="s">
        <v>165</v>
      </c>
    </row>
    <row r="2" spans="16:22" ht="15" thickBot="1" x14ac:dyDescent="0.35"/>
    <row r="3" spans="16:22" x14ac:dyDescent="0.3">
      <c r="P3" s="19" t="s">
        <v>166</v>
      </c>
      <c r="Q3" s="20"/>
      <c r="R3" s="20">
        <v>2018</v>
      </c>
      <c r="S3" s="20"/>
      <c r="T3" s="21">
        <v>2023</v>
      </c>
      <c r="U3" s="192" t="s">
        <v>228</v>
      </c>
    </row>
    <row r="4" spans="16:22" x14ac:dyDescent="0.3">
      <c r="P4" s="120" t="s">
        <v>167</v>
      </c>
      <c r="Q4" s="2"/>
      <c r="R4" s="2">
        <v>359</v>
      </c>
      <c r="S4" s="2"/>
      <c r="T4" s="64">
        <v>323</v>
      </c>
      <c r="U4" s="190"/>
    </row>
    <row r="5" spans="16:22" x14ac:dyDescent="0.3">
      <c r="P5" s="120" t="s">
        <v>168</v>
      </c>
      <c r="Q5" s="2"/>
      <c r="R5" s="2">
        <v>187</v>
      </c>
      <c r="S5" s="2"/>
      <c r="T5" s="64">
        <v>323</v>
      </c>
      <c r="U5" s="190"/>
    </row>
    <row r="6" spans="16:22" x14ac:dyDescent="0.3">
      <c r="P6" s="120" t="s">
        <v>169</v>
      </c>
      <c r="Q6" s="2"/>
      <c r="R6" s="2">
        <v>269</v>
      </c>
      <c r="S6" s="2"/>
      <c r="T6" s="64">
        <v>381</v>
      </c>
      <c r="U6" s="190"/>
    </row>
    <row r="7" spans="16:22" x14ac:dyDescent="0.3">
      <c r="P7" s="120" t="s">
        <v>170</v>
      </c>
      <c r="Q7" s="2"/>
      <c r="R7" s="2">
        <v>406</v>
      </c>
      <c r="S7" s="2"/>
      <c r="T7" s="64">
        <v>518</v>
      </c>
      <c r="U7" s="190"/>
    </row>
    <row r="8" spans="16:22" x14ac:dyDescent="0.3">
      <c r="P8" s="120" t="s">
        <v>171</v>
      </c>
      <c r="Q8" s="2"/>
      <c r="R8" s="2">
        <v>-29</v>
      </c>
      <c r="S8" s="2"/>
      <c r="T8" s="64">
        <v>-14</v>
      </c>
      <c r="U8" s="190"/>
    </row>
    <row r="9" spans="16:22" ht="15" thickBot="1" x14ac:dyDescent="0.35">
      <c r="P9" s="121" t="s">
        <v>172</v>
      </c>
      <c r="Q9" s="65"/>
      <c r="R9" s="65">
        <f>SUM(R4:R8)</f>
        <v>1192</v>
      </c>
      <c r="S9" s="65"/>
      <c r="T9" s="66">
        <f>SUM(T4:T8)</f>
        <v>1531</v>
      </c>
      <c r="U9" s="191">
        <f>(T9-R9)/R9</f>
        <v>0.28439597315436244</v>
      </c>
      <c r="V9" s="189"/>
    </row>
    <row r="10" spans="16:22" ht="15" thickBot="1" x14ac:dyDescent="0.35"/>
    <row r="11" spans="16:22" x14ac:dyDescent="0.3">
      <c r="P11" s="19" t="s">
        <v>182</v>
      </c>
      <c r="Q11" s="20"/>
      <c r="R11" s="20" t="s">
        <v>173</v>
      </c>
      <c r="S11" s="20"/>
      <c r="T11" s="21" t="s">
        <v>173</v>
      </c>
      <c r="U11" s="1"/>
    </row>
    <row r="12" spans="16:22" x14ac:dyDescent="0.3">
      <c r="P12" s="120" t="s">
        <v>180</v>
      </c>
      <c r="Q12" s="2"/>
      <c r="R12" s="2">
        <v>2607</v>
      </c>
      <c r="S12" s="2" t="s">
        <v>170</v>
      </c>
      <c r="T12" s="64">
        <v>1459</v>
      </c>
      <c r="U12" s="2"/>
    </row>
    <row r="13" spans="16:22" x14ac:dyDescent="0.3">
      <c r="P13" s="120" t="s">
        <v>181</v>
      </c>
      <c r="Q13" s="2"/>
      <c r="R13" s="2">
        <v>1378</v>
      </c>
      <c r="S13" s="2" t="s">
        <v>174</v>
      </c>
      <c r="T13" s="64">
        <v>504</v>
      </c>
      <c r="U13" s="2"/>
    </row>
    <row r="14" spans="16:22" x14ac:dyDescent="0.3">
      <c r="P14" s="120"/>
      <c r="Q14" s="2"/>
      <c r="R14" s="2"/>
      <c r="S14" s="2" t="s">
        <v>169</v>
      </c>
      <c r="T14" s="64">
        <v>943</v>
      </c>
      <c r="U14" s="2"/>
    </row>
    <row r="15" spans="16:22" x14ac:dyDescent="0.3">
      <c r="P15" s="120"/>
      <c r="Q15" s="2"/>
      <c r="R15" s="2"/>
      <c r="S15" s="2" t="s">
        <v>175</v>
      </c>
      <c r="T15" s="64">
        <v>287</v>
      </c>
      <c r="U15" s="2"/>
    </row>
    <row r="16" spans="16:22" x14ac:dyDescent="0.3">
      <c r="P16" s="120"/>
      <c r="Q16" s="2"/>
      <c r="R16" s="2"/>
      <c r="S16" s="2" t="s">
        <v>176</v>
      </c>
      <c r="T16" s="64">
        <v>295</v>
      </c>
      <c r="U16" s="2"/>
    </row>
    <row r="17" spans="16:21" x14ac:dyDescent="0.3">
      <c r="P17" s="120"/>
      <c r="Q17" s="2"/>
      <c r="R17" s="2"/>
      <c r="S17" s="2" t="s">
        <v>177</v>
      </c>
      <c r="T17" s="64">
        <v>402</v>
      </c>
      <c r="U17" s="2"/>
    </row>
    <row r="18" spans="16:21" x14ac:dyDescent="0.3">
      <c r="P18" s="120"/>
      <c r="Q18" s="2"/>
      <c r="R18" s="2"/>
      <c r="S18" s="2" t="s">
        <v>178</v>
      </c>
      <c r="T18" s="64">
        <v>97</v>
      </c>
      <c r="U18" s="2"/>
    </row>
    <row r="19" spans="16:21" ht="15" thickBot="1" x14ac:dyDescent="0.35">
      <c r="P19" s="121" t="s">
        <v>179</v>
      </c>
      <c r="Q19" s="65"/>
      <c r="R19" s="65">
        <f>SUM(R12:R13)</f>
        <v>3985</v>
      </c>
      <c r="S19" s="65" t="s">
        <v>179</v>
      </c>
      <c r="T19" s="66">
        <f>SUM(T12:T18)</f>
        <v>3987</v>
      </c>
      <c r="U19" s="2"/>
    </row>
    <row r="20" spans="16:21" ht="15" thickBot="1" x14ac:dyDescent="0.35"/>
    <row r="21" spans="16:21" x14ac:dyDescent="0.3">
      <c r="P21" s="119" t="s">
        <v>183</v>
      </c>
      <c r="Q21" s="62"/>
      <c r="R21" s="63"/>
    </row>
    <row r="22" spans="16:21" x14ac:dyDescent="0.3">
      <c r="P22" s="120" t="s">
        <v>184</v>
      </c>
      <c r="Q22" s="2"/>
      <c r="R22" s="123">
        <v>3</v>
      </c>
    </row>
    <row r="23" spans="16:21" x14ac:dyDescent="0.3">
      <c r="P23" s="120" t="s">
        <v>185</v>
      </c>
      <c r="Q23" s="2"/>
      <c r="R23" s="64">
        <v>-6.8</v>
      </c>
    </row>
    <row r="24" spans="16:21" x14ac:dyDescent="0.3">
      <c r="P24" s="120" t="s">
        <v>186</v>
      </c>
      <c r="Q24" s="2"/>
      <c r="R24" s="64">
        <v>0.3</v>
      </c>
    </row>
    <row r="25" spans="16:21" x14ac:dyDescent="0.3">
      <c r="P25" s="120" t="s">
        <v>187</v>
      </c>
      <c r="Q25" s="2"/>
      <c r="R25" s="64">
        <v>0.1</v>
      </c>
    </row>
    <row r="26" spans="16:21" x14ac:dyDescent="0.3">
      <c r="P26" s="120" t="s">
        <v>188</v>
      </c>
      <c r="Q26" s="2"/>
      <c r="R26" s="64">
        <v>0.8</v>
      </c>
    </row>
    <row r="27" spans="16:21" x14ac:dyDescent="0.3">
      <c r="P27" s="120" t="s">
        <v>189</v>
      </c>
      <c r="Q27" s="2"/>
      <c r="R27" s="64">
        <v>0.6</v>
      </c>
    </row>
    <row r="28" spans="16:21" x14ac:dyDescent="0.3">
      <c r="P28" s="120" t="s">
        <v>190</v>
      </c>
      <c r="Q28" s="2"/>
      <c r="R28" s="64">
        <v>1.3</v>
      </c>
    </row>
    <row r="29" spans="16:21" x14ac:dyDescent="0.3">
      <c r="P29" s="120" t="s">
        <v>191</v>
      </c>
      <c r="Q29" s="2"/>
      <c r="R29" s="64">
        <v>3.2</v>
      </c>
    </row>
    <row r="30" spans="16:21" x14ac:dyDescent="0.3">
      <c r="P30" s="120" t="s">
        <v>192</v>
      </c>
      <c r="Q30" s="2"/>
      <c r="R30" s="64">
        <v>0.5</v>
      </c>
    </row>
    <row r="31" spans="16:21" x14ac:dyDescent="0.3">
      <c r="P31" s="120" t="s">
        <v>193</v>
      </c>
      <c r="Q31" s="2"/>
      <c r="R31" s="123">
        <v>2.9</v>
      </c>
    </row>
    <row r="32" spans="16:21" x14ac:dyDescent="0.3">
      <c r="P32" s="120" t="s">
        <v>194</v>
      </c>
      <c r="Q32" s="2"/>
      <c r="R32" s="64">
        <v>0.1</v>
      </c>
    </row>
    <row r="33" spans="16:18" x14ac:dyDescent="0.3">
      <c r="P33" s="120" t="s">
        <v>176</v>
      </c>
      <c r="Q33" s="2"/>
      <c r="R33" s="64">
        <v>0.3</v>
      </c>
    </row>
    <row r="34" spans="16:18" ht="15" thickBot="1" x14ac:dyDescent="0.35">
      <c r="P34" s="121" t="s">
        <v>195</v>
      </c>
      <c r="Q34" s="65"/>
      <c r="R34" s="124">
        <v>3.3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8</vt:i4>
      </vt:variant>
    </vt:vector>
  </HeadingPairs>
  <TitlesOfParts>
    <vt:vector size="8" baseType="lpstr">
      <vt:lpstr>IS</vt:lpstr>
      <vt:lpstr>Reorganized IS</vt:lpstr>
      <vt:lpstr>IS Trailing 12 months </vt:lpstr>
      <vt:lpstr>Analysis </vt:lpstr>
      <vt:lpstr>Bottom up Beta</vt:lpstr>
      <vt:lpstr>FCFE Computation</vt:lpstr>
      <vt:lpstr>Ratios </vt:lpstr>
      <vt:lpstr>Forecasts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Gianmarco</dc:creator>
  <cp:lastModifiedBy>simone.luca.lucchesi@gmail.com</cp:lastModifiedBy>
  <dcterms:created xsi:type="dcterms:W3CDTF">2015-06-05T18:19:34Z</dcterms:created>
  <dcterms:modified xsi:type="dcterms:W3CDTF">2020-05-20T17:40:07Z</dcterms:modified>
</cp:coreProperties>
</file>